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63" firstSheet="7" activeTab="1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state="hidden" r:id="rId19"/>
    <sheet name="üres lap2" sheetId="20" state="hidden" r:id="rId20"/>
    <sheet name="üres lap3" sheetId="21" state="hidden" r:id="rId21"/>
    <sheet name="üres lap4" sheetId="22" state="hidden" r:id="rId22"/>
    <sheet name="üres lap5" sheetId="23" state="hidden" r:id="rId23"/>
    <sheet name="üres lap6" sheetId="24" state="hidden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támogatás'!$A$1:$B$37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(2)'!$A$1:$P$29</definedName>
    <definedName name="_xlnm.Print_Area" localSheetId="7">'7.sz.m.Dologi kiadás (2)'!$A$1:$U$28</definedName>
    <definedName name="_xlnm.Print_Area" localSheetId="8">'8.sz.m.szociális kiadások'!$A$1:$R$32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<sst xmlns="http://schemas.openxmlformats.org/spreadsheetml/2006/main" count="1071" uniqueCount="532">
  <si>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</si>
  <si>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</si>
  <si>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</si>
  <si>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</si>
  <si>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</si>
  <si>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</si>
  <si>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</si>
  <si>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</si>
  <si>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</si>
  <si>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</si>
  <si>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</si>
  <si>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</si>
  <si>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</si>
  <si>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</si>
  <si>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</si>
  <si>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</si>
  <si>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</si>
  <si>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</si>
  <si>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</si>
  <si>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</si>
  <si>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</si>
  <si>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</si>
  <si>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</si>
  <si>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</si>
  <si>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</si>
  <si>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</si>
  <si>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</si>
  <si>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</si>
  <si>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</si>
  <si>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</si>
  <si>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</si>
  <si>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</si>
  <si>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</si>
  <si>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</si>
  <si>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</si>
  <si>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</si>
  <si>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</si>
  <si>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</si>
  <si>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</si>
  <si>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</si>
  <si>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</si>
  <si>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</si>
  <si>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</si>
  <si>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</si>
  <si>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</si>
  <si>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</si>
  <si>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</si>
  <si>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</si>
  <si>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</si>
  <si>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</si>
  <si>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</si>
  <si>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</si>
  <si>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</si>
  <si>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</si>
  <si>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</si>
  <si>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</si>
  <si>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</si>
  <si>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</si>
  <si>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</si>
  <si>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</si>
  <si>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</si>
  <si>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</si>
  <si>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</si>
  <si>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</si>
  <si>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</si>
  <si>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</si>
  <si>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</si>
  <si>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</si>
  <si>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</si>
  <si>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</si>
  <si>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</si>
  <si>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</si>
  <si>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</si>
  <si>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</si>
  <si>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</si>
  <si>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</si>
  <si>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</si>
  <si>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</si>
  <si>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</si>
  <si>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</si>
  <si>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</si>
  <si>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</si>
  <si>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</si>
  <si>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</si>
  <si>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</si>
  <si>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</si>
  <si>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</si>
  <si>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</si>
  <si>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</si>
  <si>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</si>
  <si>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</si>
  <si>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</si>
  <si>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</si>
  <si>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</si>
  <si>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</si>
  <si>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</si>
  <si>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</si>
  <si>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</si>
  <si>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</si>
  <si>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</si>
  <si>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</si>
  <si>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</si>
  <si>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</si>
  <si>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</si>
  <si>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</si>
  <si>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</si>
  <si>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</si>
  <si>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</si>
  <si>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</si>
  <si>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</si>
  <si>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</si>
  <si>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</si>
  <si>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</si>
  <si>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</si>
  <si>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</si>
  <si>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</si>
  <si>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</si>
  <si>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</si>
  <si>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</si>
  <si>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</si>
  <si>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</si>
  <si>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</si>
  <si>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</si>
  <si>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</si>
  <si>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</si>
  <si>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</si>
  <si>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</si>
  <si>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</si>
  <si>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</si>
  <si>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</si>
  <si>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</si>
  <si>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</si>
  <si>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</si>
  <si>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</si>
  <si>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</si>
  <si>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</si>
  <si>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</si>
  <si>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</si>
  <si>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</si>
  <si>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</si>
  <si>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</si>
  <si>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</si>
  <si>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</si>
  <si>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</si>
  <si>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</si>
  <si>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</si>
  <si>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</si>
  <si>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</si>
  <si>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</si>
  <si>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</si>
  <si>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</si>
  <si>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</si>
  <si>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</si>
  <si>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</si>
  <si>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</si>
  <si>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</si>
  <si>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</si>
  <si>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</si>
  <si>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</si>
  <si>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</si>
  <si>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</si>
  <si>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</si>
  <si>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</si>
  <si>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</si>
  <si>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</si>
  <si>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</si>
  <si>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</si>
  <si>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</si>
  <si>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</si>
  <si>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</si>
  <si>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</si>
  <si>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</si>
  <si>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</si>
  <si>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</si>
  <si>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</si>
  <si>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</si>
  <si>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</si>
  <si>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</si>
  <si>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</si>
  <si>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</si>
  <si>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</si>
  <si>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</si>
  <si>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</si>
  <si>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</si>
  <si>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</si>
  <si>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</si>
  <si>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</si>
  <si>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</si>
  <si>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</si>
  <si>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</si>
  <si>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</si>
  <si>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</si>
  <si>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</si>
  <si>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</si>
  <si>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</si>
  <si>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</si>
  <si>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</si>
  <si>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</si>
  <si>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</si>
  <si>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</si>
  <si>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</si>
  <si>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</si>
  <si>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</si>
  <si>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</si>
  <si>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</si>
  <si>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</si>
  <si>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</si>
  <si>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</si>
  <si>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</si>
  <si>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</si>
  <si>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</si>
  <si>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</si>
  <si>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</si>
  <si>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</si>
  <si>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</si>
  <si>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</si>
  <si>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</si>
  <si>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</si>
  <si>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</si>
  <si>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</si>
  <si>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</si>
  <si>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</si>
  <si>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</si>
  <si>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</si>
  <si>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</si>
  <si>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</si>
  <si>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</si>
  <si>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</si>
  <si>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</si>
  <si>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</si>
  <si>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</si>
  <si>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</si>
  <si>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</si>
  <si>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</si>
  <si>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</si>
  <si>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</si>
  <si>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</si>
  <si>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</si>
  <si>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</si>
  <si>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</si>
  <si>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</si>
  <si>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</si>
  <si>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</si>
  <si>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</si>
  <si>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</si>
  <si>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</si>
  <si>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</si>
  <si>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</si>
  <si>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</si>
  <si>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</si>
  <si>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</si>
  <si>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</si>
  <si>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</si>
  <si>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</si>
  <si>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</si>
  <si>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</si>
  <si>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</si>
  <si>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</si>
  <si>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</si>
  <si>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</si>
  <si>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</si>
  <si>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</si>
  <si>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</si>
  <si>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</si>
  <si>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</si>
  <si>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</si>
  <si>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</si>
  <si>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</si>
  <si>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</si>
  <si>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</si>
  <si>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</si>
  <si>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</si>
  <si>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</si>
  <si>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</si>
  <si>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</si>
  <si>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</si>
  <si>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</si>
  <si>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</si>
  <si>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</si>
  <si>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</si>
  <si>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</si>
  <si>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</si>
  <si>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</si>
  <si>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</si>
  <si>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</si>
  <si>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</si>
  <si>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</si>
  <si>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</si>
  <si>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</si>
  <si>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</si>
  <si>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</si>
  <si>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</si>
  <si>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</si>
  <si>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</si>
  <si>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</si>
  <si>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</si>
  <si>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</si>
  <si>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</si>
  <si>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</si>
  <si>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</si>
  <si>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</si>
  <si>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</si>
  <si>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</si>
  <si>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</si>
  <si>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</si>
  <si>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</si>
  <si>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</si>
  <si>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</si>
  <si>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</si>
  <si>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</si>
  <si>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</si>
  <si>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</si>
  <si>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</si>
  <si>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</si>
  <si>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</si>
  <si>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</si>
  <si>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</si>
  <si>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</si>
  <si>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</si>
  <si>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</si>
  <si>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</si>
  <si>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</si>
  <si>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</si>
  <si>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</si>
  <si>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</si>
  <si>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</si>
  <si>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</si>
  <si>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</si>
  <si>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</si>
  <si>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</si>
  <si>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</si>
  <si>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</si>
  <si>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</si>
  <si>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</si>
  <si>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</si>
  <si>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</si>
  <si>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</si>
  <si>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</si>
  <si>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</si>
  <si>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</si>
  <si>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</si>
  <si>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</si>
  <si>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</si>
  <si>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</si>
  <si>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</si>
  <si>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</si>
  <si>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</si>
  <si>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</si>
  <si>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</si>
  <si>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</si>
  <si>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</si>
  <si>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</si>
  <si>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</si>
  <si>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</si>
  <si>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</si>
  <si>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</si>
  <si>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</si>
  <si>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</si>
  <si>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>tűzoltóverseny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</si>
  <si>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</si>
  <si>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</si>
  <si>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</si>
  <si>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</si>
  <si>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</si>
  <si>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</si>
  <si>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</si>
  <si>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</si>
  <si>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</si>
  <si>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</si>
  <si>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</si>
  <si>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</si>
  <si>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</si>
  <si>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</si>
  <si>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</si>
  <si>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</si>
  <si>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</si>
  <si>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</si>
  <si>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</si>
  <si>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</si>
  <si>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</si>
  <si>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</si>
  <si>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</si>
  <si>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</si>
  <si>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</si>
  <si>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2018.</t>
  </si>
  <si>
    <t>települési támogatás (temetési támogatás) Szt. 45.§(1)</t>
  </si>
  <si>
    <t>I.1.d) Lakott külterület támogatása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</si>
  <si>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</si>
  <si>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</si>
  <si>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</si>
  <si>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</si>
  <si>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</si>
  <si>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</si>
  <si>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</si>
  <si>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</si>
  <si>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</si>
  <si>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</si>
  <si>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</si>
  <si>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</si>
  <si>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</si>
  <si>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</si>
  <si>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</si>
  <si>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</si>
  <si>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</si>
  <si>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</si>
  <si>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</si>
  <si>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</si>
  <si>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</si>
  <si>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</si>
  <si>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</si>
  <si>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</si>
  <si>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</si>
  <si>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</si>
  <si>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</si>
  <si>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</si>
  <si>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</si>
  <si>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</si>
  <si>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</si>
  <si>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</si>
  <si>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</si>
  <si>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</si>
  <si>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</si>
  <si>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</si>
  <si>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</si>
  <si>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</si>
  <si>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</si>
  <si>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Falugondnokok Vas és Győr-Moson-Sopron Megyei Egyesülete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</si>
  <si>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</si>
  <si>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</si>
  <si>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</si>
  <si>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</si>
  <si>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</si>
  <si>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</si>
  <si>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</si>
  <si>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</si>
  <si>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</si>
  <si>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</si>
  <si>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</si>
  <si>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</si>
  <si>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</si>
  <si>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</si>
  <si>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</si>
  <si>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</si>
  <si>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</si>
  <si>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</si>
  <si>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</si>
  <si>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</si>
  <si>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</si>
  <si>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</si>
  <si>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</si>
  <si>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</si>
  <si>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</si>
  <si>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</si>
  <si>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</si>
  <si>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</si>
  <si>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</si>
  <si>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</si>
  <si>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</si>
  <si>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</si>
  <si>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</si>
  <si>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Önkormányzati  vagyon haszonbérbe adásából származó bevétel</t>
  </si>
  <si>
    <t>új közvilágítási lámpatest létesítése</t>
  </si>
  <si>
    <t>Garázs építése</t>
  </si>
  <si>
    <t>Kerékpár beszerzése (TOP-5.3.1-16-GM1-2017-00008)</t>
  </si>
  <si>
    <t>TOP-5.3.1-16-GM1-2017-00008</t>
  </si>
  <si>
    <t>Hitelműveletekkel kapcsolatos feladatok</t>
  </si>
  <si>
    <t>Rábakecöl Községi Önkormányzat</t>
  </si>
  <si>
    <t>A helyi közösség fejlesztése Rábakecöl, Edve és Vásárosfalu községekben</t>
  </si>
  <si>
    <t>2021.</t>
  </si>
  <si>
    <t>TOP-5.3.1-16-GM1-2017-00008 A helyi közösség fejlesztése Rábakecöl, Edve és Vásárosfalu községekben (Támogatás összege: 6.960.000 Ft)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</si>
  <si>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</si>
  <si>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</si>
  <si>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</si>
  <si>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</si>
  <si>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</si>
  <si>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</si>
  <si>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</si>
  <si>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Biztosítók által fizetett kártérítés</t>
  </si>
  <si>
    <t>MFP útfelújítás</t>
  </si>
  <si>
    <t>MFP - temető melletti terület parkolókialakítása</t>
  </si>
  <si>
    <t>Önkormányzati vagyonnal való gazdálkodás</t>
  </si>
  <si>
    <t>Közfoglalkoztatás</t>
  </si>
  <si>
    <t>Hulladékgazdálkodás</t>
  </si>
  <si>
    <t>Rábapatona Község Önkormányzata</t>
  </si>
  <si>
    <t>Rábacsécsény Község Önkormányzata -c</t>
  </si>
  <si>
    <t>Edve Község Önkormányzata 2020. évi bevételi előirányzatai</t>
  </si>
  <si>
    <t>2020. évi belső forrásból fedezhető működési hiány</t>
  </si>
  <si>
    <t xml:space="preserve">2020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</si>
  <si>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</si>
  <si>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</si>
  <si>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</si>
  <si>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</si>
  <si>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</si>
  <si>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</si>
  <si>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</si>
  <si>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</si>
  <si>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év</t>
  </si>
  <si>
    <t>Beledi Szociális és Gyermekjóléti Társulás 2020.évi hozzájárulás</t>
  </si>
  <si>
    <t>2020. évi előirányzat</t>
  </si>
  <si>
    <t>Előirányzat-felhasználási terv
2020. évre</t>
  </si>
  <si>
    <t>A 2020. évi általános működés és ágazati feladatok támogatásának alakulása jogcímenként</t>
  </si>
  <si>
    <t>Falu- és tanyagondnoki szolgálatok 2020. évi többlettámogatásáról szóló 1294/2020. (V. 27.) Korm. határozat (a továbbiakban: Korm. határozat) 3. pontja alapján</t>
  </si>
  <si>
    <t>Polgármesteri béremelés különbözetének támogatása 1264/2020. (V. 29.) Korm. Határozat szerint</t>
  </si>
  <si>
    <t>1312/2020. (VI. 8.) Korm. határozat
a 2020. évi minimálbér és garantált bérminimum emelése, valamint a szociális hozzájárulási adó csökkentése hatásának kompenzálására</t>
  </si>
  <si>
    <t xml:space="preserve">Európai Uniós támogatással megvalósuló  programok, projektek 2020. évi bevételei és kiadásai  </t>
  </si>
  <si>
    <t>2020. előtti kifizetés</t>
  </si>
  <si>
    <t>Rákóczi Szövetség</t>
  </si>
  <si>
    <t>I. 5.  Polgármesteri illetmény támogatása</t>
  </si>
  <si>
    <t>III.1. Települési önkormányzat szociális feladatainak egyéb támogatása</t>
  </si>
  <si>
    <t>III.2 Egyes szociális és gyermekjóléti feladatok támogatás /falugondnok/</t>
  </si>
  <si>
    <t>III. 2.e. falugondnoki szolgáltatás</t>
  </si>
  <si>
    <t>IV.b. Közművelődési feladatok</t>
  </si>
  <si>
    <t>LEADER- Közösségformáló illetőleg vidéki attrakció rendezvények támogatása - 1923757330</t>
  </si>
  <si>
    <t>Idősek napja</t>
  </si>
  <si>
    <t>Edve Római Katolikus templom homlokzat felújítása</t>
  </si>
  <si>
    <t>LEADER- TELEPÜLÉSKÉPET, TURISZTIKAI VONZERŐT NÖVELŐ BERUHÁZÁSOK TÁMOGATÁSA - 1922854788</t>
  </si>
  <si>
    <t>2019</t>
  </si>
  <si>
    <t>2022.</t>
  </si>
  <si>
    <t>2022. után</t>
  </si>
  <si>
    <r>
  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számítható be a naptári éven belül keletkeztetett és lejáró futamidejű adósságot keletkeztető ügylet, az európai uniós vagy nemzetközi szervezettől, illetve a központi költségvetésből elnyert </t>
    </r>
    <r>
      <rPr>
        <u val="single"/>
        <sz val="11"/>
        <rFont val="Times New Roman CE"/>
        <family val="0"/>
      </rPr>
      <t xml:space="preserve">támogatás előfinanszírozásának </t>
    </r>
    <r>
      <rPr>
        <sz val="11"/>
        <rFont val="Times New Roman CE"/>
        <family val="1"/>
      </rPr>
      <t xml:space="preserve">biztosítására szolgáló adósságot keletkeztető ügyletből,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kezesség-, illetve garanciavállalásból eredő, jogosult által érvényesített fizetési kötelezettség összege
</t>
    </r>
  </si>
  <si>
    <t>3.m.12.  Szociális ágazati összevont pótlék és egészségügyi kiegészítő
pótlék</t>
  </si>
  <si>
    <t>Faluház mögötti garázsbejáró építése és temető előtt</t>
  </si>
  <si>
    <t>MFP 2020- Temető kerítés felújítása</t>
  </si>
  <si>
    <t>Kiegészítő támogatás III.2.e.</t>
  </si>
  <si>
    <t>Kiegészítő támogatás (IV.)</t>
  </si>
  <si>
    <t>teljesítés</t>
  </si>
  <si>
    <t>MFP 2020 - Falubusz beszerzése</t>
  </si>
  <si>
    <t>LEADER templom felújítása</t>
  </si>
  <si>
    <t>Településfejlesztési projektek és támogatásuk</t>
  </si>
  <si>
    <t>Szociális ellátások - Szociális tűzifa és szállítása</t>
  </si>
  <si>
    <t>2020</t>
  </si>
  <si>
    <t>Az 5/2020. (X. 02.) önkormányzati rendelettel hatályát vesztette.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</si>
</sst>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General\ &quot; fő&quot;"/>
    <numFmt numFmtId="167" formatCode="#,###"/>
    <numFmt numFmtId="168" formatCode="#,##0_ ;\-#,##0\ "/>
    <numFmt numFmtId="169" formatCode="0.0"/>
    <numFmt numFmtId="170" formatCode="_-* #,##0.00\ _F_t_-;\-* #,##0.00\ _F_t_-;_-* \-??\ _F_t_-;_-@_-"/>
    <numFmt numFmtId="171" formatCode="[$-40E]yyyy\.\ mmmm\ d\.\,\ dddd"/>
    <numFmt numFmtId="172" formatCode="###\ ###\ ###\ ###\ ##0.00"/>
  </numFmts>
  <fonts count="13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u val="single"/>
      <sz val="11"/>
      <name val="Times New Roman CE"/>
      <family val="0"/>
    </font>
    <font>
      <sz val="11"/>
      <color indexed="10"/>
      <name val="Times New Roman CE"/>
      <family val="1"/>
    </font>
    <font>
      <b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b/>
      <sz val="11"/>
      <color rgb="FFFF0000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4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5" fillId="0" borderId="0" applyNumberFormat="0" applyFill="0" applyBorder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8" fillId="0" borderId="0" applyNumberFormat="0" applyFill="0" applyBorder="0" applyAlignment="0" applyProtection="0"/>
    <xf numFmtId="0" fontId="119" fillId="37" borderId="7" applyNumberFormat="0" applyAlignment="0" applyProtection="0"/>
    <xf numFmtId="0" fontId="10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0" fontId="113" fillId="42" borderId="0" applyNumberFormat="0" applyBorder="0" applyAlignment="0" applyProtection="0"/>
    <xf numFmtId="0" fontId="113" fillId="43" borderId="0" applyNumberFormat="0" applyBorder="0" applyAlignment="0" applyProtection="0"/>
    <xf numFmtId="0" fontId="113" fillId="44" borderId="0" applyNumberFormat="0" applyBorder="0" applyAlignment="0" applyProtection="0"/>
    <xf numFmtId="0" fontId="122" fillId="45" borderId="0" applyNumberFormat="0" applyBorder="0" applyAlignment="0" applyProtection="0"/>
    <xf numFmtId="0" fontId="123" fillId="46" borderId="13" applyNumberFormat="0" applyAlignment="0" applyProtection="0"/>
    <xf numFmtId="0" fontId="99" fillId="0" borderId="14" applyNumberFormat="0" applyFill="0" applyAlignment="0" applyProtection="0"/>
    <xf numFmtId="0" fontId="12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47" borderId="0" applyNumberFormat="0" applyBorder="0" applyAlignment="0" applyProtection="0"/>
    <xf numFmtId="0" fontId="127" fillId="48" borderId="0" applyNumberFormat="0" applyBorder="0" applyAlignment="0" applyProtection="0"/>
    <xf numFmtId="0" fontId="128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7" fontId="39" fillId="0" borderId="0" xfId="0" applyNumberFormat="1" applyFont="1" applyFill="1" applyAlignment="1" applyProtection="1">
      <alignment horizontal="left" vertical="center" wrapText="1"/>
      <protection/>
    </xf>
    <xf numFmtId="167" fontId="39" fillId="0" borderId="0" xfId="0" applyNumberFormat="1" applyFont="1" applyFill="1" applyAlignment="1" applyProtection="1">
      <alignment vertical="center" wrapText="1"/>
      <protection/>
    </xf>
    <xf numFmtId="167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7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7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7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7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7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7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3" xfId="0" applyNumberFormat="1" applyFont="1" applyFill="1" applyBorder="1" applyAlignment="1" applyProtection="1">
      <alignment horizontal="center" vertical="center" wrapText="1"/>
      <protection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7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7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7" fontId="35" fillId="0" borderId="23" xfId="108" applyNumberFormat="1" applyFont="1" applyFill="1" applyBorder="1" applyAlignment="1" applyProtection="1">
      <alignment horizontal="right" vertical="center" wrapText="1"/>
      <protection/>
    </xf>
    <xf numFmtId="167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7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7" fontId="35" fillId="0" borderId="55" xfId="108" applyNumberFormat="1" applyFont="1" applyFill="1" applyBorder="1" applyAlignment="1" applyProtection="1">
      <alignment horizontal="right" vertical="center" wrapText="1"/>
      <protection/>
    </xf>
    <xf numFmtId="167" fontId="35" fillId="0" borderId="28" xfId="108" applyNumberFormat="1" applyFont="1" applyFill="1" applyBorder="1" applyAlignment="1" applyProtection="1">
      <alignment horizontal="right" vertical="center" wrapText="1"/>
      <protection/>
    </xf>
    <xf numFmtId="167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2" xfId="0" applyNumberFormat="1" applyFont="1" applyFill="1" applyBorder="1" applyAlignment="1" applyProtection="1">
      <alignment horizontal="center" vertical="center" wrapText="1"/>
      <protection/>
    </xf>
    <xf numFmtId="167" fontId="61" fillId="0" borderId="62" xfId="0" applyNumberFormat="1" applyFont="1" applyFill="1" applyBorder="1" applyAlignment="1" applyProtection="1">
      <alignment horizontal="center" vertical="center" wrapText="1"/>
      <protection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5" xfId="0" applyNumberFormat="1" applyFont="1" applyFill="1" applyBorder="1" applyAlignment="1" applyProtection="1">
      <alignment horizontal="center" vertical="center" wrapText="1"/>
      <protection/>
    </xf>
    <xf numFmtId="167" fontId="61" fillId="0" borderId="64" xfId="0" applyNumberFormat="1" applyFont="1" applyFill="1" applyBorder="1" applyAlignment="1" applyProtection="1">
      <alignment horizontal="center" vertical="center" wrapText="1"/>
      <protection/>
    </xf>
    <xf numFmtId="167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7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6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79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4" xfId="0" applyNumberFormat="1" applyFont="1" applyFill="1" applyBorder="1" applyAlignment="1" applyProtection="1">
      <alignment horizontal="center" vertical="center" wrapText="1"/>
      <protection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7" fontId="61" fillId="0" borderId="78" xfId="0" applyNumberFormat="1" applyFont="1" applyFill="1" applyBorder="1" applyAlignment="1" applyProtection="1">
      <alignment horizontal="center" vertical="center" wrapText="1"/>
      <protection/>
    </xf>
    <xf numFmtId="167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7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7" fontId="87" fillId="0" borderId="0" xfId="108" applyNumberFormat="1" applyFont="1" applyFill="1" applyBorder="1" applyAlignment="1" applyProtection="1">
      <alignment vertical="center" wrapText="1"/>
      <protection/>
    </xf>
    <xf numFmtId="167" fontId="35" fillId="0" borderId="0" xfId="108" applyNumberFormat="1" applyFont="1" applyFill="1" applyBorder="1" applyAlignment="1" applyProtection="1">
      <alignment horizontal="centerContinuous" vertical="center"/>
      <protection/>
    </xf>
    <xf numFmtId="167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8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8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8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8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8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7" fontId="0" fillId="0" borderId="32" xfId="0" applyNumberFormat="1" applyBorder="1" applyAlignment="1" applyProtection="1">
      <alignment/>
      <protection locked="0"/>
    </xf>
    <xf numFmtId="167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7" fontId="0" fillId="0" borderId="43" xfId="0" applyNumberFormat="1" applyBorder="1" applyAlignment="1" applyProtection="1">
      <alignment/>
      <protection locked="0"/>
    </xf>
    <xf numFmtId="167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7" fontId="36" fillId="0" borderId="23" xfId="0" applyNumberFormat="1" applyFont="1" applyBorder="1" applyAlignment="1">
      <alignment/>
    </xf>
    <xf numFmtId="167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8" fontId="39" fillId="0" borderId="70" xfId="68" applyNumberFormat="1" applyFont="1" applyFill="1" applyBorder="1" applyAlignment="1" applyProtection="1">
      <alignment horizontal="right" vertical="center"/>
      <protection locked="0"/>
    </xf>
    <xf numFmtId="168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8" fontId="39" fillId="0" borderId="61" xfId="68" applyNumberFormat="1" applyFont="1" applyFill="1" applyBorder="1" applyAlignment="1" applyProtection="1">
      <alignment horizontal="right" vertical="center"/>
      <protection locked="0"/>
    </xf>
    <xf numFmtId="168" fontId="39" fillId="0" borderId="0" xfId="68" applyNumberFormat="1" applyFont="1" applyFill="1" applyBorder="1" applyAlignment="1" applyProtection="1">
      <alignment horizontal="right" vertical="center"/>
      <protection locked="0"/>
    </xf>
    <xf numFmtId="168" fontId="39" fillId="0" borderId="61" xfId="108" applyNumberFormat="1" applyFont="1" applyFill="1" applyBorder="1" applyAlignment="1">
      <alignment horizontal="right" vertical="center"/>
      <protection/>
    </xf>
    <xf numFmtId="168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8" fontId="39" fillId="0" borderId="97" xfId="68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7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7" fontId="86" fillId="0" borderId="0" xfId="108" applyNumberFormat="1" applyFont="1" applyFill="1" applyBorder="1" applyAlignment="1" applyProtection="1">
      <alignment vertical="center" wrapText="1"/>
      <protection/>
    </xf>
    <xf numFmtId="168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71" xfId="102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7" fontId="71" fillId="0" borderId="0" xfId="99" applyNumberFormat="1" applyFill="1" applyAlignment="1" applyProtection="1">
      <alignment vertical="center" wrapText="1"/>
      <protection/>
    </xf>
    <xf numFmtId="167" fontId="71" fillId="0" borderId="0" xfId="99" applyNumberFormat="1" applyFill="1" applyAlignment="1" applyProtection="1">
      <alignment horizontal="center" vertical="center" wrapText="1"/>
      <protection/>
    </xf>
    <xf numFmtId="167" fontId="40" fillId="0" borderId="0" xfId="99" applyNumberFormat="1" applyFont="1" applyFill="1" applyAlignment="1" applyProtection="1">
      <alignment horizontal="right"/>
      <protection/>
    </xf>
    <xf numFmtId="167" fontId="35" fillId="0" borderId="0" xfId="99" applyNumberFormat="1" applyFont="1" applyFill="1" applyAlignment="1" applyProtection="1">
      <alignment vertical="center"/>
      <protection/>
    </xf>
    <xf numFmtId="167" fontId="61" fillId="0" borderId="82" xfId="99" applyNumberFormat="1" applyFont="1" applyFill="1" applyBorder="1" applyAlignment="1" applyProtection="1">
      <alignment horizontal="center" vertical="center"/>
      <protection/>
    </xf>
    <xf numFmtId="167" fontId="61" fillId="0" borderId="26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/>
      <protection/>
    </xf>
    <xf numFmtId="167" fontId="65" fillId="0" borderId="20" xfId="99" applyNumberFormat="1" applyFont="1" applyFill="1" applyBorder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center" vertical="center" wrapText="1"/>
      <protection/>
    </xf>
    <xf numFmtId="167" fontId="65" fillId="0" borderId="59" xfId="99" applyNumberFormat="1" applyFont="1" applyFill="1" applyBorder="1" applyAlignment="1" applyProtection="1">
      <alignment horizontal="center" vertical="center" wrapText="1"/>
      <protection/>
    </xf>
    <xf numFmtId="167" fontId="65" fillId="0" borderId="30" xfId="99" applyNumberFormat="1" applyFont="1" applyFill="1" applyBorder="1" applyAlignment="1" applyProtection="1">
      <alignment horizontal="center" vertical="center" wrapText="1"/>
      <protection/>
    </xf>
    <xf numFmtId="167" fontId="65" fillId="0" borderId="89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7" xfId="99" applyNumberFormat="1" applyFont="1" applyFill="1" applyBorder="1" applyAlignment="1" applyProtection="1">
      <alignment vertical="center" wrapText="1"/>
      <protection/>
    </xf>
    <xf numFmtId="167" fontId="106" fillId="0" borderId="22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Fill="1" applyBorder="1" applyAlignment="1" applyProtection="1">
      <alignment vertical="center" wrapText="1"/>
      <protection/>
    </xf>
    <xf numFmtId="167" fontId="106" fillId="0" borderId="30" xfId="99" applyNumberFormat="1" applyFont="1" applyFill="1" applyBorder="1" applyAlignment="1" applyProtection="1">
      <alignment vertical="center" wrapText="1"/>
      <protection/>
    </xf>
    <xf numFmtId="167" fontId="56" fillId="0" borderId="87" xfId="99" applyNumberFormat="1" applyFont="1" applyFill="1" applyBorder="1" applyAlignment="1" applyProtection="1">
      <alignment vertical="center" wrapText="1"/>
      <protection/>
    </xf>
    <xf numFmtId="167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8" xfId="99" applyNumberFormat="1" applyFont="1" applyFill="1" applyBorder="1" applyAlignment="1" applyProtection="1">
      <alignment vertical="center" wrapText="1"/>
      <protection locked="0"/>
    </xf>
    <xf numFmtId="167" fontId="106" fillId="0" borderId="21" xfId="99" applyNumberFormat="1" applyFont="1" applyFill="1" applyBorder="1" applyAlignment="1" applyProtection="1">
      <alignment vertical="center" wrapText="1"/>
      <protection locked="0"/>
    </xf>
    <xf numFmtId="167" fontId="106" fillId="0" borderId="24" xfId="99" applyNumberFormat="1" applyFont="1" applyFill="1" applyBorder="1" applyAlignment="1" applyProtection="1">
      <alignment vertical="center" wrapText="1"/>
      <protection locked="0"/>
    </xf>
    <xf numFmtId="167" fontId="106" fillId="0" borderId="36" xfId="99" applyNumberFormat="1" applyFont="1" applyFill="1" applyBorder="1" applyAlignment="1" applyProtection="1">
      <alignment vertical="center" wrapText="1"/>
      <protection locked="0"/>
    </xf>
    <xf numFmtId="167" fontId="56" fillId="0" borderId="88" xfId="99" applyNumberFormat="1" applyFont="1" applyFill="1" applyBorder="1" applyAlignment="1" applyProtection="1">
      <alignment vertical="center" wrapTex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 locked="0"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0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101" xfId="99" applyNumberFormat="1" applyFont="1" applyFill="1" applyBorder="1" applyAlignment="1" applyProtection="1">
      <alignment vertical="center" wrapText="1"/>
      <protection/>
    </xf>
    <xf numFmtId="167" fontId="106" fillId="0" borderId="27" xfId="99" applyNumberFormat="1" applyFont="1" applyFill="1" applyBorder="1" applyAlignment="1" applyProtection="1">
      <alignment vertical="center" wrapText="1"/>
      <protection/>
    </xf>
    <xf numFmtId="167" fontId="106" fillId="0" borderId="28" xfId="99" applyNumberFormat="1" applyFont="1" applyFill="1" applyBorder="1" applyAlignment="1" applyProtection="1">
      <alignment vertical="center" wrapText="1"/>
      <protection/>
    </xf>
    <xf numFmtId="167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96" xfId="99" applyNumberFormat="1" applyFont="1" applyFill="1" applyBorder="1" applyAlignment="1" applyProtection="1">
      <alignment vertical="center" wrapText="1"/>
      <protection locked="0"/>
    </xf>
    <xf numFmtId="167" fontId="106" fillId="0" borderId="37" xfId="99" applyNumberFormat="1" applyFont="1" applyFill="1" applyBorder="1" applyAlignment="1" applyProtection="1">
      <alignment vertical="center" wrapText="1"/>
      <protection locked="0"/>
    </xf>
    <xf numFmtId="167" fontId="106" fillId="0" borderId="25" xfId="99" applyNumberFormat="1" applyFont="1" applyFill="1" applyBorder="1" applyAlignment="1" applyProtection="1">
      <alignment vertical="center" wrapText="1"/>
      <protection locked="0"/>
    </xf>
    <xf numFmtId="167" fontId="106" fillId="0" borderId="26" xfId="99" applyNumberFormat="1" applyFont="1" applyFill="1" applyBorder="1" applyAlignment="1" applyProtection="1">
      <alignment vertical="center" wrapText="1"/>
      <protection locked="0"/>
    </xf>
    <xf numFmtId="167" fontId="56" fillId="0" borderId="96" xfId="99" applyNumberFormat="1" applyFont="1" applyFill="1" applyBorder="1" applyAlignment="1" applyProtection="1">
      <alignment vertical="center" wrapText="1"/>
      <protection/>
    </xf>
    <xf numFmtId="167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7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167" fontId="87" fillId="0" borderId="0" xfId="109" applyNumberFormat="1" applyFont="1" applyFill="1" applyBorder="1" applyAlignment="1" applyProtection="1">
      <alignment vertical="center" wrapText="1"/>
      <protection/>
    </xf>
    <xf numFmtId="167" fontId="35" fillId="0" borderId="0" xfId="109" applyNumberFormat="1" applyFont="1" applyFill="1" applyBorder="1" applyAlignment="1" applyProtection="1">
      <alignment horizontal="centerContinuous" vertical="center"/>
      <protection/>
    </xf>
    <xf numFmtId="167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170" fontId="0" fillId="0" borderId="0" xfId="70" applyNumberFormat="1" applyFill="1" applyAlignment="1">
      <alignment/>
    </xf>
    <xf numFmtId="3" fontId="37" fillId="0" borderId="0" xfId="109" applyNumberFormat="1" applyFont="1" applyFill="1">
      <alignment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7" fillId="0" borderId="38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167" fontId="65" fillId="0" borderId="101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1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8" xfId="99" applyNumberFormat="1" applyFont="1" applyFill="1" applyBorder="1" applyAlignment="1" applyProtection="1">
      <alignment horizontal="center" vertical="center" wrapText="1"/>
      <protection locked="0"/>
    </xf>
    <xf numFmtId="167" fontId="56" fillId="0" borderId="101" xfId="99" applyNumberFormat="1" applyFont="1" applyFill="1" applyBorder="1" applyAlignment="1" applyProtection="1">
      <alignment vertical="center" wrapText="1"/>
      <protection/>
    </xf>
    <xf numFmtId="167" fontId="65" fillId="0" borderId="99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4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43" xfId="99" applyNumberFormat="1" applyFont="1" applyFill="1" applyBorder="1" applyAlignment="1" applyProtection="1">
      <alignment vertical="center" wrapText="1"/>
      <protection/>
    </xf>
    <xf numFmtId="167" fontId="106" fillId="0" borderId="64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Border="1" applyAlignment="1">
      <alignment vertical="center" wrapText="1"/>
      <protection/>
    </xf>
    <xf numFmtId="167" fontId="56" fillId="0" borderId="87" xfId="99" applyNumberFormat="1" applyFont="1" applyBorder="1" applyAlignment="1">
      <alignment vertical="center" wrapText="1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102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8" fontId="39" fillId="0" borderId="32" xfId="71" applyNumberFormat="1" applyFont="1" applyFill="1" applyBorder="1" applyAlignment="1" applyProtection="1">
      <alignment horizontal="right" vertical="center"/>
      <protection locked="0"/>
    </xf>
    <xf numFmtId="168" fontId="39" fillId="0" borderId="34" xfId="71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8" fontId="39" fillId="0" borderId="24" xfId="71" applyNumberFormat="1" applyFont="1" applyFill="1" applyBorder="1" applyAlignment="1" applyProtection="1">
      <alignment horizontal="right" vertical="center"/>
      <protection locked="0"/>
    </xf>
    <xf numFmtId="168" fontId="39" fillId="0" borderId="36" xfId="71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8" fontId="39" fillId="0" borderId="43" xfId="71" applyNumberFormat="1" applyFont="1" applyFill="1" applyBorder="1" applyAlignment="1" applyProtection="1">
      <alignment horizontal="right" vertical="center"/>
      <protection locked="0"/>
    </xf>
    <xf numFmtId="168" fontId="39" fillId="0" borderId="64" xfId="71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8" fontId="39" fillId="0" borderId="23" xfId="109" applyNumberFormat="1" applyFont="1" applyFill="1" applyBorder="1" applyAlignment="1">
      <alignment horizontal="right" vertical="center"/>
      <protection/>
    </xf>
    <xf numFmtId="168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0" fillId="0" borderId="67" xfId="0" applyNumberFormat="1" applyFont="1" applyBorder="1" applyAlignment="1">
      <alignment/>
    </xf>
    <xf numFmtId="0" fontId="11" fillId="0" borderId="0" xfId="104" applyBorder="1" applyAlignment="1">
      <alignment vertical="center" wrapText="1"/>
      <protection/>
    </xf>
    <xf numFmtId="0" fontId="11" fillId="0" borderId="0" xfId="104" applyBorder="1">
      <alignment/>
      <protection/>
    </xf>
    <xf numFmtId="10" fontId="29" fillId="0" borderId="39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 applyAlignment="1">
      <alignment vertical="top"/>
      <protection/>
    </xf>
    <xf numFmtId="10" fontId="29" fillId="0" borderId="36" xfId="107" applyNumberFormat="1" applyFont="1" applyFill="1" applyBorder="1">
      <alignment/>
      <protection/>
    </xf>
    <xf numFmtId="3" fontId="25" fillId="0" borderId="30" xfId="107" applyNumberFormat="1" applyFont="1" applyBorder="1" applyAlignment="1">
      <alignment vertical="center"/>
      <protection/>
    </xf>
    <xf numFmtId="10" fontId="25" fillId="0" borderId="30" xfId="107" applyNumberFormat="1" applyFont="1" applyBorder="1" applyAlignment="1">
      <alignment vertical="center"/>
      <protection/>
    </xf>
    <xf numFmtId="3" fontId="29" fillId="0" borderId="36" xfId="107" applyNumberFormat="1" applyFont="1" applyFill="1" applyBorder="1" applyAlignment="1">
      <alignment vertical="top"/>
      <protection/>
    </xf>
    <xf numFmtId="3" fontId="29" fillId="0" borderId="36" xfId="107" applyNumberFormat="1" applyFont="1" applyFill="1" applyBorder="1">
      <alignment/>
      <protection/>
    </xf>
    <xf numFmtId="3" fontId="29" fillId="0" borderId="26" xfId="107" applyNumberFormat="1" applyFont="1" applyFill="1" applyBorder="1">
      <alignment/>
      <protection/>
    </xf>
    <xf numFmtId="3" fontId="29" fillId="0" borderId="55" xfId="107" applyNumberFormat="1" applyFont="1" applyFill="1" applyBorder="1">
      <alignment/>
      <protection/>
    </xf>
    <xf numFmtId="3" fontId="29" fillId="0" borderId="56" xfId="107" applyNumberFormat="1" applyFont="1" applyFill="1" applyBorder="1">
      <alignment/>
      <protection/>
    </xf>
    <xf numFmtId="0" fontId="12" fillId="0" borderId="19" xfId="104" applyFont="1" applyBorder="1" applyAlignment="1">
      <alignment horizontal="right" vertical="center"/>
      <protection/>
    </xf>
    <xf numFmtId="0" fontId="14" fillId="0" borderId="54" xfId="0" applyFont="1" applyFill="1" applyBorder="1" applyAlignment="1">
      <alignment vertical="center" wrapText="1"/>
    </xf>
    <xf numFmtId="0" fontId="1" fillId="0" borderId="31" xfId="102" applyFont="1" applyFill="1" applyBorder="1" applyAlignment="1">
      <alignment wrapText="1"/>
      <protection/>
    </xf>
    <xf numFmtId="0" fontId="1" fillId="0" borderId="21" xfId="102" applyFont="1" applyFill="1" applyBorder="1">
      <alignment/>
      <protection/>
    </xf>
    <xf numFmtId="0" fontId="78" fillId="0" borderId="72" xfId="103" applyFont="1" applyFill="1" applyBorder="1">
      <alignment/>
      <protection/>
    </xf>
    <xf numFmtId="3" fontId="78" fillId="0" borderId="55" xfId="103" applyNumberFormat="1" applyFont="1" applyFill="1" applyBorder="1">
      <alignment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6" fillId="49" borderId="30" xfId="104" applyNumberFormat="1" applyFont="1" applyFill="1" applyBorder="1" applyAlignment="1">
      <alignment horizontal="center" vertical="center"/>
      <protection/>
    </xf>
    <xf numFmtId="3" fontId="16" fillId="49" borderId="62" xfId="104" applyNumberFormat="1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21" xfId="104" applyNumberFormat="1" applyFont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horizontal="right" vertical="center"/>
      <protection/>
    </xf>
    <xf numFmtId="3" fontId="15" fillId="0" borderId="39" xfId="0" applyNumberFormat="1" applyFont="1" applyFill="1" applyBorder="1" applyAlignment="1">
      <alignment horizontal="right" vertical="center"/>
    </xf>
    <xf numFmtId="10" fontId="15" fillId="0" borderId="34" xfId="104" applyNumberFormat="1" applyFont="1" applyFill="1" applyBorder="1" applyAlignment="1">
      <alignment vertical="center"/>
      <protection/>
    </xf>
    <xf numFmtId="3" fontId="15" fillId="52" borderId="24" xfId="104" applyNumberFormat="1" applyFont="1" applyFill="1" applyBorder="1" applyAlignment="1">
      <alignment horizontal="right" vertical="center"/>
      <protection/>
    </xf>
    <xf numFmtId="3" fontId="12" fillId="0" borderId="23" xfId="104" applyNumberFormat="1" applyFont="1" applyFill="1" applyBorder="1" applyAlignment="1">
      <alignment horizontal="right" vertical="center"/>
      <protection/>
    </xf>
    <xf numFmtId="10" fontId="12" fillId="0" borderId="30" xfId="104" applyNumberFormat="1" applyFont="1" applyFill="1" applyBorder="1" applyAlignment="1">
      <alignment horizontal="right" vertical="center"/>
      <protection/>
    </xf>
    <xf numFmtId="3" fontId="15" fillId="0" borderId="43" xfId="104" applyNumberFormat="1" applyFont="1" applyFill="1" applyBorder="1" applyAlignment="1">
      <alignment horizontal="right" vertical="center"/>
      <protection/>
    </xf>
    <xf numFmtId="3" fontId="7" fillId="0" borderId="3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98" xfId="108" applyFont="1" applyFill="1" applyBorder="1" applyAlignment="1" applyProtection="1">
      <alignment horizontal="left" vertical="center" wrapText="1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37" fillId="0" borderId="24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7" fontId="53" fillId="0" borderId="0" xfId="108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7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3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4" xfId="108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Border="1" applyAlignment="1">
      <alignment horizontal="left" vertical="center"/>
    </xf>
    <xf numFmtId="0" fontId="57" fillId="0" borderId="0" xfId="108" applyFont="1" applyFill="1" applyAlignment="1">
      <alignment horizontal="center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67" fontId="72" fillId="0" borderId="0" xfId="108" applyNumberFormat="1" applyFont="1" applyFill="1" applyBorder="1" applyAlignment="1" applyProtection="1">
      <alignment horizontal="left" vertical="center"/>
      <protection/>
    </xf>
    <xf numFmtId="0" fontId="7" fillId="0" borderId="46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5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23" xfId="104" applyNumberFormat="1" applyFont="1" applyFill="1" applyBorder="1" applyAlignment="1">
      <alignment horizontal="center" vertical="center"/>
      <protection/>
    </xf>
    <xf numFmtId="3" fontId="16" fillId="49" borderId="30" xfId="104" applyNumberFormat="1" applyFont="1" applyFill="1" applyBorder="1" applyAlignment="1">
      <alignment horizontal="center" vertical="center"/>
      <protection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166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60" xfId="107" applyFont="1" applyFill="1" applyBorder="1" applyAlignment="1">
      <alignment horizontal="left" wrapText="1"/>
      <protection/>
    </xf>
    <xf numFmtId="166" fontId="23" fillId="0" borderId="66" xfId="107" applyNumberFormat="1" applyFont="1" applyBorder="1" applyAlignment="1">
      <alignment horizontal="left" wrapText="1"/>
      <protection/>
    </xf>
    <xf numFmtId="0" fontId="0" fillId="0" borderId="49" xfId="0" applyBorder="1" applyAlignment="1">
      <alignment horizontal="left" wrapText="1"/>
    </xf>
    <xf numFmtId="0" fontId="23" fillId="0" borderId="46" xfId="107" applyFont="1" applyFill="1" applyBorder="1" applyAlignment="1">
      <alignment horizontal="left"/>
      <protection/>
    </xf>
    <xf numFmtId="166" fontId="23" fillId="0" borderId="46" xfId="107" applyNumberFormat="1" applyFont="1" applyBorder="1" applyAlignment="1">
      <alignment horizontal="left" wrapText="1"/>
      <protection/>
    </xf>
    <xf numFmtId="0" fontId="25" fillId="0" borderId="50" xfId="107" applyFont="1" applyBorder="1" applyAlignment="1">
      <alignment horizontal="center" vertical="center" wrapText="1"/>
      <protection/>
    </xf>
    <xf numFmtId="166" fontId="23" fillId="0" borderId="70" xfId="107" applyNumberFormat="1" applyFont="1" applyBorder="1" applyAlignment="1">
      <alignment horizontal="left" wrapText="1"/>
      <protection/>
    </xf>
    <xf numFmtId="0" fontId="0" fillId="0" borderId="46" xfId="0" applyBorder="1" applyAlignment="1">
      <alignment horizontal="left" wrapText="1"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0" fontId="20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05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6" xfId="104" applyNumberFormat="1" applyFont="1" applyFill="1" applyBorder="1" applyAlignment="1">
      <alignment horizontal="center" vertical="center" wrapText="1"/>
      <protection/>
    </xf>
    <xf numFmtId="3" fontId="28" fillId="50" borderId="107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98" xfId="104" applyFont="1" applyFill="1" applyBorder="1" applyAlignment="1">
      <alignment horizontal="center" vertic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19" fillId="0" borderId="0" xfId="104" applyFont="1" applyAlignment="1">
      <alignment horizontal="right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7" fillId="0" borderId="19" xfId="104" applyFont="1" applyBorder="1" applyAlignment="1">
      <alignment horizontal="right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7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130" fillId="0" borderId="0" xfId="109" applyFont="1" applyAlignment="1">
      <alignment horizontal="center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7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4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167" fontId="70" fillId="0" borderId="61" xfId="99" applyNumberFormat="1" applyFont="1" applyFill="1" applyBorder="1" applyAlignment="1" applyProtection="1">
      <alignment horizontal="center" textRotation="180" wrapText="1"/>
      <protection/>
    </xf>
    <xf numFmtId="167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7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7" fontId="57" fillId="0" borderId="0" xfId="99" applyNumberFormat="1" applyFont="1" applyFill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 wrapText="1"/>
      <protection/>
    </xf>
    <xf numFmtId="167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111" xfId="99" applyNumberFormat="1" applyFont="1" applyFill="1" applyBorder="1" applyAlignment="1" applyProtection="1">
      <alignment horizontal="center" vertical="center"/>
      <protection/>
    </xf>
    <xf numFmtId="167" fontId="61" fillId="0" borderId="112" xfId="99" applyNumberFormat="1" applyFont="1" applyFill="1" applyBorder="1" applyAlignment="1" applyProtection="1">
      <alignment horizontal="center" vertical="center"/>
      <protection/>
    </xf>
    <xf numFmtId="49" fontId="61" fillId="0" borderId="111" xfId="99" applyNumberFormat="1" applyFont="1" applyFill="1" applyBorder="1" applyAlignment="1" applyProtection="1">
      <alignment horizontal="center" vertical="center" wrapText="1"/>
      <protection/>
    </xf>
    <xf numFmtId="49" fontId="61" fillId="0" borderId="112" xfId="99" applyNumberFormat="1" applyFont="1" applyFill="1" applyBorder="1" applyAlignment="1" applyProtection="1">
      <alignment horizontal="center" vertical="center" wrapText="1"/>
      <protection/>
    </xf>
    <xf numFmtId="167" fontId="61" fillId="0" borderId="95" xfId="99" applyNumberFormat="1" applyFont="1" applyFill="1" applyBorder="1" applyAlignment="1" applyProtection="1">
      <alignment horizontal="center" vertical="center"/>
      <protection/>
    </xf>
    <xf numFmtId="167" fontId="61" fillId="0" borderId="60" xfId="99" applyNumberFormat="1" applyFont="1" applyFill="1" applyBorder="1" applyAlignment="1" applyProtection="1">
      <alignment horizontal="center" vertical="center"/>
      <protection/>
    </xf>
    <xf numFmtId="167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7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C1">
      <selection activeCell="D66" sqref="D66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8" bestFit="1" customWidth="1"/>
    <col min="6" max="7" width="14.57421875" style="388" customWidth="1"/>
    <col min="8" max="8" width="15.28125" style="388" customWidth="1"/>
    <col min="9" max="9" width="10.8515625" style="388" hidden="1" customWidth="1"/>
    <col min="10" max="10" width="13.140625" style="388" hidden="1" customWidth="1"/>
    <col min="11" max="11" width="17.28125" style="389" bestFit="1" customWidth="1"/>
    <col min="12" max="13" width="14.57421875" style="389" customWidth="1"/>
    <col min="14" max="14" width="14.28125" style="389" customWidth="1"/>
    <col min="15" max="16" width="10.8515625" style="389" hidden="1" customWidth="1"/>
    <col min="17" max="17" width="12.8515625" style="390" customWidth="1"/>
    <col min="18" max="18" width="15.57421875" style="389" customWidth="1"/>
    <col min="19" max="19" width="13.421875" style="389" customWidth="1"/>
    <col min="20" max="20" width="14.8515625" style="389" customWidth="1"/>
    <col min="21" max="21" width="12.7109375" style="390" hidden="1" customWidth="1"/>
    <col min="22" max="22" width="11.8515625" style="390" hidden="1" customWidth="1"/>
    <col min="23" max="16384" width="9.140625" style="390" customWidth="1"/>
  </cols>
  <sheetData>
    <row r="1" spans="5:19" ht="12.75">
      <c r="E1" s="1249" t="s">
        <v>392</v>
      </c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</row>
    <row r="2" spans="1:19" ht="12.75">
      <c r="A2" s="126"/>
      <c r="B2" s="126"/>
      <c r="C2" s="126"/>
      <c r="D2" s="127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</row>
    <row r="3" spans="1:20" s="392" customFormat="1" ht="34.5" customHeight="1">
      <c r="A3" s="1254" t="s">
        <v>485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285"/>
      <c r="S3" s="391"/>
      <c r="T3" s="391"/>
    </row>
    <row r="4" spans="1:17" ht="13.5" thickBot="1">
      <c r="A4" s="128"/>
      <c r="B4" s="128"/>
      <c r="C4" s="128"/>
      <c r="D4" s="124"/>
      <c r="K4" s="100"/>
      <c r="L4" s="100"/>
      <c r="M4" s="100"/>
      <c r="N4" s="100"/>
      <c r="O4" s="100"/>
      <c r="P4" s="100"/>
      <c r="Q4" s="58" t="s">
        <v>387</v>
      </c>
    </row>
    <row r="5" spans="1:22" ht="45.75" customHeight="1" thickBot="1">
      <c r="A5" s="1255" t="s">
        <v>5</v>
      </c>
      <c r="B5" s="1256"/>
      <c r="C5" s="1256"/>
      <c r="D5" s="400" t="s">
        <v>8</v>
      </c>
      <c r="E5" s="1258" t="s">
        <v>4</v>
      </c>
      <c r="F5" s="1259"/>
      <c r="G5" s="1259"/>
      <c r="H5" s="1259"/>
      <c r="I5" s="1259"/>
      <c r="J5" s="1260"/>
      <c r="K5" s="1258" t="s">
        <v>64</v>
      </c>
      <c r="L5" s="1259"/>
      <c r="M5" s="1259"/>
      <c r="N5" s="1259"/>
      <c r="O5" s="1259"/>
      <c r="P5" s="1260"/>
      <c r="Q5" s="1258" t="s">
        <v>65</v>
      </c>
      <c r="R5" s="1259"/>
      <c r="S5" s="1259"/>
      <c r="T5" s="1259"/>
      <c r="U5" s="1259"/>
      <c r="V5" s="1260"/>
    </row>
    <row r="6" spans="1:22" ht="45.75" customHeight="1" thickBot="1">
      <c r="A6" s="358"/>
      <c r="B6" s="359"/>
      <c r="C6" s="359"/>
      <c r="D6" s="400"/>
      <c r="E6" s="434" t="s">
        <v>70</v>
      </c>
      <c r="F6" s="435" t="s">
        <v>188</v>
      </c>
      <c r="G6" s="435" t="s">
        <v>194</v>
      </c>
      <c r="H6" s="435" t="s">
        <v>196</v>
      </c>
      <c r="I6" s="435" t="s">
        <v>212</v>
      </c>
      <c r="J6" s="436" t="s">
        <v>245</v>
      </c>
      <c r="K6" s="434" t="s">
        <v>70</v>
      </c>
      <c r="L6" s="435" t="s">
        <v>188</v>
      </c>
      <c r="M6" s="435" t="s">
        <v>194</v>
      </c>
      <c r="N6" s="435" t="s">
        <v>196</v>
      </c>
      <c r="O6" s="435" t="s">
        <v>212</v>
      </c>
      <c r="P6" s="436" t="s">
        <v>245</v>
      </c>
      <c r="Q6" s="434" t="s">
        <v>70</v>
      </c>
      <c r="R6" s="435" t="s">
        <v>188</v>
      </c>
      <c r="S6" s="435" t="s">
        <v>194</v>
      </c>
      <c r="T6" s="435" t="s">
        <v>196</v>
      </c>
      <c r="U6" s="435" t="s">
        <v>212</v>
      </c>
      <c r="V6" s="436" t="s">
        <v>245</v>
      </c>
    </row>
    <row r="7" spans="1:22" s="7" customFormat="1" ht="21.75" customHeight="1" thickBot="1">
      <c r="A7" s="139"/>
      <c r="B7" s="1257"/>
      <c r="C7" s="1257"/>
      <c r="D7" s="1257"/>
      <c r="E7" s="437"/>
      <c r="F7" s="332"/>
      <c r="G7" s="332"/>
      <c r="H7" s="332"/>
      <c r="I7" s="332"/>
      <c r="J7" s="1004"/>
      <c r="K7" s="437"/>
      <c r="L7" s="332"/>
      <c r="M7" s="332"/>
      <c r="N7" s="332"/>
      <c r="O7" s="332"/>
      <c r="P7" s="1004"/>
      <c r="Q7" s="437"/>
      <c r="R7" s="332"/>
      <c r="S7" s="332"/>
      <c r="T7" s="332"/>
      <c r="U7" s="332"/>
      <c r="V7" s="1004"/>
    </row>
    <row r="8" spans="1:22" s="7" customFormat="1" ht="21.75" customHeight="1" thickBot="1">
      <c r="A8" s="139" t="s">
        <v>25</v>
      </c>
      <c r="B8" s="1257" t="s">
        <v>292</v>
      </c>
      <c r="C8" s="1257"/>
      <c r="D8" s="1257"/>
      <c r="E8" s="437">
        <f>E9+E14+E17+E18+E21</f>
        <v>1490156</v>
      </c>
      <c r="F8" s="332">
        <f>F9+F14+F17+F18+F21</f>
        <v>1221482</v>
      </c>
      <c r="G8" s="332">
        <f>G9+G14+G17+G18+G21</f>
        <v>1241600</v>
      </c>
      <c r="H8" s="332">
        <f>H9+H14+H17+H18+H21</f>
        <v>1307937</v>
      </c>
      <c r="I8" s="332">
        <f aca="true" t="shared" si="0" ref="I8:P8">I9+I14+I17</f>
        <v>0</v>
      </c>
      <c r="J8" s="1004">
        <f t="shared" si="0"/>
        <v>0</v>
      </c>
      <c r="K8" s="437">
        <f>K9+K14+K17+K18+K21</f>
        <v>797612</v>
      </c>
      <c r="L8" s="332">
        <f>L9+L14+L17+L18+L21</f>
        <v>528938</v>
      </c>
      <c r="M8" s="332">
        <f>M9+M14+M17+M18+M21</f>
        <v>434066</v>
      </c>
      <c r="N8" s="332">
        <f>N9+N14+N17+N18+N21</f>
        <v>688122</v>
      </c>
      <c r="O8" s="332">
        <f t="shared" si="0"/>
        <v>0</v>
      </c>
      <c r="P8" s="1004">
        <f t="shared" si="0"/>
        <v>0</v>
      </c>
      <c r="Q8" s="437">
        <f aca="true" t="shared" si="1" ref="Q8:V8">Q9+Q14+Q17+Q18+Q21</f>
        <v>692544</v>
      </c>
      <c r="R8" s="332">
        <f t="shared" si="1"/>
        <v>692544</v>
      </c>
      <c r="S8" s="332">
        <f t="shared" si="1"/>
        <v>807534</v>
      </c>
      <c r="T8" s="332">
        <f>T9+T14+T17+T18+T21</f>
        <v>619815</v>
      </c>
      <c r="U8" s="332">
        <f t="shared" si="1"/>
        <v>-6715177.076463758</v>
      </c>
      <c r="V8" s="1004">
        <f t="shared" si="1"/>
        <v>-5546004</v>
      </c>
    </row>
    <row r="9" spans="1:22" ht="21.75" customHeight="1">
      <c r="A9" s="889"/>
      <c r="B9" s="287" t="s">
        <v>34</v>
      </c>
      <c r="C9" s="1250" t="s">
        <v>293</v>
      </c>
      <c r="D9" s="1250"/>
      <c r="E9" s="566">
        <f aca="true" t="shared" si="2" ref="E9:P9">SUM(E10:E13)</f>
        <v>1084572</v>
      </c>
      <c r="F9" s="567">
        <f t="shared" si="2"/>
        <v>1084572</v>
      </c>
      <c r="G9" s="567">
        <f t="shared" si="2"/>
        <v>1084572</v>
      </c>
      <c r="H9" s="567">
        <f t="shared" si="2"/>
        <v>1088770</v>
      </c>
      <c r="I9" s="567">
        <f t="shared" si="2"/>
        <v>0</v>
      </c>
      <c r="J9" s="1005">
        <f t="shared" si="2"/>
        <v>0</v>
      </c>
      <c r="K9" s="566">
        <f t="shared" si="2"/>
        <v>497612</v>
      </c>
      <c r="L9" s="567">
        <f t="shared" si="2"/>
        <v>892029</v>
      </c>
      <c r="M9" s="567">
        <f t="shared" si="2"/>
        <v>777038</v>
      </c>
      <c r="N9" s="567">
        <f t="shared" si="2"/>
        <v>468955</v>
      </c>
      <c r="O9" s="567">
        <f t="shared" si="2"/>
        <v>0</v>
      </c>
      <c r="P9" s="1005">
        <f t="shared" si="2"/>
        <v>0</v>
      </c>
      <c r="Q9" s="566">
        <f aca="true" t="shared" si="3" ref="Q9:V9">SUM(Q10:Q13)</f>
        <v>586960</v>
      </c>
      <c r="R9" s="567">
        <f t="shared" si="3"/>
        <v>192543</v>
      </c>
      <c r="S9" s="567">
        <f t="shared" si="3"/>
        <v>307534</v>
      </c>
      <c r="T9" s="567">
        <f>SUM(T10:T13)</f>
        <v>619815</v>
      </c>
      <c r="U9" s="567">
        <f t="shared" si="3"/>
        <v>-7215181.076463758</v>
      </c>
      <c r="V9" s="1005">
        <f t="shared" si="3"/>
        <v>-6046009</v>
      </c>
    </row>
    <row r="10" spans="1:22" ht="21.75" customHeight="1">
      <c r="A10" s="136"/>
      <c r="B10" s="132"/>
      <c r="C10" s="132" t="s">
        <v>298</v>
      </c>
      <c r="D10" s="401" t="s">
        <v>294</v>
      </c>
      <c r="E10" s="439">
        <f>'3.sz.m Önk  bev.'!E9</f>
        <v>0</v>
      </c>
      <c r="F10" s="334">
        <f>'3.sz.m Önk  bev.'!F9</f>
        <v>0</v>
      </c>
      <c r="G10" s="334">
        <f>'3.sz.m Önk  bev.'!G9</f>
        <v>0</v>
      </c>
      <c r="H10" s="334">
        <f>'3.sz.m Önk  bev.'!H9</f>
        <v>0</v>
      </c>
      <c r="I10" s="334"/>
      <c r="J10" s="1006"/>
      <c r="K10" s="439">
        <f>'3.sz.m Önk  bev.'!K9</f>
        <v>0</v>
      </c>
      <c r="L10" s="334">
        <f>'3.sz.m Önk  bev.'!L9</f>
        <v>0</v>
      </c>
      <c r="M10" s="334">
        <f>'3.sz.m Önk  bev.'!M9</f>
        <v>0</v>
      </c>
      <c r="N10" s="334">
        <f>'3.sz.m Önk  bev.'!N9</f>
        <v>0</v>
      </c>
      <c r="O10" s="334"/>
      <c r="P10" s="1006"/>
      <c r="Q10" s="439">
        <f>'3.sz.m Önk  bev.'!Q9</f>
        <v>0</v>
      </c>
      <c r="R10" s="334">
        <f>'3.sz.m Önk  bev.'!R9</f>
        <v>0</v>
      </c>
      <c r="S10" s="334">
        <f>'3.sz.m Önk  bev.'!S9</f>
        <v>0</v>
      </c>
      <c r="T10" s="334">
        <f>'3.sz.m Önk  bev.'!T9</f>
        <v>0</v>
      </c>
      <c r="U10" s="334">
        <f>'3.sz.m Önk  bev.'!U9</f>
        <v>0</v>
      </c>
      <c r="V10" s="1006">
        <f>'3.sz.m Önk  bev.'!V9</f>
        <v>0</v>
      </c>
    </row>
    <row r="11" spans="1:22" ht="21.75" customHeight="1">
      <c r="A11" s="136"/>
      <c r="B11" s="132"/>
      <c r="C11" s="132" t="s">
        <v>299</v>
      </c>
      <c r="D11" s="401" t="s">
        <v>279</v>
      </c>
      <c r="E11" s="439">
        <f>'3.sz.m Önk  bev.'!E10</f>
        <v>1084572</v>
      </c>
      <c r="F11" s="334">
        <f>'3.sz.m Önk  bev.'!F10</f>
        <v>1084572</v>
      </c>
      <c r="G11" s="334">
        <f>'3.sz.m Önk  bev.'!G10</f>
        <v>1084572</v>
      </c>
      <c r="H11" s="334">
        <f>'3.sz.m Önk  bev.'!H10</f>
        <v>1088770</v>
      </c>
      <c r="I11" s="334"/>
      <c r="J11" s="1006"/>
      <c r="K11" s="439">
        <f>'3.sz.m Önk  bev.'!K10</f>
        <v>497612</v>
      </c>
      <c r="L11" s="334">
        <f>'3.sz.m Önk  bev.'!L10</f>
        <v>892029</v>
      </c>
      <c r="M11" s="334">
        <f>'3.sz.m Önk  bev.'!M10</f>
        <v>777038</v>
      </c>
      <c r="N11" s="334">
        <f>'3.sz.m Önk  bev.'!N10</f>
        <v>468955</v>
      </c>
      <c r="O11" s="334"/>
      <c r="P11" s="1006"/>
      <c r="Q11" s="439">
        <f>'3.sz.m Önk  bev.'!Q10</f>
        <v>586960</v>
      </c>
      <c r="R11" s="334">
        <f>'3.sz.m Önk  bev.'!R10</f>
        <v>192543</v>
      </c>
      <c r="S11" s="334">
        <f>'3.sz.m Önk  bev.'!S10</f>
        <v>307534</v>
      </c>
      <c r="T11" s="334">
        <f>'3.sz.m Önk  bev.'!T10</f>
        <v>619815</v>
      </c>
      <c r="U11" s="334">
        <f>'3.sz.m Önk  bev.'!U10</f>
        <v>-7215181.076463758</v>
      </c>
      <c r="V11" s="1006">
        <f>'3.sz.m Önk  bev.'!V10</f>
        <v>-6046009</v>
      </c>
    </row>
    <row r="12" spans="1:22" ht="21.75" customHeight="1">
      <c r="A12" s="136"/>
      <c r="B12" s="132"/>
      <c r="C12" s="132" t="s">
        <v>300</v>
      </c>
      <c r="D12" s="401" t="s">
        <v>276</v>
      </c>
      <c r="E12" s="439">
        <f>'3.sz.m Önk  bev.'!E11</f>
        <v>0</v>
      </c>
      <c r="F12" s="334">
        <f>'3.sz.m Önk  bev.'!F11</f>
        <v>0</v>
      </c>
      <c r="G12" s="334">
        <f>'3.sz.m Önk  bev.'!G11</f>
        <v>0</v>
      </c>
      <c r="H12" s="334">
        <f>'3.sz.m Önk  bev.'!H11</f>
        <v>0</v>
      </c>
      <c r="I12" s="334"/>
      <c r="J12" s="1006"/>
      <c r="K12" s="439">
        <f>'3.sz.m Önk  bev.'!K11</f>
        <v>0</v>
      </c>
      <c r="L12" s="334">
        <f>'3.sz.m Önk  bev.'!L11</f>
        <v>0</v>
      </c>
      <c r="M12" s="334">
        <f>'3.sz.m Önk  bev.'!M11</f>
        <v>0</v>
      </c>
      <c r="N12" s="334">
        <f>'3.sz.m Önk  bev.'!N11</f>
        <v>0</v>
      </c>
      <c r="O12" s="334"/>
      <c r="P12" s="1006"/>
      <c r="Q12" s="439">
        <f>'3.sz.m Önk  bev.'!Q11</f>
        <v>0</v>
      </c>
      <c r="R12" s="334">
        <f>'3.sz.m Önk  bev.'!R11</f>
        <v>0</v>
      </c>
      <c r="S12" s="334">
        <f>'3.sz.m Önk  bev.'!S11</f>
        <v>0</v>
      </c>
      <c r="T12" s="334">
        <f>'3.sz.m Önk  bev.'!T11</f>
        <v>0</v>
      </c>
      <c r="U12" s="334">
        <f>'3.sz.m Önk  bev.'!U11</f>
        <v>0</v>
      </c>
      <c r="V12" s="1006">
        <f>'3.sz.m Önk  bev.'!V11</f>
        <v>0</v>
      </c>
    </row>
    <row r="13" spans="1:32" ht="21.75" customHeight="1" hidden="1">
      <c r="A13" s="136"/>
      <c r="B13" s="132"/>
      <c r="C13" s="132"/>
      <c r="D13" s="401"/>
      <c r="E13" s="439"/>
      <c r="F13" s="334"/>
      <c r="G13" s="334"/>
      <c r="H13" s="334"/>
      <c r="I13" s="334"/>
      <c r="J13" s="1006"/>
      <c r="K13" s="439"/>
      <c r="L13" s="334"/>
      <c r="M13" s="334"/>
      <c r="N13" s="334"/>
      <c r="O13" s="334"/>
      <c r="P13" s="1006"/>
      <c r="Q13" s="439"/>
      <c r="R13" s="334"/>
      <c r="S13" s="334"/>
      <c r="T13" s="334"/>
      <c r="U13" s="334"/>
      <c r="V13" s="1006"/>
      <c r="AF13" s="390" t="s">
        <v>209</v>
      </c>
    </row>
    <row r="14" spans="1:22" ht="21.75" customHeight="1">
      <c r="A14" s="136"/>
      <c r="B14" s="132" t="s">
        <v>35</v>
      </c>
      <c r="C14" s="1253" t="s">
        <v>295</v>
      </c>
      <c r="D14" s="1253"/>
      <c r="E14" s="439">
        <f>SUM(E15:E16)</f>
        <v>0</v>
      </c>
      <c r="F14" s="334">
        <f>SUM(F15:F16)</f>
        <v>0</v>
      </c>
      <c r="G14" s="334">
        <f>SUM(G15:G16)</f>
        <v>0</v>
      </c>
      <c r="H14" s="334">
        <f>SUM(H15:H16)</f>
        <v>0</v>
      </c>
      <c r="I14" s="334"/>
      <c r="J14" s="1006"/>
      <c r="K14" s="439">
        <f>SUM(K15:K16)</f>
        <v>0</v>
      </c>
      <c r="L14" s="334">
        <f>SUM(L15:L16)</f>
        <v>0</v>
      </c>
      <c r="M14" s="334">
        <f>SUM(M15:M16)</f>
        <v>0</v>
      </c>
      <c r="N14" s="334">
        <f>SUM(N15:N16)</f>
        <v>0</v>
      </c>
      <c r="O14" s="334"/>
      <c r="P14" s="1006"/>
      <c r="Q14" s="439">
        <f aca="true" t="shared" si="4" ref="Q14:V14">SUM(Q15:Q16)</f>
        <v>0</v>
      </c>
      <c r="R14" s="334">
        <f t="shared" si="4"/>
        <v>0</v>
      </c>
      <c r="S14" s="334">
        <f t="shared" si="4"/>
        <v>0</v>
      </c>
      <c r="T14" s="334">
        <f>SUM(T15:T16)</f>
        <v>0</v>
      </c>
      <c r="U14" s="334">
        <f t="shared" si="4"/>
        <v>0</v>
      </c>
      <c r="V14" s="1006">
        <f t="shared" si="4"/>
        <v>0</v>
      </c>
    </row>
    <row r="15" spans="1:22" ht="21.75" customHeight="1">
      <c r="A15" s="136"/>
      <c r="B15" s="132"/>
      <c r="C15" s="132" t="s">
        <v>296</v>
      </c>
      <c r="D15" s="734" t="s">
        <v>301</v>
      </c>
      <c r="E15" s="439">
        <f>'3.sz.m Önk  bev.'!E14</f>
        <v>0</v>
      </c>
      <c r="F15" s="334">
        <f>'3.sz.m Önk  bev.'!F14</f>
        <v>0</v>
      </c>
      <c r="G15" s="334">
        <f>'3.sz.m Önk  bev.'!G14</f>
        <v>0</v>
      </c>
      <c r="H15" s="334">
        <f>'3.sz.m Önk  bev.'!H14</f>
        <v>0</v>
      </c>
      <c r="I15" s="334"/>
      <c r="J15" s="1006"/>
      <c r="K15" s="439">
        <f>'3.sz.m Önk  bev.'!K14</f>
        <v>0</v>
      </c>
      <c r="L15" s="334">
        <f>'3.sz.m Önk  bev.'!L14</f>
        <v>0</v>
      </c>
      <c r="M15" s="334">
        <f>'3.sz.m Önk  bev.'!M14</f>
        <v>0</v>
      </c>
      <c r="N15" s="334">
        <f>'3.sz.m Önk  bev.'!N14</f>
        <v>0</v>
      </c>
      <c r="O15" s="334"/>
      <c r="P15" s="1006"/>
      <c r="Q15" s="439">
        <f>'3.sz.m Önk  bev.'!Q14</f>
        <v>0</v>
      </c>
      <c r="R15" s="334">
        <f>'3.sz.m Önk  bev.'!R14</f>
        <v>0</v>
      </c>
      <c r="S15" s="334">
        <f>'3.sz.m Önk  bev.'!S14</f>
        <v>0</v>
      </c>
      <c r="T15" s="334">
        <f>'3.sz.m Önk  bev.'!T14</f>
        <v>0</v>
      </c>
      <c r="U15" s="334">
        <f>'3.sz.m Önk  bev.'!U14</f>
        <v>0</v>
      </c>
      <c r="V15" s="1006">
        <f>'3.sz.m Önk  bev.'!V14</f>
        <v>0</v>
      </c>
    </row>
    <row r="16" spans="1:22" ht="21.75" customHeight="1">
      <c r="A16" s="136"/>
      <c r="B16" s="132"/>
      <c r="C16" s="132" t="s">
        <v>297</v>
      </c>
      <c r="D16" s="734" t="s">
        <v>302</v>
      </c>
      <c r="E16" s="439">
        <f>'3.sz.m Önk  bev.'!E15</f>
        <v>0</v>
      </c>
      <c r="F16" s="334">
        <f>'3.sz.m Önk  bev.'!F15</f>
        <v>0</v>
      </c>
      <c r="G16" s="334">
        <f>'3.sz.m Önk  bev.'!G15</f>
        <v>0</v>
      </c>
      <c r="H16" s="334">
        <f>'3.sz.m Önk  bev.'!H15</f>
        <v>0</v>
      </c>
      <c r="I16" s="334"/>
      <c r="J16" s="1006"/>
      <c r="K16" s="439">
        <f>'3.sz.m Önk  bev.'!K15</f>
        <v>0</v>
      </c>
      <c r="L16" s="334">
        <f>'3.sz.m Önk  bev.'!L15</f>
        <v>0</v>
      </c>
      <c r="M16" s="334">
        <f>'3.sz.m Önk  bev.'!M15</f>
        <v>0</v>
      </c>
      <c r="N16" s="334">
        <f>'3.sz.m Önk  bev.'!N15</f>
        <v>0</v>
      </c>
      <c r="O16" s="334"/>
      <c r="P16" s="1006"/>
      <c r="Q16" s="439">
        <f>'3.sz.m Önk  bev.'!Q15</f>
        <v>0</v>
      </c>
      <c r="R16" s="334">
        <f>'3.sz.m Önk  bev.'!R15</f>
        <v>0</v>
      </c>
      <c r="S16" s="334">
        <f>'3.sz.m Önk  bev.'!S15</f>
        <v>0</v>
      </c>
      <c r="T16" s="334">
        <f>'3.sz.m Önk  bev.'!T15</f>
        <v>0</v>
      </c>
      <c r="U16" s="334">
        <f>'3.sz.m Önk  bev.'!U15</f>
        <v>0</v>
      </c>
      <c r="V16" s="1006">
        <f>'3.sz.m Önk  bev.'!V15</f>
        <v>0</v>
      </c>
    </row>
    <row r="17" spans="1:22" ht="21.75" customHeight="1">
      <c r="A17" s="136"/>
      <c r="B17" s="132" t="s">
        <v>112</v>
      </c>
      <c r="C17" s="1253" t="s">
        <v>303</v>
      </c>
      <c r="D17" s="1253"/>
      <c r="E17" s="439">
        <f>'3.sz.m Önk  bev.'!E16</f>
        <v>300000</v>
      </c>
      <c r="F17" s="334">
        <f>'3.sz.m Önk  bev.'!F16</f>
        <v>31326</v>
      </c>
      <c r="G17" s="334">
        <f>'3.sz.m Önk  bev.'!G16</f>
        <v>31326</v>
      </c>
      <c r="H17" s="334">
        <f>'3.sz.m Önk  bev.'!H16</f>
        <v>31326</v>
      </c>
      <c r="I17" s="890"/>
      <c r="J17" s="1022"/>
      <c r="K17" s="439">
        <f>'3.sz.m Önk  bev.'!K16</f>
        <v>300000</v>
      </c>
      <c r="L17" s="334">
        <f>'3.sz.m Önk  bev.'!L16</f>
        <v>31326</v>
      </c>
      <c r="M17" s="334">
        <f>'3.sz.m Önk  bev.'!M16</f>
        <v>31326</v>
      </c>
      <c r="N17" s="334">
        <f>'3.sz.m Önk  bev.'!N16</f>
        <v>31326</v>
      </c>
      <c r="O17" s="890"/>
      <c r="P17" s="1022"/>
      <c r="Q17" s="439">
        <f>'3.sz.m Önk  bev.'!Q16</f>
        <v>0</v>
      </c>
      <c r="R17" s="334">
        <f>'3.sz.m Önk  bev.'!R16</f>
        <v>0</v>
      </c>
      <c r="S17" s="334">
        <f>'3.sz.m Önk  bev.'!S16</f>
        <v>0</v>
      </c>
      <c r="T17" s="334">
        <f>'3.sz.m Önk  bev.'!T16</f>
        <v>0</v>
      </c>
      <c r="U17" s="334">
        <f>'3.sz.m Önk  bev.'!U16</f>
        <v>0</v>
      </c>
      <c r="V17" s="1006">
        <f>'3.sz.m Önk  bev.'!V16</f>
        <v>0</v>
      </c>
    </row>
    <row r="18" spans="1:22" ht="21.75" customHeight="1">
      <c r="A18" s="136"/>
      <c r="B18" s="132" t="s">
        <v>47</v>
      </c>
      <c r="C18" s="1273" t="s">
        <v>304</v>
      </c>
      <c r="D18" s="1274"/>
      <c r="E18" s="439">
        <f>SUM(E19:E20)</f>
        <v>0</v>
      </c>
      <c r="F18" s="334">
        <f>SUM(F19:F20)</f>
        <v>0</v>
      </c>
      <c r="G18" s="334">
        <f>SUM(G19:G20)</f>
        <v>0</v>
      </c>
      <c r="H18" s="334">
        <f>SUM(H19:H20)</f>
        <v>0</v>
      </c>
      <c r="I18" s="890"/>
      <c r="J18" s="1022"/>
      <c r="K18" s="439">
        <f>SUM(K19:K20)</f>
        <v>0</v>
      </c>
      <c r="L18" s="334">
        <f>SUM(L19:L20)</f>
        <v>0</v>
      </c>
      <c r="M18" s="334">
        <f>SUM(M19:M20)</f>
        <v>0</v>
      </c>
      <c r="N18" s="334">
        <f>SUM(N19:N20)</f>
        <v>0</v>
      </c>
      <c r="O18" s="890"/>
      <c r="P18" s="1022"/>
      <c r="Q18" s="439">
        <f aca="true" t="shared" si="5" ref="Q18:V18">SUM(Q19:Q20)</f>
        <v>0</v>
      </c>
      <c r="R18" s="334">
        <f t="shared" si="5"/>
        <v>0</v>
      </c>
      <c r="S18" s="334">
        <f t="shared" si="5"/>
        <v>0</v>
      </c>
      <c r="T18" s="334">
        <f>SUM(T19:T20)</f>
        <v>0</v>
      </c>
      <c r="U18" s="334">
        <f t="shared" si="5"/>
        <v>0</v>
      </c>
      <c r="V18" s="1006">
        <f t="shared" si="5"/>
        <v>0</v>
      </c>
    </row>
    <row r="19" spans="1:22" ht="21.75" customHeight="1">
      <c r="A19" s="136"/>
      <c r="B19" s="132"/>
      <c r="C19" s="132" t="s">
        <v>305</v>
      </c>
      <c r="D19" s="734" t="s">
        <v>307</v>
      </c>
      <c r="E19" s="439">
        <f>'3.sz.m Önk  bev.'!E18</f>
        <v>0</v>
      </c>
      <c r="F19" s="334">
        <f>'3.sz.m Önk  bev.'!F18</f>
        <v>0</v>
      </c>
      <c r="G19" s="334">
        <f>'3.sz.m Önk  bev.'!G18</f>
        <v>0</v>
      </c>
      <c r="H19" s="334">
        <f>'3.sz.m Önk  bev.'!H18</f>
        <v>0</v>
      </c>
      <c r="I19" s="890"/>
      <c r="J19" s="1022"/>
      <c r="K19" s="439">
        <f>'3.sz.m Önk  bev.'!K18</f>
        <v>0</v>
      </c>
      <c r="L19" s="334">
        <f>'3.sz.m Önk  bev.'!L18</f>
        <v>0</v>
      </c>
      <c r="M19" s="334">
        <f>'3.sz.m Önk  bev.'!M18</f>
        <v>0</v>
      </c>
      <c r="N19" s="334">
        <f>'3.sz.m Önk  bev.'!N18</f>
        <v>0</v>
      </c>
      <c r="O19" s="890"/>
      <c r="P19" s="1022"/>
      <c r="Q19" s="439">
        <f>'3.sz.m Önk  bev.'!Q18</f>
        <v>0</v>
      </c>
      <c r="R19" s="334">
        <f>'3.sz.m Önk  bev.'!R18</f>
        <v>0</v>
      </c>
      <c r="S19" s="334">
        <f>'3.sz.m Önk  bev.'!S18</f>
        <v>0</v>
      </c>
      <c r="T19" s="334">
        <f>'3.sz.m Önk  bev.'!T18</f>
        <v>0</v>
      </c>
      <c r="U19" s="334">
        <f>'3.sz.m Önk  bev.'!U18</f>
        <v>0</v>
      </c>
      <c r="V19" s="1006">
        <f>'3.sz.m Önk  bev.'!V18</f>
        <v>0</v>
      </c>
    </row>
    <row r="20" spans="1:22" ht="21.75" customHeight="1">
      <c r="A20" s="136"/>
      <c r="B20" s="132"/>
      <c r="C20" s="132" t="s">
        <v>306</v>
      </c>
      <c r="D20" s="734" t="s">
        <v>280</v>
      </c>
      <c r="E20" s="439">
        <f>'3.sz.m Önk  bev.'!E19</f>
        <v>0</v>
      </c>
      <c r="F20" s="334">
        <f>'3.sz.m Önk  bev.'!F19</f>
        <v>0</v>
      </c>
      <c r="G20" s="334">
        <f>'3.sz.m Önk  bev.'!G19</f>
        <v>0</v>
      </c>
      <c r="H20" s="334">
        <f>'3.sz.m Önk  bev.'!H19</f>
        <v>0</v>
      </c>
      <c r="I20" s="890"/>
      <c r="J20" s="1022"/>
      <c r="K20" s="439">
        <f>'3.sz.m Önk  bev.'!K19</f>
        <v>0</v>
      </c>
      <c r="L20" s="334">
        <f>'3.sz.m Önk  bev.'!L19</f>
        <v>0</v>
      </c>
      <c r="M20" s="334">
        <f>'3.sz.m Önk  bev.'!M19</f>
        <v>0</v>
      </c>
      <c r="N20" s="334">
        <f>'3.sz.m Önk  bev.'!N19</f>
        <v>0</v>
      </c>
      <c r="O20" s="890"/>
      <c r="P20" s="1022"/>
      <c r="Q20" s="439">
        <f>'3.sz.m Önk  bev.'!Q19</f>
        <v>0</v>
      </c>
      <c r="R20" s="334">
        <f>'3.sz.m Önk  bev.'!R19</f>
        <v>0</v>
      </c>
      <c r="S20" s="334">
        <f>'3.sz.m Önk  bev.'!S19</f>
        <v>0</v>
      </c>
      <c r="T20" s="334">
        <f>'3.sz.m Önk  bev.'!T19</f>
        <v>0</v>
      </c>
      <c r="U20" s="334">
        <f>'3.sz.m Önk  bev.'!U19</f>
        <v>0</v>
      </c>
      <c r="V20" s="1006">
        <f>'3.sz.m Önk  bev.'!V19</f>
        <v>0</v>
      </c>
    </row>
    <row r="21" spans="1:22" ht="21.75" customHeight="1" thickBot="1">
      <c r="A21" s="569"/>
      <c r="B21" s="891" t="s">
        <v>48</v>
      </c>
      <c r="C21" s="1275" t="s">
        <v>308</v>
      </c>
      <c r="D21" s="1276"/>
      <c r="E21" s="439">
        <f>'3.sz.m Önk  bev.'!E20</f>
        <v>105584</v>
      </c>
      <c r="F21" s="334">
        <f>'3.sz.m Önk  bev.'!F20</f>
        <v>105584</v>
      </c>
      <c r="G21" s="334">
        <f>'3.sz.m Önk  bev.'!G20</f>
        <v>125702</v>
      </c>
      <c r="H21" s="334">
        <f>'3.sz.m Önk  bev.'!H20</f>
        <v>187841</v>
      </c>
      <c r="I21" s="892"/>
      <c r="J21" s="1023"/>
      <c r="K21" s="439">
        <f>'3.sz.m Önk  bev.'!K20</f>
        <v>0</v>
      </c>
      <c r="L21" s="334">
        <f>'3.sz.m Önk  bev.'!L20</f>
        <v>-394417</v>
      </c>
      <c r="M21" s="334">
        <f>'3.sz.m Önk  bev.'!M20</f>
        <v>-374298</v>
      </c>
      <c r="N21" s="334">
        <f>'3.sz.m Önk  bev.'!N20</f>
        <v>187841</v>
      </c>
      <c r="O21" s="892"/>
      <c r="P21" s="1023"/>
      <c r="Q21" s="439">
        <f>'3.sz.m Önk  bev.'!Q20</f>
        <v>105584</v>
      </c>
      <c r="R21" s="334">
        <f>'3.sz.m Önk  bev.'!R20</f>
        <v>500001</v>
      </c>
      <c r="S21" s="334">
        <f>'3.sz.m Önk  bev.'!S20</f>
        <v>500000</v>
      </c>
      <c r="T21" s="334">
        <f>'3.sz.m Önk  bev.'!T20</f>
        <v>0</v>
      </c>
      <c r="U21" s="334">
        <f>'3.sz.m Önk  bev.'!U20</f>
        <v>500004</v>
      </c>
      <c r="V21" s="1006">
        <f>'3.sz.m Önk  bev.'!V20</f>
        <v>500005</v>
      </c>
    </row>
    <row r="22" spans="1:22" ht="21.75" customHeight="1" thickBot="1">
      <c r="A22" s="139" t="s">
        <v>309</v>
      </c>
      <c r="B22" s="1257" t="s">
        <v>310</v>
      </c>
      <c r="C22" s="1257"/>
      <c r="D22" s="1257"/>
      <c r="E22" s="437">
        <f>E23+E24+E25+E29+E30+E31+E32</f>
        <v>22806</v>
      </c>
      <c r="F22" s="332">
        <f>F23+F24+F25+F29+F30+F31+F32</f>
        <v>143025</v>
      </c>
      <c r="G22" s="332">
        <f>G23+G24+G25+G29+G30+G31+G32</f>
        <v>143025</v>
      </c>
      <c r="H22" s="332">
        <f>H23+H24+H25+H29+H30+H31+H32</f>
        <v>245460</v>
      </c>
      <c r="I22" s="503">
        <f aca="true" t="shared" si="6" ref="I22:P22">SUM(I23:I32)</f>
        <v>0</v>
      </c>
      <c r="J22" s="1024">
        <f t="shared" si="6"/>
        <v>0</v>
      </c>
      <c r="K22" s="437">
        <f>K23+K24+K25+K29+K30+K31+K32</f>
        <v>22806</v>
      </c>
      <c r="L22" s="332">
        <f>L23+L24+L25+L29+L30+L31+L32</f>
        <v>143025</v>
      </c>
      <c r="M22" s="332">
        <f>M23+M24+M25+M29+M30+M31+M32</f>
        <v>143025</v>
      </c>
      <c r="N22" s="332">
        <f>N23+N24+N25+N29+N30+N31+N32</f>
        <v>245460</v>
      </c>
      <c r="O22" s="503">
        <f t="shared" si="6"/>
        <v>0</v>
      </c>
      <c r="P22" s="1024">
        <f t="shared" si="6"/>
        <v>0</v>
      </c>
      <c r="Q22" s="437">
        <f aca="true" t="shared" si="7" ref="Q22:V22">Q23+Q24+Q25+Q29+Q30+Q31+Q32</f>
        <v>0</v>
      </c>
      <c r="R22" s="332">
        <f t="shared" si="7"/>
        <v>0</v>
      </c>
      <c r="S22" s="332">
        <f t="shared" si="7"/>
        <v>0</v>
      </c>
      <c r="T22" s="332">
        <f>T23+T24+T25+T29+T30+T31+T32</f>
        <v>0</v>
      </c>
      <c r="U22" s="332">
        <f t="shared" si="7"/>
        <v>0</v>
      </c>
      <c r="V22" s="1004">
        <f t="shared" si="7"/>
        <v>0</v>
      </c>
    </row>
    <row r="23" spans="1:22" ht="21.75" customHeight="1">
      <c r="A23" s="137"/>
      <c r="B23" s="138" t="s">
        <v>37</v>
      </c>
      <c r="C23" s="1263" t="s">
        <v>311</v>
      </c>
      <c r="D23" s="1263"/>
      <c r="E23" s="438">
        <f>'3.sz.m Önk  bev.'!E22+'üres lap3'!D9</f>
        <v>0</v>
      </c>
      <c r="F23" s="333">
        <f>'3.sz.m Önk  bev.'!F22+'üres lap3'!E9</f>
        <v>80000</v>
      </c>
      <c r="G23" s="333">
        <f>'3.sz.m Önk  bev.'!G22+'üres lap3'!F9</f>
        <v>80000</v>
      </c>
      <c r="H23" s="333">
        <f>'3.sz.m Önk  bev.'!H22+'üres lap3'!G9</f>
        <v>80000</v>
      </c>
      <c r="I23" s="504"/>
      <c r="J23" s="1025"/>
      <c r="K23" s="438">
        <f>'3.sz.m Önk  bev.'!K22+'üres lap3'!J9</f>
        <v>0</v>
      </c>
      <c r="L23" s="333">
        <f>'3.sz.m Önk  bev.'!L22+'üres lap3'!K9</f>
        <v>80000</v>
      </c>
      <c r="M23" s="333">
        <f>'3.sz.m Önk  bev.'!M22+'üres lap3'!L9</f>
        <v>80000</v>
      </c>
      <c r="N23" s="333">
        <f>'3.sz.m Önk  bev.'!N22+'üres lap3'!M9</f>
        <v>80000</v>
      </c>
      <c r="O23" s="504"/>
      <c r="P23" s="1025"/>
      <c r="Q23" s="438">
        <f>'3.sz.m Önk  bev.'!Q22+'üres lap3'!P9</f>
        <v>0</v>
      </c>
      <c r="R23" s="333">
        <f>'3.sz.m Önk  bev.'!R22+'üres lap3'!Q9</f>
        <v>0</v>
      </c>
      <c r="S23" s="333">
        <f>'3.sz.m Önk  bev.'!S22+'üres lap3'!R9</f>
        <v>0</v>
      </c>
      <c r="T23" s="333">
        <f>'3.sz.m Önk  bev.'!T22+'üres lap3'!S9</f>
        <v>0</v>
      </c>
      <c r="U23" s="333">
        <f>'3.sz.m Önk  bev.'!U22+'üres lap3'!T9</f>
        <v>0</v>
      </c>
      <c r="V23" s="1007">
        <f>'3.sz.m Önk  bev.'!V22+'üres lap3'!U9</f>
        <v>0</v>
      </c>
    </row>
    <row r="24" spans="1:22" ht="21.75" customHeight="1">
      <c r="A24" s="136"/>
      <c r="B24" s="132" t="s">
        <v>38</v>
      </c>
      <c r="C24" s="1251" t="s">
        <v>312</v>
      </c>
      <c r="D24" s="1251"/>
      <c r="E24" s="443">
        <f>'3.sz.m Önk  bev.'!E23</f>
        <v>0</v>
      </c>
      <c r="F24" s="336">
        <f>'3.sz.m Önk  bev.'!F23</f>
        <v>0</v>
      </c>
      <c r="G24" s="336">
        <f>'3.sz.m Önk  bev.'!G23</f>
        <v>0</v>
      </c>
      <c r="H24" s="336">
        <f>'3.sz.m Önk  bev.'!H23</f>
        <v>0</v>
      </c>
      <c r="I24" s="336"/>
      <c r="J24" s="735"/>
      <c r="K24" s="443">
        <f>'3.sz.m Önk  bev.'!K23</f>
        <v>0</v>
      </c>
      <c r="L24" s="336">
        <f>'3.sz.m Önk  bev.'!L23</f>
        <v>0</v>
      </c>
      <c r="M24" s="336">
        <f>'3.sz.m Önk  bev.'!M23</f>
        <v>0</v>
      </c>
      <c r="N24" s="336">
        <f>'3.sz.m Önk  bev.'!N23</f>
        <v>0</v>
      </c>
      <c r="O24" s="336"/>
      <c r="P24" s="735"/>
      <c r="Q24" s="443">
        <f>'3.sz.m Önk  bev.'!Q23</f>
        <v>0</v>
      </c>
      <c r="R24" s="336">
        <f>'3.sz.m Önk  bev.'!R23</f>
        <v>0</v>
      </c>
      <c r="S24" s="336">
        <f>'3.sz.m Önk  bev.'!S23</f>
        <v>0</v>
      </c>
      <c r="T24" s="336">
        <f>'3.sz.m Önk  bev.'!T23</f>
        <v>0</v>
      </c>
      <c r="U24" s="336">
        <f>'3.sz.m Önk  bev.'!U23</f>
        <v>0</v>
      </c>
      <c r="V24" s="735">
        <f>'3.sz.m Önk  bev.'!V23</f>
        <v>0</v>
      </c>
    </row>
    <row r="25" spans="1:22" ht="21.75" customHeight="1">
      <c r="A25" s="136"/>
      <c r="B25" s="132" t="s">
        <v>39</v>
      </c>
      <c r="C25" s="1251" t="s">
        <v>313</v>
      </c>
      <c r="D25" s="1251"/>
      <c r="E25" s="443">
        <f>SUM(E26:E28)</f>
        <v>17806</v>
      </c>
      <c r="F25" s="336">
        <f>SUM(F26:F28)</f>
        <v>17806</v>
      </c>
      <c r="G25" s="336">
        <f>SUM(G26:G28)</f>
        <v>17806</v>
      </c>
      <c r="H25" s="336">
        <f>SUM(H26:H28)</f>
        <v>52156</v>
      </c>
      <c r="I25" s="336"/>
      <c r="J25" s="735"/>
      <c r="K25" s="443">
        <f>SUM(K26:K28)</f>
        <v>17806</v>
      </c>
      <c r="L25" s="336">
        <f>SUM(L26:L28)</f>
        <v>17806</v>
      </c>
      <c r="M25" s="336">
        <f>SUM(M26:M28)</f>
        <v>17806</v>
      </c>
      <c r="N25" s="336">
        <f>SUM(N26:N28)</f>
        <v>52156</v>
      </c>
      <c r="O25" s="336"/>
      <c r="P25" s="735"/>
      <c r="Q25" s="443">
        <f aca="true" t="shared" si="8" ref="Q25:V25">SUM(Q26:Q28)</f>
        <v>0</v>
      </c>
      <c r="R25" s="336">
        <f t="shared" si="8"/>
        <v>0</v>
      </c>
      <c r="S25" s="336">
        <f t="shared" si="8"/>
        <v>0</v>
      </c>
      <c r="T25" s="336">
        <f>SUM(T26:T28)</f>
        <v>0</v>
      </c>
      <c r="U25" s="336">
        <f t="shared" si="8"/>
        <v>0</v>
      </c>
      <c r="V25" s="735">
        <f t="shared" si="8"/>
        <v>0</v>
      </c>
    </row>
    <row r="26" spans="1:22" ht="43.5" customHeight="1">
      <c r="A26" s="136"/>
      <c r="B26" s="132"/>
      <c r="C26" s="132" t="s">
        <v>101</v>
      </c>
      <c r="D26" s="401" t="s">
        <v>460</v>
      </c>
      <c r="E26" s="443">
        <f>'3.sz.m Önk  bev.'!E25</f>
        <v>0</v>
      </c>
      <c r="F26" s="336">
        <f>'3.sz.m Önk  bev.'!F25</f>
        <v>0</v>
      </c>
      <c r="G26" s="336">
        <f>'3.sz.m Önk  bev.'!G25</f>
        <v>0</v>
      </c>
      <c r="H26" s="336">
        <f>'3.sz.m Önk  bev.'!H25</f>
        <v>34350</v>
      </c>
      <c r="I26" s="336"/>
      <c r="J26" s="735"/>
      <c r="K26" s="443">
        <f>'3.sz.m Önk  bev.'!K25</f>
        <v>0</v>
      </c>
      <c r="L26" s="336">
        <f>'3.sz.m Önk  bev.'!L25</f>
        <v>0</v>
      </c>
      <c r="M26" s="336">
        <f>'3.sz.m Önk  bev.'!M25</f>
        <v>0</v>
      </c>
      <c r="N26" s="336">
        <f>'3.sz.m Önk  bev.'!N25</f>
        <v>34350</v>
      </c>
      <c r="O26" s="336"/>
      <c r="P26" s="735"/>
      <c r="Q26" s="443">
        <f>'3.sz.m Önk  bev.'!Q25</f>
        <v>0</v>
      </c>
      <c r="R26" s="336">
        <f>'3.sz.m Önk  bev.'!R25</f>
        <v>0</v>
      </c>
      <c r="S26" s="336">
        <f>'3.sz.m Önk  bev.'!S25</f>
        <v>0</v>
      </c>
      <c r="T26" s="336">
        <f>'3.sz.m Önk  bev.'!T25</f>
        <v>0</v>
      </c>
      <c r="U26" s="336">
        <f>'3.sz.m Önk  bev.'!U25</f>
        <v>0</v>
      </c>
      <c r="V26" s="735">
        <f>'3.sz.m Önk  bev.'!V25</f>
        <v>0</v>
      </c>
    </row>
    <row r="27" spans="1:22" ht="41.25" customHeight="1">
      <c r="A27" s="136"/>
      <c r="B27" s="132"/>
      <c r="C27" s="132" t="s">
        <v>102</v>
      </c>
      <c r="D27" s="401" t="s">
        <v>314</v>
      </c>
      <c r="E27" s="443">
        <f>'3.sz.m Önk  bev.'!E26</f>
        <v>17806</v>
      </c>
      <c r="F27" s="336">
        <f>'3.sz.m Önk  bev.'!F26</f>
        <v>17806</v>
      </c>
      <c r="G27" s="336">
        <f>'3.sz.m Önk  bev.'!G26</f>
        <v>17806</v>
      </c>
      <c r="H27" s="336">
        <f>'3.sz.m Önk  bev.'!H26</f>
        <v>17806</v>
      </c>
      <c r="I27" s="336"/>
      <c r="J27" s="735"/>
      <c r="K27" s="443">
        <f>'3.sz.m Önk  bev.'!K26</f>
        <v>17806</v>
      </c>
      <c r="L27" s="336">
        <f>'3.sz.m Önk  bev.'!L26</f>
        <v>17806</v>
      </c>
      <c r="M27" s="336">
        <f>'3.sz.m Önk  bev.'!M26</f>
        <v>17806</v>
      </c>
      <c r="N27" s="336">
        <f>'3.sz.m Önk  bev.'!N26</f>
        <v>17806</v>
      </c>
      <c r="O27" s="336"/>
      <c r="P27" s="735"/>
      <c r="Q27" s="443">
        <f>'3.sz.m Önk  bev.'!Q26</f>
        <v>0</v>
      </c>
      <c r="R27" s="336">
        <f>'3.sz.m Önk  bev.'!R26</f>
        <v>0</v>
      </c>
      <c r="S27" s="336">
        <f>'3.sz.m Önk  bev.'!S26</f>
        <v>0</v>
      </c>
      <c r="T27" s="336">
        <f>'3.sz.m Önk  bev.'!T26</f>
        <v>0</v>
      </c>
      <c r="U27" s="336">
        <f>'3.sz.m Önk  bev.'!U26</f>
        <v>0</v>
      </c>
      <c r="V27" s="735">
        <f>'3.sz.m Önk  bev.'!V26</f>
        <v>0</v>
      </c>
    </row>
    <row r="28" spans="1:22" ht="21.75" customHeight="1">
      <c r="A28" s="136"/>
      <c r="B28" s="132"/>
      <c r="C28" s="132" t="s">
        <v>103</v>
      </c>
      <c r="D28" s="401" t="s">
        <v>315</v>
      </c>
      <c r="E28" s="443">
        <f>'3.sz.m Önk  bev.'!E27</f>
        <v>0</v>
      </c>
      <c r="F28" s="336">
        <f>'3.sz.m Önk  bev.'!F27</f>
        <v>0</v>
      </c>
      <c r="G28" s="336">
        <f>'3.sz.m Önk  bev.'!G27</f>
        <v>0</v>
      </c>
      <c r="H28" s="336">
        <f>'3.sz.m Önk  bev.'!H27</f>
        <v>0</v>
      </c>
      <c r="I28" s="336"/>
      <c r="J28" s="735"/>
      <c r="K28" s="443">
        <f>'3.sz.m Önk  bev.'!K27</f>
        <v>0</v>
      </c>
      <c r="L28" s="336">
        <f>'3.sz.m Önk  bev.'!L27</f>
        <v>0</v>
      </c>
      <c r="M28" s="336">
        <f>'3.sz.m Önk  bev.'!M27</f>
        <v>0</v>
      </c>
      <c r="N28" s="336">
        <f>'3.sz.m Önk  bev.'!N27</f>
        <v>0</v>
      </c>
      <c r="O28" s="336"/>
      <c r="P28" s="735"/>
      <c r="Q28" s="443">
        <f>'3.sz.m Önk  bev.'!Q27</f>
        <v>0</v>
      </c>
      <c r="R28" s="336">
        <f>'3.sz.m Önk  bev.'!R27</f>
        <v>0</v>
      </c>
      <c r="S28" s="336">
        <f>'3.sz.m Önk  bev.'!S27</f>
        <v>0</v>
      </c>
      <c r="T28" s="336">
        <f>'3.sz.m Önk  bev.'!T27</f>
        <v>0</v>
      </c>
      <c r="U28" s="336">
        <f>'3.sz.m Önk  bev.'!U27</f>
        <v>0</v>
      </c>
      <c r="V28" s="735">
        <f>'3.sz.m Önk  bev.'!V27</f>
        <v>0</v>
      </c>
    </row>
    <row r="29" spans="1:22" ht="21.75" customHeight="1">
      <c r="A29" s="136"/>
      <c r="B29" s="132" t="s">
        <v>285</v>
      </c>
      <c r="C29" s="1251" t="s">
        <v>316</v>
      </c>
      <c r="D29" s="1251"/>
      <c r="E29" s="443">
        <f>'3.sz.m Önk  bev.'!E28</f>
        <v>0</v>
      </c>
      <c r="F29" s="336">
        <f>'3.sz.m Önk  bev.'!F28</f>
        <v>0</v>
      </c>
      <c r="G29" s="336">
        <f>'3.sz.m Önk  bev.'!G28</f>
        <v>0</v>
      </c>
      <c r="H29" s="336">
        <f>'3.sz.m Önk  bev.'!H28</f>
        <v>0</v>
      </c>
      <c r="I29" s="336"/>
      <c r="J29" s="735"/>
      <c r="K29" s="443">
        <f>'3.sz.m Önk  bev.'!K28</f>
        <v>0</v>
      </c>
      <c r="L29" s="336">
        <f>'3.sz.m Önk  bev.'!L28</f>
        <v>0</v>
      </c>
      <c r="M29" s="336">
        <f>'3.sz.m Önk  bev.'!M28</f>
        <v>0</v>
      </c>
      <c r="N29" s="336">
        <f>'3.sz.m Önk  bev.'!N28</f>
        <v>0</v>
      </c>
      <c r="O29" s="336"/>
      <c r="P29" s="735"/>
      <c r="Q29" s="443">
        <f>'3.sz.m Önk  bev.'!Q28</f>
        <v>0</v>
      </c>
      <c r="R29" s="336">
        <f>'3.sz.m Önk  bev.'!R28</f>
        <v>0</v>
      </c>
      <c r="S29" s="336">
        <f>'3.sz.m Önk  bev.'!S28</f>
        <v>0</v>
      </c>
      <c r="T29" s="336">
        <f>'3.sz.m Önk  bev.'!T28</f>
        <v>0</v>
      </c>
      <c r="U29" s="336">
        <f>'3.sz.m Önk  bev.'!U28</f>
        <v>0</v>
      </c>
      <c r="V29" s="735">
        <f>'3.sz.m Önk  bev.'!V28</f>
        <v>0</v>
      </c>
    </row>
    <row r="30" spans="1:22" ht="21.75" customHeight="1">
      <c r="A30" s="140"/>
      <c r="B30" s="141" t="s">
        <v>317</v>
      </c>
      <c r="C30" s="1251" t="s">
        <v>318</v>
      </c>
      <c r="D30" s="1264"/>
      <c r="E30" s="443">
        <f>'3.sz.m Önk  bev.'!E29</f>
        <v>0</v>
      </c>
      <c r="F30" s="336">
        <f>'3.sz.m Önk  bev.'!F29</f>
        <v>0</v>
      </c>
      <c r="G30" s="336">
        <f>'3.sz.m Önk  bev.'!G29</f>
        <v>0</v>
      </c>
      <c r="H30" s="336">
        <f>'3.sz.m Önk  bev.'!H29</f>
        <v>0</v>
      </c>
      <c r="I30" s="336"/>
      <c r="J30" s="735"/>
      <c r="K30" s="443">
        <f>'3.sz.m Önk  bev.'!K29</f>
        <v>0</v>
      </c>
      <c r="L30" s="336">
        <f>'3.sz.m Önk  bev.'!L29</f>
        <v>0</v>
      </c>
      <c r="M30" s="336">
        <f>'3.sz.m Önk  bev.'!M29</f>
        <v>0</v>
      </c>
      <c r="N30" s="336">
        <f>'3.sz.m Önk  bev.'!N29</f>
        <v>0</v>
      </c>
      <c r="O30" s="336"/>
      <c r="P30" s="735"/>
      <c r="Q30" s="443">
        <f>'3.sz.m Önk  bev.'!Q29</f>
        <v>0</v>
      </c>
      <c r="R30" s="336">
        <f>'3.sz.m Önk  bev.'!R29</f>
        <v>0</v>
      </c>
      <c r="S30" s="336">
        <f>'3.sz.m Önk  bev.'!S29</f>
        <v>0</v>
      </c>
      <c r="T30" s="336">
        <f>'3.sz.m Önk  bev.'!T29</f>
        <v>0</v>
      </c>
      <c r="U30" s="336">
        <f>'3.sz.m Önk  bev.'!U29</f>
        <v>0</v>
      </c>
      <c r="V30" s="735">
        <f>'3.sz.m Önk  bev.'!V29</f>
        <v>0</v>
      </c>
    </row>
    <row r="31" spans="1:22" ht="21.75" customHeight="1">
      <c r="A31" s="140"/>
      <c r="B31" s="141" t="s">
        <v>319</v>
      </c>
      <c r="C31" s="1251" t="s">
        <v>320</v>
      </c>
      <c r="D31" s="1264"/>
      <c r="E31" s="443">
        <f>'3.sz.m Önk  bev.'!E30</f>
        <v>0</v>
      </c>
      <c r="F31" s="336">
        <f>'3.sz.m Önk  bev.'!F30</f>
        <v>1000</v>
      </c>
      <c r="G31" s="336">
        <f>'3.sz.m Önk  bev.'!G30</f>
        <v>1000</v>
      </c>
      <c r="H31" s="336">
        <f>'3.sz.m Önk  bev.'!H30</f>
        <v>1000</v>
      </c>
      <c r="I31" s="336"/>
      <c r="J31" s="735"/>
      <c r="K31" s="443">
        <f>'3.sz.m Önk  bev.'!K30</f>
        <v>0</v>
      </c>
      <c r="L31" s="336">
        <f>'3.sz.m Önk  bev.'!L30</f>
        <v>1000</v>
      </c>
      <c r="M31" s="336">
        <f>'3.sz.m Önk  bev.'!M30</f>
        <v>1000</v>
      </c>
      <c r="N31" s="336">
        <f>'3.sz.m Önk  bev.'!N30</f>
        <v>1000</v>
      </c>
      <c r="O31" s="336"/>
      <c r="P31" s="735"/>
      <c r="Q31" s="443">
        <f>'3.sz.m Önk  bev.'!Q30</f>
        <v>0</v>
      </c>
      <c r="R31" s="336">
        <f>'3.sz.m Önk  bev.'!R30</f>
        <v>0</v>
      </c>
      <c r="S31" s="336">
        <f>'3.sz.m Önk  bev.'!S30</f>
        <v>0</v>
      </c>
      <c r="T31" s="336">
        <f>'3.sz.m Önk  bev.'!T30</f>
        <v>0</v>
      </c>
      <c r="U31" s="336">
        <f>'3.sz.m Önk  bev.'!U30</f>
        <v>0</v>
      </c>
      <c r="V31" s="735">
        <f>'3.sz.m Önk  bev.'!V30</f>
        <v>0</v>
      </c>
    </row>
    <row r="32" spans="1:22" ht="21.75" customHeight="1" thickBot="1">
      <c r="A32" s="140"/>
      <c r="B32" s="141" t="s">
        <v>74</v>
      </c>
      <c r="C32" s="1252" t="s">
        <v>75</v>
      </c>
      <c r="D32" s="1252"/>
      <c r="E32" s="443">
        <f>'3.sz.m Önk  bev.'!E31</f>
        <v>5000</v>
      </c>
      <c r="F32" s="336">
        <f>'3.sz.m Önk  bev.'!F31</f>
        <v>44219</v>
      </c>
      <c r="G32" s="336">
        <f>'3.sz.m Önk  bev.'!G31</f>
        <v>44219</v>
      </c>
      <c r="H32" s="336">
        <f>'3.sz.m Önk  bev.'!H31</f>
        <v>112304</v>
      </c>
      <c r="I32" s="336"/>
      <c r="J32" s="735"/>
      <c r="K32" s="443">
        <f>'3.sz.m Önk  bev.'!K31</f>
        <v>5000</v>
      </c>
      <c r="L32" s="336">
        <f>'3.sz.m Önk  bev.'!L31</f>
        <v>44219</v>
      </c>
      <c r="M32" s="336">
        <f>'3.sz.m Önk  bev.'!M31</f>
        <v>44219</v>
      </c>
      <c r="N32" s="336">
        <f>'3.sz.m Önk  bev.'!N31</f>
        <v>112304</v>
      </c>
      <c r="O32" s="336"/>
      <c r="P32" s="735"/>
      <c r="Q32" s="443">
        <f>'3.sz.m Önk  bev.'!Q31</f>
        <v>0</v>
      </c>
      <c r="R32" s="336">
        <f>'3.sz.m Önk  bev.'!R31</f>
        <v>0</v>
      </c>
      <c r="S32" s="336">
        <f>'3.sz.m Önk  bev.'!S31</f>
        <v>0</v>
      </c>
      <c r="T32" s="336">
        <f>'3.sz.m Önk  bev.'!T31</f>
        <v>0</v>
      </c>
      <c r="U32" s="336">
        <f>'3.sz.m Önk  bev.'!U31</f>
        <v>0</v>
      </c>
      <c r="V32" s="735">
        <f>'3.sz.m Önk  bev.'!V31</f>
        <v>0</v>
      </c>
    </row>
    <row r="33" spans="1:22" ht="21.75" customHeight="1" thickBot="1">
      <c r="A33" s="143" t="s">
        <v>9</v>
      </c>
      <c r="B33" s="1257" t="s">
        <v>321</v>
      </c>
      <c r="C33" s="1257"/>
      <c r="D33" s="1257"/>
      <c r="E33" s="432">
        <f>SUM(E34:E37)</f>
        <v>24146553</v>
      </c>
      <c r="F33" s="146">
        <f>SUM(F34:F37)</f>
        <v>25203613</v>
      </c>
      <c r="G33" s="146">
        <f>SUM(G34:G37)</f>
        <v>25192560</v>
      </c>
      <c r="H33" s="146">
        <f>SUM(H34:H37)</f>
        <v>25602648</v>
      </c>
      <c r="I33" s="146"/>
      <c r="J33" s="1008"/>
      <c r="K33" s="432">
        <f>SUM(K34:K37)</f>
        <v>17266553</v>
      </c>
      <c r="L33" s="146">
        <f>SUM(L34:L37)</f>
        <v>18323613</v>
      </c>
      <c r="M33" s="146">
        <f>SUM(M34:M37)</f>
        <v>18312560</v>
      </c>
      <c r="N33" s="146">
        <f>SUM(N34:N37)</f>
        <v>18722648</v>
      </c>
      <c r="O33" s="146"/>
      <c r="P33" s="1008"/>
      <c r="Q33" s="432">
        <f aca="true" t="shared" si="9" ref="Q33:V33">SUM(Q34:Q37)</f>
        <v>6880000</v>
      </c>
      <c r="R33" s="146">
        <f t="shared" si="9"/>
        <v>6880000</v>
      </c>
      <c r="S33" s="146">
        <f t="shared" si="9"/>
        <v>6880000</v>
      </c>
      <c r="T33" s="146">
        <f>SUM(T34:T37)</f>
        <v>6880000</v>
      </c>
      <c r="U33" s="146">
        <f t="shared" si="9"/>
        <v>6880003</v>
      </c>
      <c r="V33" s="1008">
        <f t="shared" si="9"/>
        <v>6880004</v>
      </c>
    </row>
    <row r="34" spans="1:22" ht="21.75" customHeight="1">
      <c r="A34" s="137"/>
      <c r="B34" s="141" t="s">
        <v>40</v>
      </c>
      <c r="C34" s="1261" t="s">
        <v>322</v>
      </c>
      <c r="D34" s="1262"/>
      <c r="E34" s="443">
        <f>'3.sz.m Önk  bev.'!E33</f>
        <v>16265380</v>
      </c>
      <c r="F34" s="336">
        <f>'3.sz.m Önk  bev.'!F33</f>
        <v>16534064</v>
      </c>
      <c r="G34" s="336">
        <f>'3.sz.m Önk  bev.'!G33</f>
        <v>17057787</v>
      </c>
      <c r="H34" s="336">
        <f>'3.sz.m Önk  bev.'!H33</f>
        <v>17245609</v>
      </c>
      <c r="I34" s="895"/>
      <c r="J34" s="1009"/>
      <c r="K34" s="443">
        <f>'3.sz.m Önk  bev.'!K33</f>
        <v>16265380</v>
      </c>
      <c r="L34" s="336">
        <f>'3.sz.m Önk  bev.'!L33</f>
        <v>16534064</v>
      </c>
      <c r="M34" s="336">
        <f>'3.sz.m Önk  bev.'!M33</f>
        <v>17057787</v>
      </c>
      <c r="N34" s="336">
        <f>'3.sz.m Önk  bev.'!N33</f>
        <v>17245609</v>
      </c>
      <c r="O34" s="895"/>
      <c r="P34" s="1009"/>
      <c r="Q34" s="443">
        <f>'3.sz.m Önk  bev.'!Q33</f>
        <v>0</v>
      </c>
      <c r="R34" s="336">
        <f>'3.sz.m Önk  bev.'!R33</f>
        <v>0</v>
      </c>
      <c r="S34" s="336">
        <f>'3.sz.m Önk  bev.'!S33</f>
        <v>0</v>
      </c>
      <c r="T34" s="336">
        <f>'3.sz.m Önk  bev.'!T33</f>
        <v>0</v>
      </c>
      <c r="U34" s="336">
        <f>'3.sz.m Önk  bev.'!U33</f>
        <v>0</v>
      </c>
      <c r="V34" s="735">
        <f>'3.sz.m Önk  bev.'!V33</f>
        <v>0</v>
      </c>
    </row>
    <row r="35" spans="1:22" ht="21.75" customHeight="1">
      <c r="A35" s="136"/>
      <c r="B35" s="141" t="s">
        <v>41</v>
      </c>
      <c r="C35" s="1251" t="s">
        <v>394</v>
      </c>
      <c r="D35" s="1264"/>
      <c r="E35" s="443">
        <f>'3.sz.m Önk  bev.'!E34</f>
        <v>0</v>
      </c>
      <c r="F35" s="336">
        <f>'3.sz.m Önk  bev.'!F34</f>
        <v>0</v>
      </c>
      <c r="G35" s="336">
        <f>'3.sz.m Önk  bev.'!G34</f>
        <v>228600</v>
      </c>
      <c r="H35" s="336">
        <f>'3.sz.m Önk  bev.'!H34</f>
        <v>228600</v>
      </c>
      <c r="I35" s="897"/>
      <c r="J35" s="1010"/>
      <c r="K35" s="443">
        <f>'3.sz.m Önk  bev.'!K34</f>
        <v>0</v>
      </c>
      <c r="L35" s="336">
        <f>'3.sz.m Önk  bev.'!L34</f>
        <v>0</v>
      </c>
      <c r="M35" s="336">
        <f>'3.sz.m Önk  bev.'!M34</f>
        <v>228600</v>
      </c>
      <c r="N35" s="336">
        <f>'3.sz.m Önk  bev.'!N34</f>
        <v>228600</v>
      </c>
      <c r="O35" s="897"/>
      <c r="P35" s="1010"/>
      <c r="Q35" s="443">
        <f>'3.sz.m Önk  bev.'!Q34</f>
        <v>0</v>
      </c>
      <c r="R35" s="336">
        <f>'3.sz.m Önk  bev.'!R34</f>
        <v>0</v>
      </c>
      <c r="S35" s="336">
        <f>'3.sz.m Önk  bev.'!S34</f>
        <v>0</v>
      </c>
      <c r="T35" s="336">
        <f>'3.sz.m Önk  bev.'!T34</f>
        <v>0</v>
      </c>
      <c r="U35" s="336">
        <f>'3.sz.m Önk  bev.'!U34</f>
        <v>0</v>
      </c>
      <c r="V35" s="735">
        <f>'3.sz.m Önk  bev.'!V34</f>
        <v>0</v>
      </c>
    </row>
    <row r="36" spans="1:22" ht="21.75" customHeight="1">
      <c r="A36" s="136"/>
      <c r="B36" s="141" t="s">
        <v>72</v>
      </c>
      <c r="C36" s="1251" t="s">
        <v>323</v>
      </c>
      <c r="D36" s="1264"/>
      <c r="E36" s="443">
        <f>'3.sz.m Önk  bev.'!E35</f>
        <v>0</v>
      </c>
      <c r="F36" s="336">
        <f>'3.sz.m Önk  bev.'!F35</f>
        <v>0</v>
      </c>
      <c r="G36" s="336">
        <f>'3.sz.m Önk  bev.'!G35</f>
        <v>0</v>
      </c>
      <c r="H36" s="336">
        <f>'3.sz.m Önk  bev.'!H35</f>
        <v>0</v>
      </c>
      <c r="I36" s="897"/>
      <c r="J36" s="1010"/>
      <c r="K36" s="443">
        <f>'3.sz.m Önk  bev.'!K35</f>
        <v>0</v>
      </c>
      <c r="L36" s="336">
        <f>'3.sz.m Önk  bev.'!L35</f>
        <v>0</v>
      </c>
      <c r="M36" s="336">
        <f>'3.sz.m Önk  bev.'!M35</f>
        <v>0</v>
      </c>
      <c r="N36" s="336">
        <f>'3.sz.m Önk  bev.'!N35</f>
        <v>0</v>
      </c>
      <c r="O36" s="897"/>
      <c r="P36" s="1010"/>
      <c r="Q36" s="443">
        <f>'3.sz.m Önk  bev.'!Q35</f>
        <v>0</v>
      </c>
      <c r="R36" s="336">
        <f>'3.sz.m Önk  bev.'!R35</f>
        <v>0</v>
      </c>
      <c r="S36" s="336">
        <f>'3.sz.m Önk  bev.'!S35</f>
        <v>0</v>
      </c>
      <c r="T36" s="336">
        <f>'3.sz.m Önk  bev.'!T35</f>
        <v>0</v>
      </c>
      <c r="U36" s="336">
        <f>'3.sz.m Önk  bev.'!U35</f>
        <v>0</v>
      </c>
      <c r="V36" s="735">
        <f>'3.sz.m Önk  bev.'!V35</f>
        <v>0</v>
      </c>
    </row>
    <row r="37" spans="1:22" ht="21.75" customHeight="1">
      <c r="A37" s="136"/>
      <c r="B37" s="141" t="s">
        <v>73</v>
      </c>
      <c r="C37" s="1251" t="s">
        <v>324</v>
      </c>
      <c r="D37" s="1264"/>
      <c r="E37" s="443">
        <f>SUM(E38:E40)</f>
        <v>7881173</v>
      </c>
      <c r="F37" s="336">
        <f>SUM(F38:F40)</f>
        <v>8669549</v>
      </c>
      <c r="G37" s="336">
        <f>SUM(G38:G40)</f>
        <v>7906173</v>
      </c>
      <c r="H37" s="336">
        <f>SUM(H38:H40)</f>
        <v>8128439</v>
      </c>
      <c r="I37" s="897"/>
      <c r="J37" s="1010"/>
      <c r="K37" s="443">
        <f>SUM(K38:K40)</f>
        <v>1001173</v>
      </c>
      <c r="L37" s="336">
        <f>SUM(L38:L40)</f>
        <v>1789549</v>
      </c>
      <c r="M37" s="336">
        <f>SUM(M38:M40)</f>
        <v>1026173</v>
      </c>
      <c r="N37" s="336">
        <f>SUM(N38:N40)</f>
        <v>1248439</v>
      </c>
      <c r="O37" s="897"/>
      <c r="P37" s="1010"/>
      <c r="Q37" s="443">
        <f aca="true" t="shared" si="10" ref="Q37:V37">SUM(Q38:Q40)</f>
        <v>6880000</v>
      </c>
      <c r="R37" s="336">
        <f t="shared" si="10"/>
        <v>6880000</v>
      </c>
      <c r="S37" s="336">
        <f t="shared" si="10"/>
        <v>6880000</v>
      </c>
      <c r="T37" s="336">
        <f>SUM(T38:T40)</f>
        <v>6880000</v>
      </c>
      <c r="U37" s="336">
        <f t="shared" si="10"/>
        <v>6880003</v>
      </c>
      <c r="V37" s="735">
        <f t="shared" si="10"/>
        <v>6880004</v>
      </c>
    </row>
    <row r="38" spans="1:22" ht="21.75" customHeight="1">
      <c r="A38" s="136"/>
      <c r="B38" s="141"/>
      <c r="C38" s="138" t="s">
        <v>325</v>
      </c>
      <c r="D38" s="893" t="s">
        <v>30</v>
      </c>
      <c r="E38" s="443">
        <f>'3.sz.m Önk  bev.'!E37</f>
        <v>0</v>
      </c>
      <c r="F38" s="336">
        <f>'3.sz.m Önk  bev.'!F37</f>
        <v>0</v>
      </c>
      <c r="G38" s="336">
        <f>'3.sz.m Önk  bev.'!G37</f>
        <v>0</v>
      </c>
      <c r="H38" s="336">
        <f>'3.sz.m Önk  bev.'!H37</f>
        <v>0</v>
      </c>
      <c r="I38" s="897"/>
      <c r="J38" s="1010"/>
      <c r="K38" s="443">
        <f>'3.sz.m Önk  bev.'!K37</f>
        <v>0</v>
      </c>
      <c r="L38" s="336">
        <f>'3.sz.m Önk  bev.'!L37</f>
        <v>0</v>
      </c>
      <c r="M38" s="336">
        <f>'3.sz.m Önk  bev.'!M37</f>
        <v>0</v>
      </c>
      <c r="N38" s="336">
        <f>'3.sz.m Önk  bev.'!N37</f>
        <v>0</v>
      </c>
      <c r="O38" s="897"/>
      <c r="P38" s="1010"/>
      <c r="Q38" s="443">
        <f>'3.sz.m Önk  bev.'!Q37</f>
        <v>0</v>
      </c>
      <c r="R38" s="336">
        <f>'3.sz.m Önk  bev.'!R37</f>
        <v>0</v>
      </c>
      <c r="S38" s="336">
        <f>'3.sz.m Önk  bev.'!S37</f>
        <v>0</v>
      </c>
      <c r="T38" s="336">
        <f>'3.sz.m Önk  bev.'!T37</f>
        <v>0</v>
      </c>
      <c r="U38" s="336">
        <f>'3.sz.m Önk  bev.'!U37</f>
        <v>0</v>
      </c>
      <c r="V38" s="735">
        <f>'3.sz.m Önk  bev.'!V37</f>
        <v>0</v>
      </c>
    </row>
    <row r="39" spans="1:22" ht="21.75" customHeight="1">
      <c r="A39" s="136"/>
      <c r="B39" s="141"/>
      <c r="C39" s="132" t="s">
        <v>326</v>
      </c>
      <c r="D39" s="401" t="s">
        <v>29</v>
      </c>
      <c r="E39" s="443">
        <f>'3.sz.m Önk  bev.'!E38+'üres lap3'!D12</f>
        <v>7030000</v>
      </c>
      <c r="F39" s="336">
        <f>'3.sz.m Önk  bev.'!F38+'üres lap3'!E12</f>
        <v>7793376</v>
      </c>
      <c r="G39" s="336">
        <f>'3.sz.m Önk  bev.'!G38+'üres lap3'!F12</f>
        <v>7030000</v>
      </c>
      <c r="H39" s="336">
        <f>'3.sz.m Önk  bev.'!H38+'üres lap3'!G12</f>
        <v>7030000</v>
      </c>
      <c r="I39" s="897"/>
      <c r="J39" s="1010"/>
      <c r="K39" s="443">
        <f>'3.sz.m Önk  bev.'!K38+'üres lap3'!J12</f>
        <v>150000</v>
      </c>
      <c r="L39" s="336">
        <f>'3.sz.m Önk  bev.'!L38+'üres lap3'!K12</f>
        <v>913376</v>
      </c>
      <c r="M39" s="336">
        <f>'3.sz.m Önk  bev.'!M38+'üres lap3'!L12</f>
        <v>150000</v>
      </c>
      <c r="N39" s="336">
        <f>'3.sz.m Önk  bev.'!N38+'üres lap3'!M12</f>
        <v>150000</v>
      </c>
      <c r="O39" s="897"/>
      <c r="P39" s="1010"/>
      <c r="Q39" s="443">
        <f>'3.sz.m Önk  bev.'!Q38+'üres lap3'!P12</f>
        <v>6880000</v>
      </c>
      <c r="R39" s="336">
        <f>'3.sz.m Önk  bev.'!R38+'üres lap3'!Q12</f>
        <v>6880000</v>
      </c>
      <c r="S39" s="336">
        <f>'3.sz.m Önk  bev.'!S38+'üres lap3'!R12</f>
        <v>6880000</v>
      </c>
      <c r="T39" s="336">
        <f>'3.sz.m Önk  bev.'!T38+'üres lap3'!S12</f>
        <v>6880000</v>
      </c>
      <c r="U39" s="336">
        <f>'3.sz.m Önk  bev.'!U38+'üres lap3'!T12</f>
        <v>6880003</v>
      </c>
      <c r="V39" s="735">
        <f>'3.sz.m Önk  bev.'!V38+'üres lap3'!U12</f>
        <v>6880004</v>
      </c>
    </row>
    <row r="40" spans="1:22" ht="21.75" customHeight="1" thickBot="1">
      <c r="A40" s="136"/>
      <c r="B40" s="141"/>
      <c r="C40" s="132" t="s">
        <v>327</v>
      </c>
      <c r="D40" s="401" t="s">
        <v>31</v>
      </c>
      <c r="E40" s="443">
        <f>'3.sz.m Önk  bev.'!E39</f>
        <v>851173</v>
      </c>
      <c r="F40" s="336">
        <f>'3.sz.m Önk  bev.'!F39</f>
        <v>876173</v>
      </c>
      <c r="G40" s="336">
        <f>'3.sz.m Önk  bev.'!G39</f>
        <v>876173</v>
      </c>
      <c r="H40" s="336">
        <f>'3.sz.m Önk  bev.'!H39</f>
        <v>1098439</v>
      </c>
      <c r="I40" s="899"/>
      <c r="J40" s="1011"/>
      <c r="K40" s="443">
        <f>'3.sz.m Önk  bev.'!K39</f>
        <v>851173</v>
      </c>
      <c r="L40" s="336">
        <f>'3.sz.m Önk  bev.'!L39</f>
        <v>876173</v>
      </c>
      <c r="M40" s="336">
        <f>'3.sz.m Önk  bev.'!M39</f>
        <v>876173</v>
      </c>
      <c r="N40" s="336">
        <f>'3.sz.m Önk  bev.'!N39</f>
        <v>1098439</v>
      </c>
      <c r="O40" s="899"/>
      <c r="P40" s="1011"/>
      <c r="Q40" s="443">
        <f>'3.sz.m Önk  bev.'!Q39</f>
        <v>0</v>
      </c>
      <c r="R40" s="336">
        <f>'3.sz.m Önk  bev.'!R39</f>
        <v>0</v>
      </c>
      <c r="S40" s="336">
        <f>'3.sz.m Önk  bev.'!S39</f>
        <v>0</v>
      </c>
      <c r="T40" s="336">
        <f>'3.sz.m Önk  bev.'!T39</f>
        <v>0</v>
      </c>
      <c r="U40" s="336">
        <f>'3.sz.m Önk  bev.'!U39</f>
        <v>0</v>
      </c>
      <c r="V40" s="735">
        <f>'3.sz.m Önk  bev.'!V39</f>
        <v>0</v>
      </c>
    </row>
    <row r="41" spans="1:22" ht="21.75" customHeight="1" thickBot="1">
      <c r="A41" s="143" t="s">
        <v>10</v>
      </c>
      <c r="B41" s="1270" t="s">
        <v>328</v>
      </c>
      <c r="C41" s="1270"/>
      <c r="D41" s="1270"/>
      <c r="E41" s="432">
        <f>SUM(E42:E43)</f>
        <v>2980000</v>
      </c>
      <c r="F41" s="146">
        <f>SUM(F42:F43)</f>
        <v>2980000</v>
      </c>
      <c r="G41" s="146">
        <f>SUM(G42:G43)</f>
        <v>3743376</v>
      </c>
      <c r="H41" s="146">
        <f>SUM(H42:H43)</f>
        <v>23709598</v>
      </c>
      <c r="I41" s="146">
        <f>SUM(I42:I46)</f>
        <v>0</v>
      </c>
      <c r="J41" s="1008">
        <f>SUM(J42:J48)</f>
        <v>0</v>
      </c>
      <c r="K41" s="432">
        <f>SUM(K42:K43)</f>
        <v>2980000</v>
      </c>
      <c r="L41" s="146">
        <f>SUM(L42:L43)</f>
        <v>2980000</v>
      </c>
      <c r="M41" s="146">
        <f>SUM(M42:M43)</f>
        <v>3743376</v>
      </c>
      <c r="N41" s="146">
        <f>SUM(N42:N43)</f>
        <v>23709598</v>
      </c>
      <c r="O41" s="146">
        <f>SUM(O42:O46)</f>
        <v>0</v>
      </c>
      <c r="P41" s="1008">
        <f>SUM(P42:P48)</f>
        <v>0</v>
      </c>
      <c r="Q41" s="432">
        <f aca="true" t="shared" si="11" ref="Q41:V41">SUM(Q42:Q43)</f>
        <v>0</v>
      </c>
      <c r="R41" s="146">
        <f t="shared" si="11"/>
        <v>0</v>
      </c>
      <c r="S41" s="146">
        <f t="shared" si="11"/>
        <v>0</v>
      </c>
      <c r="T41" s="146">
        <f>SUM(T42:T43)</f>
        <v>0</v>
      </c>
      <c r="U41" s="146">
        <f t="shared" si="11"/>
        <v>3</v>
      </c>
      <c r="V41" s="1008">
        <f t="shared" si="11"/>
        <v>4</v>
      </c>
    </row>
    <row r="42" spans="1:22" ht="21.75" customHeight="1">
      <c r="A42" s="137"/>
      <c r="B42" s="144" t="s">
        <v>329</v>
      </c>
      <c r="C42" s="1263" t="s">
        <v>331</v>
      </c>
      <c r="D42" s="1263"/>
      <c r="E42" s="443">
        <f>'3.sz.m Önk  bev.'!E41</f>
        <v>0</v>
      </c>
      <c r="F42" s="443">
        <f>'3.sz.m Önk  bev.'!F41</f>
        <v>0</v>
      </c>
      <c r="G42" s="443">
        <f>'3.sz.m Önk  bev.'!G41</f>
        <v>0</v>
      </c>
      <c r="H42" s="443">
        <f>'3.sz.m Önk  bev.'!H41</f>
        <v>0</v>
      </c>
      <c r="I42" s="443">
        <f>'3.sz.m Önk  bev.'!I41</f>
        <v>0</v>
      </c>
      <c r="J42" s="443">
        <f>'3.sz.m Önk  bev.'!J41</f>
        <v>0</v>
      </c>
      <c r="K42" s="443">
        <f>+'3.sz.m Önk  bev.'!K41</f>
        <v>0</v>
      </c>
      <c r="L42" s="443">
        <f>'3.sz.m Önk  bev.'!L41</f>
        <v>0</v>
      </c>
      <c r="M42" s="443">
        <f>'3.sz.m Önk  bev.'!M41</f>
        <v>0</v>
      </c>
      <c r="N42" s="443">
        <f>'3.sz.m Önk  bev.'!N41</f>
        <v>0</v>
      </c>
      <c r="O42" s="443">
        <f>'3.sz.m Önk  bev.'!O41</f>
        <v>0</v>
      </c>
      <c r="P42" s="443">
        <f>'3.sz.m Önk  bev.'!P41</f>
        <v>0</v>
      </c>
      <c r="Q42" s="443">
        <f>'3.sz.m Önk  bev.'!Q41</f>
        <v>0</v>
      </c>
      <c r="R42" s="336">
        <f>'3.sz.m Önk  bev.'!R41</f>
        <v>0</v>
      </c>
      <c r="S42" s="336">
        <f>'3.sz.m Önk  bev.'!S41</f>
        <v>0</v>
      </c>
      <c r="T42" s="336">
        <f>'3.sz.m Önk  bev.'!T41</f>
        <v>0</v>
      </c>
      <c r="U42" s="336">
        <f>'3.sz.m Önk  bev.'!U41</f>
        <v>0</v>
      </c>
      <c r="V42" s="735">
        <f>'3.sz.m Önk  bev.'!V41</f>
        <v>0</v>
      </c>
    </row>
    <row r="43" spans="1:22" ht="21.75" customHeight="1">
      <c r="A43" s="136"/>
      <c r="B43" s="133" t="s">
        <v>330</v>
      </c>
      <c r="C43" s="1251" t="s">
        <v>332</v>
      </c>
      <c r="D43" s="1251"/>
      <c r="E43" s="443">
        <f>SUM(E44:E46)</f>
        <v>2980000</v>
      </c>
      <c r="F43" s="336">
        <f>SUM(F44:F46)</f>
        <v>2980000</v>
      </c>
      <c r="G43" s="336">
        <f>SUM(G44:G46)</f>
        <v>3743376</v>
      </c>
      <c r="H43" s="336">
        <f>SUM(H44:H46)</f>
        <v>23709598</v>
      </c>
      <c r="I43" s="336"/>
      <c r="J43" s="735"/>
      <c r="K43" s="443">
        <f>SUM(K44:K46)</f>
        <v>2980000</v>
      </c>
      <c r="L43" s="336">
        <f>SUM(L44:L46)</f>
        <v>2980000</v>
      </c>
      <c r="M43" s="336">
        <f>SUM(M44:M46)</f>
        <v>3743376</v>
      </c>
      <c r="N43" s="336">
        <f>SUM(N44:N46)</f>
        <v>23709598</v>
      </c>
      <c r="O43" s="336"/>
      <c r="P43" s="735"/>
      <c r="Q43" s="443">
        <f aca="true" t="shared" si="12" ref="Q43:V43">SUM(Q44:Q46)</f>
        <v>0</v>
      </c>
      <c r="R43" s="336">
        <f t="shared" si="12"/>
        <v>0</v>
      </c>
      <c r="S43" s="336">
        <f t="shared" si="12"/>
        <v>0</v>
      </c>
      <c r="T43" s="336">
        <f>SUM(T44:T46)</f>
        <v>0</v>
      </c>
      <c r="U43" s="336">
        <f t="shared" si="12"/>
        <v>3</v>
      </c>
      <c r="V43" s="735">
        <f t="shared" si="12"/>
        <v>4</v>
      </c>
    </row>
    <row r="44" spans="1:22" ht="21.75" customHeight="1">
      <c r="A44" s="136"/>
      <c r="B44" s="144"/>
      <c r="C44" s="138" t="s">
        <v>333</v>
      </c>
      <c r="D44" s="893" t="s">
        <v>30</v>
      </c>
      <c r="E44" s="443">
        <f>'3.sz.m Önk  bev.'!E43</f>
        <v>0</v>
      </c>
      <c r="F44" s="336">
        <f>'3.sz.m Önk  bev.'!F43</f>
        <v>0</v>
      </c>
      <c r="G44" s="336">
        <f>'3.sz.m Önk  bev.'!G43</f>
        <v>0</v>
      </c>
      <c r="H44" s="336">
        <f>'3.sz.m Önk  bev.'!H43</f>
        <v>0</v>
      </c>
      <c r="I44" s="336"/>
      <c r="J44" s="735"/>
      <c r="K44" s="443">
        <f>'3.sz.m Önk  bev.'!K43</f>
        <v>0</v>
      </c>
      <c r="L44" s="336">
        <f>'3.sz.m Önk  bev.'!L43</f>
        <v>0</v>
      </c>
      <c r="M44" s="336">
        <f>'3.sz.m Önk  bev.'!M43</f>
        <v>0</v>
      </c>
      <c r="N44" s="336">
        <f>'3.sz.m Önk  bev.'!N43</f>
        <v>0</v>
      </c>
      <c r="O44" s="336"/>
      <c r="P44" s="735"/>
      <c r="Q44" s="443">
        <f>'3.sz.m Önk  bev.'!Q43</f>
        <v>0</v>
      </c>
      <c r="R44" s="336">
        <f>'3.sz.m Önk  bev.'!R43</f>
        <v>0</v>
      </c>
      <c r="S44" s="336">
        <f>'3.sz.m Önk  bev.'!S43</f>
        <v>0</v>
      </c>
      <c r="T44" s="336">
        <f>'3.sz.m Önk  bev.'!T43</f>
        <v>0</v>
      </c>
      <c r="U44" s="336">
        <f>'3.sz.m Önk  bev.'!U43</f>
        <v>0</v>
      </c>
      <c r="V44" s="735">
        <f>'3.sz.m Önk  bev.'!V43</f>
        <v>0</v>
      </c>
    </row>
    <row r="45" spans="1:22" ht="21.75" customHeight="1">
      <c r="A45" s="136"/>
      <c r="B45" s="133"/>
      <c r="C45" s="132" t="s">
        <v>334</v>
      </c>
      <c r="D45" s="893" t="s">
        <v>29</v>
      </c>
      <c r="E45" s="443">
        <f>'3.sz.m Önk  bev.'!E44</f>
        <v>80000</v>
      </c>
      <c r="F45" s="336">
        <f>'3.sz.m Önk  bev.'!F44</f>
        <v>80000</v>
      </c>
      <c r="G45" s="336">
        <f>'3.sz.m Önk  bev.'!G44</f>
        <v>843376</v>
      </c>
      <c r="H45" s="336">
        <f>'3.sz.m Önk  bev.'!H44</f>
        <v>3743370</v>
      </c>
      <c r="I45" s="336"/>
      <c r="J45" s="735"/>
      <c r="K45" s="443">
        <f>'3.sz.m Önk  bev.'!K44</f>
        <v>80000</v>
      </c>
      <c r="L45" s="336">
        <f>'3.sz.m Önk  bev.'!L44</f>
        <v>80000</v>
      </c>
      <c r="M45" s="336">
        <f>'3.sz.m Önk  bev.'!M44</f>
        <v>843376</v>
      </c>
      <c r="N45" s="336">
        <f>'3.sz.m Önk  bev.'!N44</f>
        <v>3743370</v>
      </c>
      <c r="O45" s="336"/>
      <c r="P45" s="735"/>
      <c r="Q45" s="443">
        <f>'3.sz.m Önk  bev.'!Q44</f>
        <v>0</v>
      </c>
      <c r="R45" s="336">
        <f>'3.sz.m Önk  bev.'!R44</f>
        <v>0</v>
      </c>
      <c r="S45" s="336">
        <f>'3.sz.m Önk  bev.'!S44</f>
        <v>0</v>
      </c>
      <c r="T45" s="336">
        <f>'3.sz.m Önk  bev.'!T44</f>
        <v>0</v>
      </c>
      <c r="U45" s="336">
        <f>'3.sz.m Önk  bev.'!U44</f>
        <v>0</v>
      </c>
      <c r="V45" s="735">
        <f>'3.sz.m Önk  bev.'!V44</f>
        <v>0</v>
      </c>
    </row>
    <row r="46" spans="1:22" ht="21.75" customHeight="1" thickBot="1">
      <c r="A46" s="140"/>
      <c r="B46" s="144"/>
      <c r="C46" s="138" t="s">
        <v>335</v>
      </c>
      <c r="D46" s="893" t="s">
        <v>336</v>
      </c>
      <c r="E46" s="443">
        <f>'3.sz.m Önk  bev.'!E45</f>
        <v>2900000</v>
      </c>
      <c r="F46" s="336">
        <f>'3.sz.m Önk  bev.'!F45</f>
        <v>2900000</v>
      </c>
      <c r="G46" s="336">
        <f>'3.sz.m Önk  bev.'!G45</f>
        <v>2900000</v>
      </c>
      <c r="H46" s="336">
        <f>'3.sz.m Önk  bev.'!H45</f>
        <v>19966228</v>
      </c>
      <c r="I46" s="336"/>
      <c r="J46" s="735"/>
      <c r="K46" s="443">
        <f>'3.sz.m Önk  bev.'!K45</f>
        <v>2900000</v>
      </c>
      <c r="L46" s="336">
        <f>'3.sz.m Önk  bev.'!L45</f>
        <v>2900000</v>
      </c>
      <c r="M46" s="336">
        <f>'3.sz.m Önk  bev.'!M45</f>
        <v>2900000</v>
      </c>
      <c r="N46" s="336">
        <f>'3.sz.m Önk  bev.'!N45</f>
        <v>19966228</v>
      </c>
      <c r="O46" s="336"/>
      <c r="P46" s="735"/>
      <c r="Q46" s="443">
        <f>'3.sz.m Önk  bev.'!Q45</f>
        <v>0</v>
      </c>
      <c r="R46" s="336">
        <f>'3.sz.m Önk  bev.'!R45</f>
        <v>0</v>
      </c>
      <c r="S46" s="336">
        <f>'3.sz.m Önk  bev.'!S45</f>
        <v>0</v>
      </c>
      <c r="T46" s="336">
        <v>0</v>
      </c>
      <c r="U46" s="336">
        <f>'3.sz.m Önk  bev.'!U45</f>
        <v>3</v>
      </c>
      <c r="V46" s="735">
        <f>'3.sz.m Önk  bev.'!V45</f>
        <v>4</v>
      </c>
    </row>
    <row r="47" spans="1:22" ht="21.75" customHeight="1" hidden="1">
      <c r="A47" s="452"/>
      <c r="B47" s="133"/>
      <c r="C47" s="1251"/>
      <c r="D47" s="1264"/>
      <c r="E47" s="443"/>
      <c r="F47" s="336"/>
      <c r="G47" s="336"/>
      <c r="H47" s="336"/>
      <c r="I47" s="336"/>
      <c r="J47" s="735"/>
      <c r="K47" s="443"/>
      <c r="L47" s="336"/>
      <c r="M47" s="336"/>
      <c r="N47" s="336"/>
      <c r="O47" s="336"/>
      <c r="P47" s="735"/>
      <c r="Q47" s="443"/>
      <c r="R47" s="336"/>
      <c r="S47" s="336"/>
      <c r="T47" s="336"/>
      <c r="U47" s="336"/>
      <c r="V47" s="735"/>
    </row>
    <row r="48" spans="1:22" ht="21.75" customHeight="1" hidden="1" thickBot="1">
      <c r="A48" s="452"/>
      <c r="B48" s="144"/>
      <c r="C48" s="1271"/>
      <c r="D48" s="1272"/>
      <c r="E48" s="736"/>
      <c r="F48" s="737"/>
      <c r="G48" s="737"/>
      <c r="H48" s="737"/>
      <c r="I48" s="737"/>
      <c r="J48" s="738"/>
      <c r="K48" s="736"/>
      <c r="L48" s="737"/>
      <c r="M48" s="737"/>
      <c r="N48" s="737"/>
      <c r="O48" s="737"/>
      <c r="P48" s="738"/>
      <c r="Q48" s="736"/>
      <c r="R48" s="737"/>
      <c r="S48" s="737"/>
      <c r="T48" s="737"/>
      <c r="U48" s="737"/>
      <c r="V48" s="738"/>
    </row>
    <row r="49" spans="1:22" ht="21.75" customHeight="1" thickBot="1">
      <c r="A49" s="143" t="s">
        <v>11</v>
      </c>
      <c r="B49" s="1257" t="s">
        <v>79</v>
      </c>
      <c r="C49" s="1257"/>
      <c r="D49" s="1257"/>
      <c r="E49" s="432">
        <f aca="true" t="shared" si="13" ref="E49:P49">E50+E51</f>
        <v>0</v>
      </c>
      <c r="F49" s="146">
        <f t="shared" si="13"/>
        <v>0</v>
      </c>
      <c r="G49" s="146">
        <f t="shared" si="13"/>
        <v>0</v>
      </c>
      <c r="H49" s="146">
        <f t="shared" si="13"/>
        <v>0</v>
      </c>
      <c r="I49" s="146">
        <f t="shared" si="13"/>
        <v>0</v>
      </c>
      <c r="J49" s="1008">
        <f t="shared" si="13"/>
        <v>0</v>
      </c>
      <c r="K49" s="432">
        <f t="shared" si="13"/>
        <v>0</v>
      </c>
      <c r="L49" s="146">
        <f t="shared" si="13"/>
        <v>0</v>
      </c>
      <c r="M49" s="146">
        <f t="shared" si="13"/>
        <v>0</v>
      </c>
      <c r="N49" s="146">
        <f t="shared" si="13"/>
        <v>0</v>
      </c>
      <c r="O49" s="146">
        <f t="shared" si="13"/>
        <v>0</v>
      </c>
      <c r="P49" s="1008">
        <f t="shared" si="13"/>
        <v>0</v>
      </c>
      <c r="Q49" s="432">
        <f aca="true" t="shared" si="14" ref="Q49:V49">Q50+Q51</f>
        <v>0</v>
      </c>
      <c r="R49" s="146">
        <f t="shared" si="14"/>
        <v>0</v>
      </c>
      <c r="S49" s="146">
        <f t="shared" si="14"/>
        <v>0</v>
      </c>
      <c r="T49" s="146">
        <f>T50+T51</f>
        <v>0</v>
      </c>
      <c r="U49" s="146">
        <f t="shared" si="14"/>
        <v>0</v>
      </c>
      <c r="V49" s="1008">
        <f t="shared" si="14"/>
        <v>0</v>
      </c>
    </row>
    <row r="50" spans="1:22" s="7" customFormat="1" ht="21.75" customHeight="1">
      <c r="A50" s="145"/>
      <c r="B50" s="144" t="s">
        <v>42</v>
      </c>
      <c r="C50" s="1263" t="s">
        <v>77</v>
      </c>
      <c r="D50" s="1263"/>
      <c r="E50" s="443">
        <f>'3.sz.m Önk  bev.'!E49</f>
        <v>0</v>
      </c>
      <c r="F50" s="336">
        <f>'3.sz.m Önk  bev.'!F49</f>
        <v>0</v>
      </c>
      <c r="G50" s="336">
        <f>'3.sz.m Önk  bev.'!G49</f>
        <v>0</v>
      </c>
      <c r="H50" s="336">
        <f>'3.sz.m Önk  bev.'!H49</f>
        <v>0</v>
      </c>
      <c r="I50" s="335"/>
      <c r="J50" s="1012"/>
      <c r="K50" s="443">
        <f>'3.sz.m Önk  bev.'!K49</f>
        <v>0</v>
      </c>
      <c r="L50" s="336">
        <f>'3.sz.m Önk  bev.'!L49</f>
        <v>0</v>
      </c>
      <c r="M50" s="336">
        <f>'3.sz.m Önk  bev.'!M49</f>
        <v>0</v>
      </c>
      <c r="N50" s="336">
        <f>'3.sz.m Önk  bev.'!N49</f>
        <v>0</v>
      </c>
      <c r="O50" s="335"/>
      <c r="P50" s="1012"/>
      <c r="Q50" s="443">
        <f>'3.sz.m Önk  bev.'!Q49</f>
        <v>0</v>
      </c>
      <c r="R50" s="336">
        <f>'3.sz.m Önk  bev.'!R49</f>
        <v>0</v>
      </c>
      <c r="S50" s="336">
        <f>'3.sz.m Önk  bev.'!S49</f>
        <v>0</v>
      </c>
      <c r="T50" s="336">
        <f>'3.sz.m Önk  bev.'!T49</f>
        <v>0</v>
      </c>
      <c r="U50" s="336">
        <f>'3.sz.m Önk  bev.'!U49</f>
        <v>0</v>
      </c>
      <c r="V50" s="735">
        <f>'3.sz.m Önk  bev.'!V49</f>
        <v>0</v>
      </c>
    </row>
    <row r="51" spans="1:22" ht="21.75" customHeight="1" thickBot="1">
      <c r="A51" s="136"/>
      <c r="B51" s="132" t="s">
        <v>43</v>
      </c>
      <c r="C51" s="1251" t="s">
        <v>78</v>
      </c>
      <c r="D51" s="1251"/>
      <c r="E51" s="443">
        <f>'3.sz.m Önk  bev.'!E50</f>
        <v>0</v>
      </c>
      <c r="F51" s="336">
        <f>'3.sz.m Önk  bev.'!F50</f>
        <v>0</v>
      </c>
      <c r="G51" s="336">
        <f>'3.sz.m Önk  bev.'!G50</f>
        <v>0</v>
      </c>
      <c r="H51" s="336">
        <f>'3.sz.m Önk  bev.'!H50</f>
        <v>0</v>
      </c>
      <c r="I51" s="337"/>
      <c r="J51" s="1013"/>
      <c r="K51" s="443">
        <f>'3.sz.m Önk  bev.'!K50</f>
        <v>0</v>
      </c>
      <c r="L51" s="336">
        <f>'3.sz.m Önk  bev.'!L50</f>
        <v>0</v>
      </c>
      <c r="M51" s="336">
        <f>'3.sz.m Önk  bev.'!M50</f>
        <v>0</v>
      </c>
      <c r="N51" s="336">
        <f>'3.sz.m Önk  bev.'!N50</f>
        <v>0</v>
      </c>
      <c r="O51" s="337"/>
      <c r="P51" s="1013"/>
      <c r="Q51" s="443">
        <f>'3.sz.m Önk  bev.'!Q50</f>
        <v>0</v>
      </c>
      <c r="R51" s="336">
        <f>'3.sz.m Önk  bev.'!R50</f>
        <v>0</v>
      </c>
      <c r="S51" s="336">
        <f>'3.sz.m Önk  bev.'!S50</f>
        <v>0</v>
      </c>
      <c r="T51" s="336">
        <f>'3.sz.m Önk  bev.'!T50</f>
        <v>0</v>
      </c>
      <c r="U51" s="336">
        <f>'3.sz.m Önk  bev.'!U50</f>
        <v>0</v>
      </c>
      <c r="V51" s="735">
        <f>'3.sz.m Önk  bev.'!V50</f>
        <v>0</v>
      </c>
    </row>
    <row r="52" spans="1:22" ht="21.75" customHeight="1" thickBot="1">
      <c r="A52" s="143" t="s">
        <v>12</v>
      </c>
      <c r="B52" s="1257" t="s">
        <v>337</v>
      </c>
      <c r="C52" s="1257"/>
      <c r="D52" s="1257"/>
      <c r="E52" s="427">
        <f aca="true" t="shared" si="15" ref="E52:P52">SUM(E53:E54)</f>
        <v>0</v>
      </c>
      <c r="F52" s="339">
        <f t="shared" si="15"/>
        <v>0</v>
      </c>
      <c r="G52" s="339">
        <f t="shared" si="15"/>
        <v>0</v>
      </c>
      <c r="H52" s="339">
        <f t="shared" si="15"/>
        <v>0</v>
      </c>
      <c r="I52" s="339">
        <f t="shared" si="15"/>
        <v>0</v>
      </c>
      <c r="J52" s="1014">
        <f t="shared" si="15"/>
        <v>0</v>
      </c>
      <c r="K52" s="427">
        <f t="shared" si="15"/>
        <v>0</v>
      </c>
      <c r="L52" s="339">
        <f t="shared" si="15"/>
        <v>0</v>
      </c>
      <c r="M52" s="339">
        <f t="shared" si="15"/>
        <v>0</v>
      </c>
      <c r="N52" s="339">
        <f t="shared" si="15"/>
        <v>0</v>
      </c>
      <c r="O52" s="339">
        <f t="shared" si="15"/>
        <v>0</v>
      </c>
      <c r="P52" s="1014">
        <f t="shared" si="15"/>
        <v>0</v>
      </c>
      <c r="Q52" s="427">
        <f aca="true" t="shared" si="16" ref="Q52:V52">SUM(Q53:Q54)</f>
        <v>0</v>
      </c>
      <c r="R52" s="339">
        <f t="shared" si="16"/>
        <v>0</v>
      </c>
      <c r="S52" s="339">
        <f t="shared" si="16"/>
        <v>0</v>
      </c>
      <c r="T52" s="339">
        <f>SUM(T53:T54)</f>
        <v>0</v>
      </c>
      <c r="U52" s="339">
        <f t="shared" si="16"/>
        <v>3</v>
      </c>
      <c r="V52" s="1014">
        <f t="shared" si="16"/>
        <v>4</v>
      </c>
    </row>
    <row r="53" spans="1:22" s="7" customFormat="1" ht="21.75" customHeight="1">
      <c r="A53" s="145"/>
      <c r="B53" s="138" t="s">
        <v>44</v>
      </c>
      <c r="C53" s="1263" t="s">
        <v>339</v>
      </c>
      <c r="D53" s="1263"/>
      <c r="E53" s="428">
        <f>'3.sz.m Önk  bev.'!E52</f>
        <v>0</v>
      </c>
      <c r="F53" s="341">
        <f>'3.sz.m Önk  bev.'!F52</f>
        <v>0</v>
      </c>
      <c r="G53" s="341">
        <f>'3.sz.m Önk  bev.'!G52</f>
        <v>0</v>
      </c>
      <c r="H53" s="341">
        <f>'3.sz.m Önk  bev.'!H52</f>
        <v>0</v>
      </c>
      <c r="I53" s="341">
        <v>0</v>
      </c>
      <c r="J53" s="1019">
        <v>0</v>
      </c>
      <c r="K53" s="428">
        <f>'3.sz.m Önk  bev.'!K52</f>
        <v>0</v>
      </c>
      <c r="L53" s="341">
        <f>'3.sz.m Önk  bev.'!L52</f>
        <v>0</v>
      </c>
      <c r="M53" s="341">
        <f>'3.sz.m Önk  bev.'!M52</f>
        <v>0</v>
      </c>
      <c r="N53" s="341">
        <f>'3.sz.m Önk  bev.'!N52</f>
        <v>0</v>
      </c>
      <c r="O53" s="340">
        <v>0</v>
      </c>
      <c r="P53" s="1015">
        <v>0</v>
      </c>
      <c r="Q53" s="446">
        <f>'3.sz.m Önk  bev.'!Q52</f>
        <v>0</v>
      </c>
      <c r="R53" s="340">
        <f>'3.sz.m Önk  bev.'!R52</f>
        <v>0</v>
      </c>
      <c r="S53" s="340">
        <f>'3.sz.m Önk  bev.'!S52</f>
        <v>0</v>
      </c>
      <c r="T53" s="340">
        <f>'3.sz.m Önk  bev.'!T52</f>
        <v>0</v>
      </c>
      <c r="U53" s="340">
        <f>'3.sz.m Önk  bev.'!U52</f>
        <v>0</v>
      </c>
      <c r="V53" s="1015">
        <f>'3.sz.m Önk  bev.'!V52</f>
        <v>0</v>
      </c>
    </row>
    <row r="54" spans="1:22" ht="21.75" customHeight="1" thickBot="1">
      <c r="A54" s="140"/>
      <c r="B54" s="141" t="s">
        <v>338</v>
      </c>
      <c r="C54" s="1252" t="s">
        <v>340</v>
      </c>
      <c r="D54" s="1252"/>
      <c r="E54" s="444">
        <v>0</v>
      </c>
      <c r="F54" s="445">
        <v>0</v>
      </c>
      <c r="G54" s="445">
        <v>0</v>
      </c>
      <c r="H54" s="445">
        <v>0</v>
      </c>
      <c r="I54" s="445">
        <v>0</v>
      </c>
      <c r="J54" s="1016">
        <v>0</v>
      </c>
      <c r="K54" s="444">
        <v>0</v>
      </c>
      <c r="L54" s="445">
        <v>0</v>
      </c>
      <c r="M54" s="445">
        <v>0</v>
      </c>
      <c r="N54" s="445">
        <v>0</v>
      </c>
      <c r="O54" s="445">
        <v>0</v>
      </c>
      <c r="P54" s="1016">
        <v>0</v>
      </c>
      <c r="Q54" s="444">
        <v>0</v>
      </c>
      <c r="R54" s="445">
        <v>0</v>
      </c>
      <c r="S54" s="445">
        <v>0</v>
      </c>
      <c r="T54" s="445">
        <v>0</v>
      </c>
      <c r="U54" s="445">
        <v>3</v>
      </c>
      <c r="V54" s="1016">
        <v>4</v>
      </c>
    </row>
    <row r="55" spans="1:22" ht="21.75" customHeight="1" thickBot="1">
      <c r="A55" s="143" t="s">
        <v>13</v>
      </c>
      <c r="B55" s="1267" t="s">
        <v>81</v>
      </c>
      <c r="C55" s="1267"/>
      <c r="D55" s="1267"/>
      <c r="E55" s="427">
        <f>E8+E22+E41+E49+E52+E33</f>
        <v>28639515</v>
      </c>
      <c r="F55" s="339">
        <f>F8+F22+F41+F49+F52+F33</f>
        <v>29548120</v>
      </c>
      <c r="G55" s="339">
        <f>G8+G22+G41+G49+G52+G33</f>
        <v>30320561</v>
      </c>
      <c r="H55" s="339">
        <f>H8+H22+H41+H49+H52+H33</f>
        <v>50865643</v>
      </c>
      <c r="I55" s="339">
        <f aca="true" t="shared" si="17" ref="I55:P55">I8+I22+I41+I49+I52+I33</f>
        <v>0</v>
      </c>
      <c r="J55" s="1014">
        <f t="shared" si="17"/>
        <v>0</v>
      </c>
      <c r="K55" s="427">
        <f>K8+K22+K41+K49+K52+K33</f>
        <v>21066971</v>
      </c>
      <c r="L55" s="339">
        <f>L8+L22+L41+L49+L52+L33</f>
        <v>21975576</v>
      </c>
      <c r="M55" s="339">
        <f>M8+M22+M41+M49+M52+M33</f>
        <v>22633027</v>
      </c>
      <c r="N55" s="339">
        <f>N8+N22+N41+N49+N52+N33</f>
        <v>43365828</v>
      </c>
      <c r="O55" s="339">
        <f t="shared" si="17"/>
        <v>0</v>
      </c>
      <c r="P55" s="1014">
        <f t="shared" si="17"/>
        <v>0</v>
      </c>
      <c r="Q55" s="427">
        <f aca="true" t="shared" si="18" ref="Q55:V55">Q8+Q22+Q41+Q49+Q52+Q33</f>
        <v>7572544</v>
      </c>
      <c r="R55" s="339">
        <f t="shared" si="18"/>
        <v>7572544</v>
      </c>
      <c r="S55" s="339">
        <f t="shared" si="18"/>
        <v>7687534</v>
      </c>
      <c r="T55" s="339">
        <f>T8+T22+T41+T49+T52+T33</f>
        <v>7499815</v>
      </c>
      <c r="U55" s="339">
        <f t="shared" si="18"/>
        <v>164831.923536242</v>
      </c>
      <c r="V55" s="1014">
        <f t="shared" si="18"/>
        <v>1334008</v>
      </c>
    </row>
    <row r="56" spans="1:22" ht="24" customHeight="1" thickBot="1">
      <c r="A56" s="139" t="s">
        <v>56</v>
      </c>
      <c r="B56" s="1257" t="s">
        <v>341</v>
      </c>
      <c r="C56" s="1257"/>
      <c r="D56" s="1257"/>
      <c r="E56" s="427">
        <f>SUM(E57:E59)</f>
        <v>38488264</v>
      </c>
      <c r="F56" s="339">
        <f>SUM(F57:F59)</f>
        <v>38488264</v>
      </c>
      <c r="G56" s="339">
        <f>SUM(G57:G59)</f>
        <v>36788264</v>
      </c>
      <c r="H56" s="339">
        <f>SUM(H57:H59)</f>
        <v>37447568</v>
      </c>
      <c r="I56" s="339">
        <f aca="true" t="shared" si="19" ref="I56:P56">SUM(I57:I59)</f>
        <v>0</v>
      </c>
      <c r="J56" s="1014">
        <f t="shared" si="19"/>
        <v>0</v>
      </c>
      <c r="K56" s="427">
        <f>SUM(K57:K59)</f>
        <v>38488264</v>
      </c>
      <c r="L56" s="339">
        <f>SUM(L57:L59)</f>
        <v>38488264</v>
      </c>
      <c r="M56" s="339">
        <f>SUM(M57:M59)</f>
        <v>36788264</v>
      </c>
      <c r="N56" s="339">
        <f>SUM(N57:N59)</f>
        <v>37447568</v>
      </c>
      <c r="O56" s="339">
        <f t="shared" si="19"/>
        <v>0</v>
      </c>
      <c r="P56" s="1014">
        <f t="shared" si="19"/>
        <v>0</v>
      </c>
      <c r="Q56" s="427">
        <f aca="true" t="shared" si="20" ref="Q56:V56">SUM(Q57:Q59)</f>
        <v>0</v>
      </c>
      <c r="R56" s="339">
        <f t="shared" si="20"/>
        <v>0</v>
      </c>
      <c r="S56" s="339">
        <f t="shared" si="20"/>
        <v>0</v>
      </c>
      <c r="T56" s="339">
        <f>SUM(T57:T59)</f>
        <v>0</v>
      </c>
      <c r="U56" s="339">
        <f t="shared" si="20"/>
        <v>0</v>
      </c>
      <c r="V56" s="1014">
        <f t="shared" si="20"/>
        <v>0</v>
      </c>
    </row>
    <row r="57" spans="1:22" ht="21.75" customHeight="1">
      <c r="A57" s="137"/>
      <c r="B57" s="138" t="s">
        <v>45</v>
      </c>
      <c r="C57" s="1263" t="s">
        <v>342</v>
      </c>
      <c r="D57" s="1263"/>
      <c r="E57" s="443">
        <f>'3.sz.m Önk  bev.'!E56</f>
        <v>1700000</v>
      </c>
      <c r="F57" s="336">
        <f>'3.sz.m Önk  bev.'!F56</f>
        <v>1700000</v>
      </c>
      <c r="G57" s="336">
        <f>'3.sz.m Önk  bev.'!G56</f>
        <v>0</v>
      </c>
      <c r="H57" s="336">
        <f>'3.sz.m Önk  bev.'!H56</f>
        <v>0</v>
      </c>
      <c r="I57" s="340"/>
      <c r="J57" s="1015"/>
      <c r="K57" s="443">
        <f>'3.sz.m Önk  bev.'!K56</f>
        <v>1700000</v>
      </c>
      <c r="L57" s="336">
        <f>'3.sz.m Önk  bev.'!L56</f>
        <v>1700000</v>
      </c>
      <c r="M57" s="336">
        <f>'3.sz.m Önk  bev.'!M56</f>
        <v>0</v>
      </c>
      <c r="N57" s="336">
        <f>'3.sz.m Önk  bev.'!N56</f>
        <v>0</v>
      </c>
      <c r="O57" s="340"/>
      <c r="P57" s="1015"/>
      <c r="Q57" s="443">
        <f>'3.sz.m Önk  bev.'!Q56</f>
        <v>0</v>
      </c>
      <c r="R57" s="336">
        <f>'3.sz.m Önk  bev.'!R56</f>
        <v>0</v>
      </c>
      <c r="S57" s="336">
        <f>'3.sz.m Önk  bev.'!S56</f>
        <v>0</v>
      </c>
      <c r="T57" s="336">
        <f>'3.sz.m Önk  bev.'!T56</f>
        <v>0</v>
      </c>
      <c r="U57" s="336">
        <f>'3.sz.m Önk  bev.'!U56</f>
        <v>0</v>
      </c>
      <c r="V57" s="735">
        <f>'3.sz.m Önk  bev.'!V56</f>
        <v>0</v>
      </c>
    </row>
    <row r="58" spans="1:22" ht="21.75" customHeight="1">
      <c r="A58" s="136"/>
      <c r="B58" s="133" t="s">
        <v>46</v>
      </c>
      <c r="C58" s="1263" t="s">
        <v>424</v>
      </c>
      <c r="D58" s="1263"/>
      <c r="E58" s="443">
        <f>'3.sz.m Önk  bev.'!E57</f>
        <v>0</v>
      </c>
      <c r="F58" s="336">
        <f>'3.sz.m Önk  bev.'!F57</f>
        <v>0</v>
      </c>
      <c r="G58" s="336">
        <f>'3.sz.m Önk  bev.'!G57</f>
        <v>0</v>
      </c>
      <c r="H58" s="336">
        <f>'3.sz.m Önk  bev.'!H57</f>
        <v>659048</v>
      </c>
      <c r="I58" s="338"/>
      <c r="J58" s="1017"/>
      <c r="K58" s="443">
        <f>'3.sz.m Önk  bev.'!K57</f>
        <v>0</v>
      </c>
      <c r="L58" s="336">
        <f>'3.sz.m Önk  bev.'!L57</f>
        <v>0</v>
      </c>
      <c r="M58" s="336">
        <f>'3.sz.m Önk  bev.'!M57</f>
        <v>0</v>
      </c>
      <c r="N58" s="336">
        <f>'3.sz.m Önk  bev.'!N57</f>
        <v>659048</v>
      </c>
      <c r="O58" s="338"/>
      <c r="P58" s="1017"/>
      <c r="Q58" s="443">
        <f>'3.sz.m Önk  bev.'!Q57</f>
        <v>0</v>
      </c>
      <c r="R58" s="336">
        <f>'3.sz.m Önk  bev.'!R57</f>
        <v>0</v>
      </c>
      <c r="S58" s="336">
        <f>'3.sz.m Önk  bev.'!S57</f>
        <v>0</v>
      </c>
      <c r="T58" s="336">
        <f>'3.sz.m Önk  bev.'!T57</f>
        <v>0</v>
      </c>
      <c r="U58" s="336">
        <f>'3.sz.m Önk  bev.'!U57</f>
        <v>0</v>
      </c>
      <c r="V58" s="735">
        <f>'3.sz.m Önk  bev.'!V57</f>
        <v>0</v>
      </c>
    </row>
    <row r="59" spans="1:22" ht="21.75" customHeight="1" thickBot="1">
      <c r="A59" s="136"/>
      <c r="B59" s="133" t="s">
        <v>80</v>
      </c>
      <c r="C59" s="1263" t="s">
        <v>343</v>
      </c>
      <c r="D59" s="1263"/>
      <c r="E59" s="443">
        <f>'3.sz.m Önk  bev.'!E58+'üres lap2'!D22+'üres lap3'!D21</f>
        <v>36788264</v>
      </c>
      <c r="F59" s="336">
        <f>'3.sz.m Önk  bev.'!F58+'üres lap2'!E22+'üres lap3'!E21</f>
        <v>36788264</v>
      </c>
      <c r="G59" s="336">
        <f>'3.sz.m Önk  bev.'!G58+'üres lap2'!F22+'üres lap3'!F21</f>
        <v>36788264</v>
      </c>
      <c r="H59" s="336">
        <f>'3.sz.m Önk  bev.'!H58+'üres lap2'!G22+'üres lap3'!G21</f>
        <v>36788520</v>
      </c>
      <c r="I59" s="338"/>
      <c r="J59" s="1017"/>
      <c r="K59" s="443">
        <f>'3.sz.m Önk  bev.'!K58+'üres lap2'!J22+'üres lap3'!J21</f>
        <v>36788264</v>
      </c>
      <c r="L59" s="336">
        <f>'3.sz.m Önk  bev.'!L58+'üres lap2'!K22+'üres lap3'!K21</f>
        <v>36788264</v>
      </c>
      <c r="M59" s="336">
        <f>'3.sz.m Önk  bev.'!M58+'üres lap2'!L22+'üres lap3'!L21</f>
        <v>36788264</v>
      </c>
      <c r="N59" s="336">
        <f>'3.sz.m Önk  bev.'!N58+'üres lap2'!M22+'üres lap3'!M21</f>
        <v>36788520</v>
      </c>
      <c r="O59" s="338"/>
      <c r="P59" s="1017"/>
      <c r="Q59" s="443">
        <f>'3.sz.m Önk  bev.'!Q58+'üres lap2'!P22+'üres lap3'!P21</f>
        <v>0</v>
      </c>
      <c r="R59" s="336">
        <f>'3.sz.m Önk  bev.'!R58+'üres lap2'!Q22+'üres lap3'!Q21</f>
        <v>0</v>
      </c>
      <c r="S59" s="336">
        <f>'3.sz.m Önk  bev.'!S58+'üres lap2'!R22+'üres lap3'!R21</f>
        <v>0</v>
      </c>
      <c r="T59" s="336">
        <f>'3.sz.m Önk  bev.'!T58+'üres lap2'!S22+'üres lap3'!S21</f>
        <v>0</v>
      </c>
      <c r="U59" s="336">
        <f>'3.sz.m Önk  bev.'!U58+'üres lap2'!T22+'üres lap3'!T21</f>
        <v>0</v>
      </c>
      <c r="V59" s="735">
        <f>'3.sz.m Önk  bev.'!V58+'üres lap2'!U22+'üres lap3'!U21</f>
        <v>0</v>
      </c>
    </row>
    <row r="60" spans="1:22" ht="35.25" customHeight="1" thickBot="1">
      <c r="A60" s="143" t="s">
        <v>57</v>
      </c>
      <c r="B60" s="1266" t="s">
        <v>82</v>
      </c>
      <c r="C60" s="1266"/>
      <c r="D60" s="1266"/>
      <c r="E60" s="429">
        <f>E55+E56</f>
        <v>67127779</v>
      </c>
      <c r="F60" s="96">
        <f>F55+F56</f>
        <v>68036384</v>
      </c>
      <c r="G60" s="96">
        <f>G55+G56</f>
        <v>67108825</v>
      </c>
      <c r="H60" s="96">
        <f>H55+H56</f>
        <v>88313211</v>
      </c>
      <c r="I60" s="96">
        <f aca="true" t="shared" si="21" ref="I60:P60">I55+I56</f>
        <v>0</v>
      </c>
      <c r="J60" s="1018">
        <f t="shared" si="21"/>
        <v>0</v>
      </c>
      <c r="K60" s="429">
        <f>K55+K56</f>
        <v>59555235</v>
      </c>
      <c r="L60" s="96">
        <f>L55+L56</f>
        <v>60463840</v>
      </c>
      <c r="M60" s="96">
        <f>M55+M56</f>
        <v>59421291</v>
      </c>
      <c r="N60" s="96">
        <f>N55+N56</f>
        <v>80813396</v>
      </c>
      <c r="O60" s="96">
        <f t="shared" si="21"/>
        <v>0</v>
      </c>
      <c r="P60" s="1018">
        <f t="shared" si="21"/>
        <v>0</v>
      </c>
      <c r="Q60" s="429">
        <f aca="true" t="shared" si="22" ref="Q60:V60">Q55+Q56</f>
        <v>7572544</v>
      </c>
      <c r="R60" s="96">
        <f t="shared" si="22"/>
        <v>7572544</v>
      </c>
      <c r="S60" s="96">
        <f t="shared" si="22"/>
        <v>7687534</v>
      </c>
      <c r="T60" s="96">
        <f>T55+T56</f>
        <v>7499815</v>
      </c>
      <c r="U60" s="96">
        <f t="shared" si="22"/>
        <v>164831.923536242</v>
      </c>
      <c r="V60" s="1018">
        <f t="shared" si="22"/>
        <v>1334008</v>
      </c>
    </row>
    <row r="61" spans="1:22" ht="21.75" customHeight="1" hidden="1" thickBot="1">
      <c r="A61" s="1268" t="s">
        <v>210</v>
      </c>
      <c r="B61" s="1269"/>
      <c r="C61" s="1269"/>
      <c r="D61" s="1269"/>
      <c r="E61" s="739"/>
      <c r="F61" s="740"/>
      <c r="G61" s="740"/>
      <c r="H61" s="740"/>
      <c r="I61" s="740"/>
      <c r="J61" s="741"/>
      <c r="K61" s="739"/>
      <c r="L61" s="739"/>
      <c r="M61" s="740"/>
      <c r="N61" s="740"/>
      <c r="O61" s="740"/>
      <c r="P61" s="741"/>
      <c r="Q61" s="739"/>
      <c r="R61" s="739"/>
      <c r="S61" s="739"/>
      <c r="T61" s="739"/>
      <c r="U61" s="739"/>
      <c r="V61" s="739"/>
    </row>
    <row r="62" spans="1:22" ht="21.75" customHeight="1" hidden="1" thickBot="1">
      <c r="A62" s="1265" t="s">
        <v>6</v>
      </c>
      <c r="B62" s="1266"/>
      <c r="C62" s="1266"/>
      <c r="D62" s="1266"/>
      <c r="E62" s="505"/>
      <c r="F62" s="506"/>
      <c r="G62" s="506"/>
      <c r="H62" s="506"/>
      <c r="I62" s="506"/>
      <c r="J62" s="507"/>
      <c r="K62" s="505"/>
      <c r="L62" s="505"/>
      <c r="M62" s="506"/>
      <c r="N62" s="506"/>
      <c r="O62" s="506"/>
      <c r="P62" s="507"/>
      <c r="Q62" s="505"/>
      <c r="R62" s="505"/>
      <c r="S62" s="505"/>
      <c r="T62" s="505"/>
      <c r="U62" s="505"/>
      <c r="V62" s="505"/>
    </row>
    <row r="63" spans="1:22" ht="21.75" customHeight="1">
      <c r="A63" s="742"/>
      <c r="B63" s="743"/>
      <c r="C63" s="743"/>
      <c r="D63" s="743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</row>
    <row r="64" spans="1:20" ht="21.75" customHeight="1">
      <c r="A64" s="121"/>
      <c r="B64" s="168"/>
      <c r="C64" s="168"/>
      <c r="D64" s="168"/>
      <c r="E64" s="390"/>
      <c r="F64" s="390"/>
      <c r="G64" s="390"/>
      <c r="H64" s="390"/>
      <c r="I64" s="390"/>
      <c r="J64" s="390"/>
      <c r="L64" s="390"/>
      <c r="R64" s="390"/>
      <c r="S64" s="390"/>
      <c r="T64" s="390"/>
    </row>
    <row r="65" spans="1:20" ht="35.25" customHeight="1">
      <c r="A65" s="121"/>
      <c r="B65" s="168"/>
      <c r="C65" s="168"/>
      <c r="D65" s="168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R65" s="390"/>
      <c r="S65" s="390"/>
      <c r="T65" s="390"/>
    </row>
    <row r="66" spans="1:20" ht="35.25" customHeight="1">
      <c r="A66" s="121"/>
      <c r="B66" s="168"/>
      <c r="C66" s="168"/>
      <c r="D66" s="168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R66" s="390"/>
      <c r="S66" s="390"/>
      <c r="T66" s="390"/>
    </row>
    <row r="67" spans="5:20" ht="12.75"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R67" s="390"/>
      <c r="S67" s="390"/>
      <c r="T67" s="390"/>
    </row>
    <row r="68" spans="5:20" ht="12.75"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R68" s="390"/>
      <c r="S68" s="390"/>
      <c r="T68" s="390"/>
    </row>
    <row r="69" spans="5:20" ht="12.75"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R69" s="390"/>
      <c r="S69" s="390"/>
      <c r="T69" s="390"/>
    </row>
    <row r="70" spans="4:20" ht="12.75">
      <c r="D70" s="13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R70" s="390"/>
      <c r="S70" s="390"/>
      <c r="T70" s="390"/>
    </row>
    <row r="71" spans="4:20" ht="48.75" customHeight="1">
      <c r="D71" s="13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R71" s="390"/>
      <c r="S71" s="390"/>
      <c r="T71" s="390"/>
    </row>
    <row r="72" spans="4:20" ht="46.5" customHeight="1">
      <c r="D72" s="13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R72" s="390"/>
      <c r="S72" s="390"/>
      <c r="T72" s="390"/>
    </row>
    <row r="73" spans="5:20" ht="41.25" customHeight="1"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R73" s="390"/>
      <c r="S73" s="390"/>
      <c r="T73" s="390"/>
    </row>
    <row r="74" spans="5:20" ht="12.75"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R74" s="390"/>
      <c r="S74" s="390"/>
      <c r="T74" s="390"/>
    </row>
    <row r="75" spans="5:20" ht="12.75"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R75" s="390"/>
      <c r="S75" s="390"/>
      <c r="T75" s="390"/>
    </row>
    <row r="76" spans="5:20" ht="12.75"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R76" s="390"/>
      <c r="S76" s="390"/>
      <c r="T76" s="390"/>
    </row>
    <row r="77" spans="5:20" ht="12.75"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R77" s="390"/>
      <c r="S77" s="390"/>
      <c r="T77" s="390"/>
    </row>
    <row r="78" spans="5:20" ht="12.75"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R78" s="390"/>
      <c r="S78" s="390"/>
      <c r="T78" s="390"/>
    </row>
    <row r="79" spans="5:20" ht="12.75"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R79" s="390"/>
      <c r="S79" s="390"/>
      <c r="T79" s="390"/>
    </row>
    <row r="80" spans="5:20" ht="12.75"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R80" s="390"/>
      <c r="S80" s="390"/>
      <c r="T80" s="390"/>
    </row>
    <row r="81" spans="5:20" ht="12.75"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R81" s="390"/>
      <c r="S81" s="390"/>
      <c r="T81" s="390"/>
    </row>
    <row r="82" spans="5:20" ht="12.75"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R82" s="390"/>
      <c r="S82" s="390"/>
      <c r="T82" s="390"/>
    </row>
    <row r="83" spans="5:20" ht="12.75"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R83" s="390"/>
      <c r="S83" s="390"/>
      <c r="T83" s="390"/>
    </row>
    <row r="84" spans="5:20" ht="12.75"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R84" s="390"/>
      <c r="S84" s="390"/>
      <c r="T84" s="390"/>
    </row>
    <row r="85" spans="5:20" ht="12.75"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R85" s="390"/>
      <c r="S85" s="390"/>
      <c r="T85" s="390"/>
    </row>
    <row r="86" spans="5:20" ht="12.75"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R86" s="390"/>
      <c r="S86" s="390"/>
      <c r="T86" s="390"/>
    </row>
    <row r="87" spans="5:20" ht="12.75"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R87" s="390"/>
      <c r="S87" s="390"/>
      <c r="T87" s="390"/>
    </row>
    <row r="88" spans="5:20" ht="12.75"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R88" s="390"/>
      <c r="S88" s="390"/>
      <c r="T88" s="390"/>
    </row>
    <row r="89" spans="5:20" ht="12.75"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R89" s="390"/>
      <c r="S89" s="390"/>
      <c r="T89" s="390"/>
    </row>
    <row r="90" spans="5:20" ht="12.75"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R90" s="390"/>
      <c r="S90" s="390"/>
      <c r="T90" s="390"/>
    </row>
    <row r="91" spans="5:20" ht="12.75"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R91" s="390"/>
      <c r="S91" s="390"/>
      <c r="T91" s="390"/>
    </row>
    <row r="92" spans="5:20" ht="12.75"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R92" s="390"/>
      <c r="S92" s="390"/>
      <c r="T92" s="390"/>
    </row>
    <row r="93" spans="5:20" ht="12.75"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R93" s="390"/>
      <c r="S93" s="390"/>
      <c r="T93" s="390"/>
    </row>
    <row r="94" spans="5:20" ht="12.75"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R94" s="390"/>
      <c r="S94" s="390"/>
      <c r="T94" s="390"/>
    </row>
    <row r="95" spans="5:20" ht="12.75"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R95" s="390"/>
      <c r="S95" s="390"/>
      <c r="T95" s="390"/>
    </row>
    <row r="96" spans="5:20" ht="12.75"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R96" s="390"/>
      <c r="S96" s="390"/>
      <c r="T96" s="390"/>
    </row>
    <row r="97" spans="5:20" ht="12.75"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R97" s="390"/>
      <c r="S97" s="390"/>
      <c r="T97" s="390"/>
    </row>
    <row r="98" spans="5:20" ht="12.75"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R98" s="390"/>
      <c r="S98" s="390"/>
      <c r="T98" s="390"/>
    </row>
    <row r="99" spans="5:20" ht="12.75"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R99" s="390"/>
      <c r="S99" s="390"/>
      <c r="T99" s="390"/>
    </row>
    <row r="100" spans="5:20" ht="12.75"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R100" s="390"/>
      <c r="S100" s="390"/>
      <c r="T100" s="390"/>
    </row>
    <row r="101" spans="5:20" ht="12.75"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R101" s="390"/>
      <c r="S101" s="390"/>
      <c r="T101" s="390"/>
    </row>
    <row r="102" spans="5:20" ht="12.75"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R102" s="390"/>
      <c r="S102" s="390"/>
      <c r="T102" s="390"/>
    </row>
    <row r="103" spans="5:20" ht="12.75"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R103" s="390"/>
      <c r="S103" s="390"/>
      <c r="T103" s="390"/>
    </row>
    <row r="104" spans="5:20" ht="12.75"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R104" s="390"/>
      <c r="S104" s="390"/>
      <c r="T104" s="390"/>
    </row>
    <row r="105" spans="5:20" ht="12.75"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R105" s="390"/>
      <c r="S105" s="390"/>
      <c r="T105" s="390"/>
    </row>
    <row r="106" spans="5:20" ht="12.75"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R106" s="390"/>
      <c r="S106" s="390"/>
      <c r="T106" s="390"/>
    </row>
    <row r="107" spans="5:20" ht="12.75"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R107" s="390"/>
      <c r="S107" s="390"/>
      <c r="T107" s="390"/>
    </row>
    <row r="108" spans="5:20" ht="12.75"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R108" s="390"/>
      <c r="S108" s="390"/>
      <c r="T108" s="390"/>
    </row>
    <row r="109" spans="5:20" ht="12.75"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R109" s="390"/>
      <c r="S109" s="390"/>
      <c r="T109" s="390"/>
    </row>
    <row r="110" spans="5:20" ht="12.75"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R110" s="390"/>
      <c r="S110" s="390"/>
      <c r="T110" s="390"/>
    </row>
    <row r="111" spans="5:20" ht="12.75"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R111" s="390"/>
      <c r="S111" s="390"/>
      <c r="T111" s="390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2">
      <selection activeCell="J22" sqref="J22"/>
    </sheetView>
  </sheetViews>
  <sheetFormatPr defaultColWidth="9.140625" defaultRowHeight="12.75"/>
  <cols>
    <col min="1" max="1" width="47.421875" style="372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customWidth="1"/>
    <col min="11" max="11" width="11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customWidth="1"/>
    <col min="21" max="21" width="8.57421875" style="18" hidden="1" customWidth="1"/>
    <col min="22" max="16384" width="9.140625" style="18" customWidth="1"/>
  </cols>
  <sheetData>
    <row r="1" spans="12:18" ht="12.75" customHeight="1">
      <c r="L1" s="1409" t="s">
        <v>163</v>
      </c>
      <c r="M1" s="1409"/>
      <c r="N1" s="1409"/>
      <c r="O1" s="1409"/>
      <c r="P1" s="1409"/>
      <c r="Q1" s="1409"/>
      <c r="R1" s="1409"/>
    </row>
    <row r="2" spans="1:18" ht="19.5">
      <c r="A2" s="1410" t="s">
        <v>17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1410"/>
      <c r="P2" s="1410"/>
      <c r="Q2" s="1410"/>
      <c r="R2" s="1410"/>
    </row>
    <row r="3" spans="1:18" ht="15.75">
      <c r="A3" s="1411" t="s">
        <v>496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</row>
    <row r="4" spans="1:18" ht="14.25">
      <c r="A4" s="1412" t="s">
        <v>159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1412"/>
      <c r="O4" s="1412"/>
      <c r="P4" s="1412"/>
      <c r="Q4" s="1412"/>
      <c r="R4" s="1412"/>
    </row>
    <row r="5" spans="17:18" ht="13.5" thickBot="1">
      <c r="Q5" s="1413" t="s">
        <v>387</v>
      </c>
      <c r="R5" s="1413"/>
    </row>
    <row r="6" spans="1:22" ht="24.75" customHeight="1">
      <c r="A6" s="1407" t="s">
        <v>18</v>
      </c>
      <c r="B6" s="1403" t="s">
        <v>19</v>
      </c>
      <c r="C6" s="1404"/>
      <c r="D6" s="1404"/>
      <c r="E6" s="1404"/>
      <c r="F6" s="1404"/>
      <c r="G6" s="1404"/>
      <c r="H6" s="1404"/>
      <c r="I6" s="1404"/>
      <c r="J6" s="1404"/>
      <c r="K6" s="1404"/>
      <c r="L6" s="1400" t="s">
        <v>20</v>
      </c>
      <c r="M6" s="1401"/>
      <c r="N6" s="1401"/>
      <c r="O6" s="1401"/>
      <c r="P6" s="1401"/>
      <c r="Q6" s="1401"/>
      <c r="R6" s="1401"/>
      <c r="S6" s="1401"/>
      <c r="T6" s="1401"/>
      <c r="U6" s="1402"/>
      <c r="V6" s="700"/>
    </row>
    <row r="7" spans="1:22" ht="24.75" customHeight="1">
      <c r="A7" s="1408"/>
      <c r="B7" s="1395" t="s">
        <v>68</v>
      </c>
      <c r="C7" s="1396"/>
      <c r="D7" s="1396"/>
      <c r="E7" s="1396"/>
      <c r="F7" s="1397"/>
      <c r="G7" s="1395" t="s">
        <v>69</v>
      </c>
      <c r="H7" s="1396"/>
      <c r="I7" s="1396"/>
      <c r="J7" s="1396"/>
      <c r="K7" s="1396"/>
      <c r="L7" s="1398" t="s">
        <v>68</v>
      </c>
      <c r="M7" s="1399"/>
      <c r="N7" s="1399"/>
      <c r="O7" s="1399"/>
      <c r="P7" s="1399"/>
      <c r="Q7" s="1399" t="s">
        <v>69</v>
      </c>
      <c r="R7" s="1399"/>
      <c r="S7" s="1399"/>
      <c r="T7" s="1399"/>
      <c r="U7" s="1405"/>
      <c r="V7" s="700"/>
    </row>
    <row r="8" spans="1:22" ht="42" customHeight="1">
      <c r="A8" s="356"/>
      <c r="B8" s="357" t="s">
        <v>190</v>
      </c>
      <c r="C8" s="357" t="s">
        <v>188</v>
      </c>
      <c r="D8" s="702" t="s">
        <v>194</v>
      </c>
      <c r="E8" s="357" t="s">
        <v>196</v>
      </c>
      <c r="F8" s="357" t="s">
        <v>245</v>
      </c>
      <c r="G8" s="357" t="s">
        <v>190</v>
      </c>
      <c r="H8" s="357" t="s">
        <v>188</v>
      </c>
      <c r="I8" s="702" t="s">
        <v>194</v>
      </c>
      <c r="J8" s="357" t="s">
        <v>196</v>
      </c>
      <c r="K8" s="357" t="s">
        <v>525</v>
      </c>
      <c r="L8" s="488" t="s">
        <v>190</v>
      </c>
      <c r="M8" s="393" t="s">
        <v>188</v>
      </c>
      <c r="N8" s="702" t="s">
        <v>194</v>
      </c>
      <c r="O8" s="357" t="s">
        <v>196</v>
      </c>
      <c r="P8" s="357" t="s">
        <v>245</v>
      </c>
      <c r="Q8" s="393" t="s">
        <v>190</v>
      </c>
      <c r="R8" s="393" t="s">
        <v>188</v>
      </c>
      <c r="S8" s="702" t="s">
        <v>194</v>
      </c>
      <c r="T8" s="357" t="s">
        <v>196</v>
      </c>
      <c r="U8" s="357" t="s">
        <v>245</v>
      </c>
      <c r="V8" s="700"/>
    </row>
    <row r="9" spans="1:22" ht="18" hidden="1">
      <c r="A9" s="63" t="s">
        <v>180</v>
      </c>
      <c r="B9" s="67"/>
      <c r="C9" s="67"/>
      <c r="D9" s="67"/>
      <c r="E9" s="67"/>
      <c r="F9" s="67"/>
      <c r="G9" s="67"/>
      <c r="H9" s="67"/>
      <c r="I9" s="67"/>
      <c r="J9" s="67"/>
      <c r="K9" s="486"/>
      <c r="L9" s="489"/>
      <c r="M9" s="68"/>
      <c r="N9" s="68"/>
      <c r="O9" s="68"/>
      <c r="P9" s="68"/>
      <c r="Q9" s="70"/>
      <c r="R9" s="70"/>
      <c r="S9" s="70"/>
      <c r="T9" s="67"/>
      <c r="U9" s="102"/>
      <c r="V9" s="700"/>
    </row>
    <row r="10" spans="1:22" ht="30.75" hidden="1">
      <c r="A10" s="63" t="s">
        <v>208</v>
      </c>
      <c r="B10" s="67"/>
      <c r="C10" s="67"/>
      <c r="D10" s="67"/>
      <c r="E10" s="67"/>
      <c r="F10" s="67"/>
      <c r="G10" s="67"/>
      <c r="H10" s="67"/>
      <c r="I10" s="67"/>
      <c r="J10" s="67"/>
      <c r="K10" s="486"/>
      <c r="L10" s="489"/>
      <c r="M10" s="68"/>
      <c r="N10" s="68"/>
      <c r="O10" s="68"/>
      <c r="P10" s="68"/>
      <c r="Q10" s="70"/>
      <c r="R10" s="70"/>
      <c r="S10" s="70"/>
      <c r="T10" s="67"/>
      <c r="U10" s="102"/>
      <c r="V10" s="700"/>
    </row>
    <row r="11" spans="1:22" ht="18" hidden="1">
      <c r="A11" s="63" t="s">
        <v>191</v>
      </c>
      <c r="B11" s="67"/>
      <c r="C11" s="67"/>
      <c r="D11" s="67"/>
      <c r="E11" s="67"/>
      <c r="F11" s="67"/>
      <c r="G11" s="67"/>
      <c r="H11" s="67"/>
      <c r="I11" s="67"/>
      <c r="J11" s="67"/>
      <c r="K11" s="486"/>
      <c r="L11" s="489"/>
      <c r="M11" s="68"/>
      <c r="N11" s="68"/>
      <c r="O11" s="68"/>
      <c r="P11" s="68"/>
      <c r="Q11" s="70"/>
      <c r="R11" s="70"/>
      <c r="S11" s="70"/>
      <c r="T11" s="67"/>
      <c r="U11" s="102"/>
      <c r="V11" s="700"/>
    </row>
    <row r="12" spans="1:22" ht="18" hidden="1">
      <c r="A12" s="64" t="s">
        <v>395</v>
      </c>
      <c r="B12" s="67"/>
      <c r="C12" s="67"/>
      <c r="D12" s="67"/>
      <c r="E12" s="67"/>
      <c r="F12" s="67"/>
      <c r="G12" s="67"/>
      <c r="H12" s="67"/>
      <c r="I12" s="67"/>
      <c r="J12" s="67"/>
      <c r="K12" s="486"/>
      <c r="L12" s="489"/>
      <c r="M12" s="68"/>
      <c r="N12" s="68"/>
      <c r="O12" s="68"/>
      <c r="P12" s="68"/>
      <c r="Q12" s="70"/>
      <c r="R12" s="70"/>
      <c r="S12" s="70"/>
      <c r="T12" s="67"/>
      <c r="U12" s="102"/>
      <c r="V12" s="700"/>
    </row>
    <row r="13" spans="1:22" ht="18">
      <c r="A13" s="64" t="s">
        <v>181</v>
      </c>
      <c r="B13" s="67">
        <v>0</v>
      </c>
      <c r="C13" s="67">
        <v>0</v>
      </c>
      <c r="D13" s="67">
        <v>0</v>
      </c>
      <c r="E13" s="67"/>
      <c r="F13" s="67"/>
      <c r="G13" s="67">
        <v>0</v>
      </c>
      <c r="H13" s="67">
        <v>0</v>
      </c>
      <c r="I13" s="67">
        <v>0</v>
      </c>
      <c r="J13" s="67"/>
      <c r="K13" s="486"/>
      <c r="L13" s="489">
        <v>0</v>
      </c>
      <c r="M13" s="489">
        <v>0</v>
      </c>
      <c r="N13" s="68"/>
      <c r="O13" s="68"/>
      <c r="P13" s="68"/>
      <c r="Q13" s="70">
        <v>500000</v>
      </c>
      <c r="R13" s="70">
        <v>500000</v>
      </c>
      <c r="S13" s="70">
        <v>600000</v>
      </c>
      <c r="T13" s="70">
        <v>600000</v>
      </c>
      <c r="U13" s="102"/>
      <c r="V13" s="700"/>
    </row>
    <row r="14" spans="1:22" ht="17.25" customHeight="1" hidden="1">
      <c r="A14" s="64" t="s">
        <v>182</v>
      </c>
      <c r="B14" s="67">
        <v>0</v>
      </c>
      <c r="C14" s="67">
        <v>0</v>
      </c>
      <c r="D14" s="67">
        <v>0</v>
      </c>
      <c r="E14" s="67"/>
      <c r="F14" s="67"/>
      <c r="G14" s="67"/>
      <c r="H14" s="67"/>
      <c r="I14" s="67"/>
      <c r="J14" s="67"/>
      <c r="K14" s="486"/>
      <c r="L14" s="490"/>
      <c r="M14" s="70"/>
      <c r="N14" s="70"/>
      <c r="O14" s="70"/>
      <c r="P14" s="70"/>
      <c r="Q14" s="70"/>
      <c r="R14" s="70"/>
      <c r="S14" s="70"/>
      <c r="T14" s="70"/>
      <c r="U14" s="102"/>
      <c r="V14" s="700"/>
    </row>
    <row r="15" spans="1:22" ht="17.25" customHeight="1" hidden="1">
      <c r="A15" s="64" t="s">
        <v>378</v>
      </c>
      <c r="B15" s="67">
        <v>0</v>
      </c>
      <c r="C15" s="67">
        <v>0</v>
      </c>
      <c r="D15" s="67">
        <v>0</v>
      </c>
      <c r="E15" s="67"/>
      <c r="F15" s="67"/>
      <c r="G15" s="67"/>
      <c r="H15" s="67"/>
      <c r="I15" s="67"/>
      <c r="J15" s="67"/>
      <c r="K15" s="486"/>
      <c r="L15" s="49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102"/>
      <c r="V15" s="700"/>
    </row>
    <row r="16" spans="1:22" ht="17.25" customHeight="1">
      <c r="A16" s="64" t="s">
        <v>379</v>
      </c>
      <c r="B16" s="67">
        <v>0</v>
      </c>
      <c r="C16" s="67">
        <v>0</v>
      </c>
      <c r="D16" s="67">
        <v>0</v>
      </c>
      <c r="E16" s="67"/>
      <c r="F16" s="67"/>
      <c r="G16" s="67">
        <v>30000</v>
      </c>
      <c r="H16" s="67">
        <v>30000</v>
      </c>
      <c r="I16" s="67">
        <v>30000</v>
      </c>
      <c r="J16" s="67">
        <v>30000</v>
      </c>
      <c r="K16" s="67">
        <v>30000</v>
      </c>
      <c r="L16" s="49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102"/>
      <c r="V16" s="700"/>
    </row>
    <row r="17" spans="1:22" ht="17.25" customHeight="1">
      <c r="A17" s="64" t="s">
        <v>427</v>
      </c>
      <c r="B17" s="67">
        <v>0</v>
      </c>
      <c r="C17" s="67">
        <v>0</v>
      </c>
      <c r="D17" s="67">
        <v>0</v>
      </c>
      <c r="E17" s="67"/>
      <c r="F17" s="67"/>
      <c r="G17" s="67">
        <v>100000</v>
      </c>
      <c r="H17" s="67">
        <v>100000</v>
      </c>
      <c r="I17" s="67">
        <v>100000</v>
      </c>
      <c r="J17" s="67">
        <v>100000</v>
      </c>
      <c r="K17" s="67">
        <v>0</v>
      </c>
      <c r="L17" s="49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102"/>
      <c r="V17" s="700"/>
    </row>
    <row r="18" spans="1:22" ht="17.25" customHeight="1" hidden="1">
      <c r="A18" s="64" t="s">
        <v>380</v>
      </c>
      <c r="B18" s="67">
        <v>0</v>
      </c>
      <c r="C18" s="67">
        <v>0</v>
      </c>
      <c r="D18" s="67">
        <v>0</v>
      </c>
      <c r="E18" s="67"/>
      <c r="F18" s="67"/>
      <c r="G18" s="67"/>
      <c r="H18" s="67"/>
      <c r="I18" s="67"/>
      <c r="J18" s="67"/>
      <c r="K18" s="67"/>
      <c r="L18" s="49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102"/>
      <c r="V18" s="700"/>
    </row>
    <row r="19" spans="1:22" ht="17.25" customHeight="1">
      <c r="A19" s="64" t="s">
        <v>400</v>
      </c>
      <c r="B19" s="67">
        <v>0</v>
      </c>
      <c r="C19" s="67">
        <v>0</v>
      </c>
      <c r="D19" s="67">
        <v>0</v>
      </c>
      <c r="E19" s="67"/>
      <c r="F19" s="67"/>
      <c r="G19" s="67">
        <v>100000</v>
      </c>
      <c r="H19" s="67">
        <v>100000</v>
      </c>
      <c r="I19" s="67">
        <v>100000</v>
      </c>
      <c r="J19" s="67">
        <v>100000</v>
      </c>
      <c r="K19" s="67">
        <v>100000</v>
      </c>
      <c r="L19" s="49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102"/>
      <c r="V19" s="700"/>
    </row>
    <row r="20" spans="1:22" ht="17.25" customHeight="1" hidden="1">
      <c r="A20" s="64" t="s">
        <v>381</v>
      </c>
      <c r="B20" s="67">
        <v>0</v>
      </c>
      <c r="C20" s="67">
        <v>0</v>
      </c>
      <c r="D20" s="67">
        <v>0</v>
      </c>
      <c r="E20" s="67"/>
      <c r="F20" s="67"/>
      <c r="G20" s="67"/>
      <c r="H20" s="67"/>
      <c r="I20" s="67"/>
      <c r="J20" s="67"/>
      <c r="K20" s="67"/>
      <c r="L20" s="49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102"/>
      <c r="V20" s="700"/>
    </row>
    <row r="21" spans="1:22" ht="34.5" customHeight="1">
      <c r="A21" s="64" t="s">
        <v>428</v>
      </c>
      <c r="B21" s="67">
        <v>0</v>
      </c>
      <c r="C21" s="67">
        <v>0</v>
      </c>
      <c r="D21" s="67">
        <v>0</v>
      </c>
      <c r="E21" s="67"/>
      <c r="F21" s="67"/>
      <c r="G21" s="67">
        <v>50000</v>
      </c>
      <c r="H21" s="67">
        <v>50000</v>
      </c>
      <c r="I21" s="67">
        <v>50000</v>
      </c>
      <c r="J21" s="67">
        <v>0</v>
      </c>
      <c r="K21" s="67"/>
      <c r="L21" s="49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102"/>
      <c r="V21" s="700"/>
    </row>
    <row r="22" spans="1:22" ht="32.25" customHeight="1">
      <c r="A22" s="64" t="s">
        <v>426</v>
      </c>
      <c r="B22" s="67">
        <v>0</v>
      </c>
      <c r="C22" s="67">
        <v>0</v>
      </c>
      <c r="D22" s="67">
        <v>0</v>
      </c>
      <c r="E22" s="67"/>
      <c r="F22" s="67"/>
      <c r="G22" s="67">
        <v>10000</v>
      </c>
      <c r="H22" s="67">
        <v>10000</v>
      </c>
      <c r="I22" s="67">
        <v>10000</v>
      </c>
      <c r="J22" s="67">
        <v>10000</v>
      </c>
      <c r="K22" s="67">
        <v>10000</v>
      </c>
      <c r="L22" s="49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102"/>
      <c r="V22" s="700"/>
    </row>
    <row r="23" spans="1:22" ht="17.25" customHeight="1">
      <c r="A23" s="64" t="s">
        <v>506</v>
      </c>
      <c r="B23" s="67">
        <v>0</v>
      </c>
      <c r="C23" s="67">
        <v>0</v>
      </c>
      <c r="D23" s="67">
        <v>0</v>
      </c>
      <c r="E23" s="67"/>
      <c r="F23" s="67"/>
      <c r="G23" s="67">
        <v>10000</v>
      </c>
      <c r="H23" s="67">
        <v>10000</v>
      </c>
      <c r="I23" s="67">
        <v>10000</v>
      </c>
      <c r="J23" s="67">
        <v>10000</v>
      </c>
      <c r="K23" s="67">
        <v>0</v>
      </c>
      <c r="L23" s="49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102"/>
      <c r="V23" s="700"/>
    </row>
    <row r="24" spans="1:22" s="21" customFormat="1" ht="18">
      <c r="A24" s="64" t="s">
        <v>401</v>
      </c>
      <c r="B24" s="67">
        <v>0</v>
      </c>
      <c r="C24" s="67">
        <v>0</v>
      </c>
      <c r="D24" s="67">
        <v>0</v>
      </c>
      <c r="E24" s="67"/>
      <c r="F24" s="67"/>
      <c r="G24" s="67">
        <v>12000</v>
      </c>
      <c r="H24" s="67">
        <v>12000</v>
      </c>
      <c r="I24" s="67">
        <v>12000</v>
      </c>
      <c r="J24" s="67">
        <v>12000</v>
      </c>
      <c r="K24" s="67">
        <v>12000</v>
      </c>
      <c r="L24" s="491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102"/>
      <c r="V24" s="701"/>
    </row>
    <row r="25" spans="1:22" ht="18">
      <c r="A25" s="63" t="s">
        <v>187</v>
      </c>
      <c r="B25" s="70"/>
      <c r="C25" s="70"/>
      <c r="D25" s="70"/>
      <c r="E25" s="70"/>
      <c r="F25" s="70"/>
      <c r="G25" s="70"/>
      <c r="H25" s="70"/>
      <c r="I25" s="70"/>
      <c r="J25" s="70">
        <v>2825</v>
      </c>
      <c r="K25" s="70">
        <v>2825</v>
      </c>
      <c r="L25" s="491"/>
      <c r="M25" s="67"/>
      <c r="N25" s="67"/>
      <c r="O25" s="67"/>
      <c r="P25" s="67"/>
      <c r="Q25" s="70"/>
      <c r="R25" s="70"/>
      <c r="S25" s="70"/>
      <c r="T25" s="70"/>
      <c r="U25" s="69"/>
      <c r="V25" s="700"/>
    </row>
    <row r="26" spans="1:22" ht="18">
      <c r="A26" s="63" t="s">
        <v>395</v>
      </c>
      <c r="B26" s="70"/>
      <c r="C26" s="70"/>
      <c r="D26" s="70"/>
      <c r="E26" s="70"/>
      <c r="F26" s="70"/>
      <c r="G26" s="70"/>
      <c r="H26" s="70"/>
      <c r="I26" s="70"/>
      <c r="J26" s="70">
        <v>10000</v>
      </c>
      <c r="K26" s="70">
        <v>10000</v>
      </c>
      <c r="L26" s="491"/>
      <c r="M26" s="67"/>
      <c r="N26" s="67"/>
      <c r="O26" s="67"/>
      <c r="P26" s="67"/>
      <c r="Q26" s="70"/>
      <c r="R26" s="70"/>
      <c r="S26" s="70"/>
      <c r="T26" s="70"/>
      <c r="U26" s="69"/>
      <c r="V26" s="700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>SUM(D9:D26)</f>
        <v>0</v>
      </c>
      <c r="E27" s="71">
        <f t="shared" si="0"/>
        <v>0</v>
      </c>
      <c r="F27" s="71">
        <f t="shared" si="0"/>
        <v>0</v>
      </c>
      <c r="G27" s="71">
        <f t="shared" si="0"/>
        <v>312000</v>
      </c>
      <c r="H27" s="71">
        <f>SUM(H9:H26)</f>
        <v>312000</v>
      </c>
      <c r="I27" s="71">
        <f>SUM(I9:I26)</f>
        <v>312000</v>
      </c>
      <c r="J27" s="71">
        <f>SUM(J9:J26)</f>
        <v>274825</v>
      </c>
      <c r="K27" s="71">
        <f t="shared" si="0"/>
        <v>164825</v>
      </c>
      <c r="L27" s="492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500000</v>
      </c>
      <c r="S27" s="71">
        <f>SUM(S13:S26)</f>
        <v>600000</v>
      </c>
      <c r="T27" s="71">
        <f>SUM(T13:T26)</f>
        <v>600000</v>
      </c>
      <c r="U27" s="71">
        <f t="shared" si="0"/>
        <v>0</v>
      </c>
      <c r="V27" s="700"/>
    </row>
    <row r="28" spans="1:21" ht="15">
      <c r="A28" s="62"/>
      <c r="B28" s="16"/>
      <c r="C28" s="16"/>
      <c r="D28" s="16"/>
      <c r="E28" s="16"/>
      <c r="F28" s="16"/>
      <c r="G28" s="342"/>
      <c r="H28" s="342"/>
      <c r="I28" s="342"/>
      <c r="J28" s="342"/>
      <c r="K28" s="342"/>
      <c r="L28" s="16"/>
      <c r="M28" s="16"/>
      <c r="N28" s="16"/>
      <c r="O28" s="16"/>
      <c r="P28" s="16"/>
      <c r="Q28" s="342"/>
      <c r="T28" s="484"/>
      <c r="U28" s="484"/>
    </row>
    <row r="29" spans="1:17" ht="14.25">
      <c r="A29" s="1406" t="s">
        <v>184</v>
      </c>
      <c r="B29" s="1406"/>
      <c r="C29" s="1406"/>
      <c r="D29" s="1406"/>
      <c r="E29" s="1406"/>
      <c r="F29" s="1406"/>
      <c r="G29" s="1406"/>
      <c r="H29" s="1406"/>
      <c r="I29" s="1406"/>
      <c r="J29" s="1406"/>
      <c r="K29" s="1406"/>
      <c r="L29" s="1406"/>
      <c r="M29" s="1406"/>
      <c r="N29" s="1406"/>
      <c r="O29" s="1406"/>
      <c r="P29" s="1406"/>
      <c r="Q29" s="1406"/>
    </row>
    <row r="30" ht="13.5" thickBot="1">
      <c r="Q30" s="13"/>
    </row>
    <row r="31" spans="1:22" ht="29.25" customHeight="1">
      <c r="A31" s="1407" t="s">
        <v>183</v>
      </c>
      <c r="B31" s="1403" t="s">
        <v>19</v>
      </c>
      <c r="C31" s="1404"/>
      <c r="D31" s="1404"/>
      <c r="E31" s="1404"/>
      <c r="F31" s="1404"/>
      <c r="G31" s="1404"/>
      <c r="H31" s="1404"/>
      <c r="I31" s="1404"/>
      <c r="J31" s="1404"/>
      <c r="K31" s="1404"/>
      <c r="L31" s="1400" t="s">
        <v>20</v>
      </c>
      <c r="M31" s="1401"/>
      <c r="N31" s="1401"/>
      <c r="O31" s="1401"/>
      <c r="P31" s="1401"/>
      <c r="Q31" s="1401"/>
      <c r="R31" s="1401"/>
      <c r="S31" s="1401"/>
      <c r="T31" s="1401"/>
      <c r="U31" s="1402"/>
      <c r="V31" s="700"/>
    </row>
    <row r="32" spans="1:22" ht="29.25" customHeight="1">
      <c r="A32" s="1408"/>
      <c r="B32" s="1395" t="s">
        <v>68</v>
      </c>
      <c r="C32" s="1396"/>
      <c r="D32" s="1396"/>
      <c r="E32" s="1396"/>
      <c r="F32" s="1397"/>
      <c r="G32" s="1395" t="s">
        <v>69</v>
      </c>
      <c r="H32" s="1396"/>
      <c r="I32" s="1396"/>
      <c r="J32" s="1396"/>
      <c r="K32" s="1396"/>
      <c r="L32" s="1398" t="s">
        <v>68</v>
      </c>
      <c r="M32" s="1399"/>
      <c r="N32" s="1399"/>
      <c r="O32" s="1399"/>
      <c r="P32" s="1399"/>
      <c r="Q32" s="1399" t="s">
        <v>69</v>
      </c>
      <c r="R32" s="1399"/>
      <c r="S32" s="1399"/>
      <c r="T32" s="1399"/>
      <c r="U32" s="1405"/>
      <c r="V32" s="700"/>
    </row>
    <row r="33" spans="1:22" ht="29.25" customHeight="1">
      <c r="A33" s="356"/>
      <c r="B33" s="357" t="s">
        <v>190</v>
      </c>
      <c r="C33" s="357" t="s">
        <v>188</v>
      </c>
      <c r="D33" s="702" t="s">
        <v>194</v>
      </c>
      <c r="E33" s="357" t="s">
        <v>196</v>
      </c>
      <c r="F33" s="357" t="s">
        <v>245</v>
      </c>
      <c r="G33" s="357" t="s">
        <v>190</v>
      </c>
      <c r="H33" s="357" t="s">
        <v>188</v>
      </c>
      <c r="I33" s="702" t="s">
        <v>194</v>
      </c>
      <c r="J33" s="357" t="s">
        <v>196</v>
      </c>
      <c r="K33" s="357" t="s">
        <v>245</v>
      </c>
      <c r="L33" s="488" t="s">
        <v>190</v>
      </c>
      <c r="M33" s="393" t="s">
        <v>188</v>
      </c>
      <c r="N33" s="702" t="s">
        <v>194</v>
      </c>
      <c r="O33" s="357" t="s">
        <v>196</v>
      </c>
      <c r="P33" s="357" t="s">
        <v>245</v>
      </c>
      <c r="Q33" s="393" t="s">
        <v>190</v>
      </c>
      <c r="R33" s="393" t="s">
        <v>188</v>
      </c>
      <c r="S33" s="702" t="s">
        <v>194</v>
      </c>
      <c r="T33" s="357" t="s">
        <v>196</v>
      </c>
      <c r="U33" s="357" t="s">
        <v>245</v>
      </c>
      <c r="V33" s="700"/>
    </row>
    <row r="34" spans="1:22" ht="18" hidden="1">
      <c r="A34" s="63" t="s">
        <v>185</v>
      </c>
      <c r="B34" s="70"/>
      <c r="C34" s="70"/>
      <c r="D34" s="70"/>
      <c r="E34" s="70"/>
      <c r="F34" s="70"/>
      <c r="G34" s="70"/>
      <c r="H34" s="70"/>
      <c r="I34" s="70"/>
      <c r="J34" s="70"/>
      <c r="K34" s="487"/>
      <c r="L34" s="491"/>
      <c r="M34" s="67"/>
      <c r="N34" s="67"/>
      <c r="O34" s="67"/>
      <c r="P34" s="67"/>
      <c r="Q34" s="70"/>
      <c r="R34" s="70"/>
      <c r="S34" s="70"/>
      <c r="T34" s="67"/>
      <c r="U34" s="102"/>
      <c r="V34" s="700"/>
    </row>
    <row r="35" spans="1:22" ht="18" hidden="1">
      <c r="A35" s="115" t="s">
        <v>186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493"/>
      <c r="L35" s="491"/>
      <c r="M35" s="67"/>
      <c r="N35" s="67"/>
      <c r="O35" s="67"/>
      <c r="P35" s="67"/>
      <c r="Q35" s="70"/>
      <c r="R35" s="70"/>
      <c r="S35" s="70"/>
      <c r="T35" s="67"/>
      <c r="U35" s="102"/>
      <c r="V35" s="700"/>
    </row>
    <row r="36" spans="1:22" ht="28.5" customHeight="1">
      <c r="A36" s="115" t="s">
        <v>436</v>
      </c>
      <c r="B36" s="114"/>
      <c r="C36" s="114"/>
      <c r="D36" s="114"/>
      <c r="E36" s="114"/>
      <c r="F36" s="114"/>
      <c r="G36" s="114">
        <v>50544</v>
      </c>
      <c r="H36" s="114">
        <v>50544</v>
      </c>
      <c r="I36" s="114">
        <v>50544</v>
      </c>
      <c r="J36" s="114">
        <v>0</v>
      </c>
      <c r="K36" s="493"/>
      <c r="L36" s="491">
        <v>0</v>
      </c>
      <c r="M36" s="491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2"/>
      <c r="V36" s="700"/>
    </row>
    <row r="37" spans="1:22" ht="18">
      <c r="A37" s="115" t="s">
        <v>466</v>
      </c>
      <c r="B37" s="114"/>
      <c r="C37" s="114"/>
      <c r="D37" s="114"/>
      <c r="E37" s="114"/>
      <c r="F37" s="114"/>
      <c r="G37" s="114">
        <v>100000</v>
      </c>
      <c r="H37" s="114">
        <v>100000</v>
      </c>
      <c r="I37" s="114">
        <v>100000</v>
      </c>
      <c r="J37" s="114">
        <v>0</v>
      </c>
      <c r="K37" s="493"/>
      <c r="L37" s="491">
        <v>0</v>
      </c>
      <c r="M37" s="491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2"/>
      <c r="V37" s="700"/>
    </row>
    <row r="38" spans="1:22" ht="18">
      <c r="A38" s="115" t="s">
        <v>358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493"/>
      <c r="L38" s="491"/>
      <c r="M38" s="491"/>
      <c r="N38" s="67"/>
      <c r="O38" s="67"/>
      <c r="P38" s="67"/>
      <c r="Q38" s="70"/>
      <c r="R38" s="70"/>
      <c r="S38" s="70"/>
      <c r="T38" s="70"/>
      <c r="U38" s="102"/>
      <c r="V38" s="700"/>
    </row>
    <row r="39" spans="1:22" ht="18">
      <c r="A39" s="115" t="s">
        <v>483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493"/>
      <c r="L39" s="491">
        <v>0</v>
      </c>
      <c r="M39" s="491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2"/>
      <c r="V39" s="700"/>
    </row>
    <row r="40" spans="1:22" ht="18" hidden="1">
      <c r="A40" s="115" t="s">
        <v>187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493"/>
      <c r="L40" s="491"/>
      <c r="M40" s="491"/>
      <c r="N40" s="67"/>
      <c r="O40" s="67"/>
      <c r="P40" s="67"/>
      <c r="Q40" s="70"/>
      <c r="R40" s="70"/>
      <c r="S40" s="70"/>
      <c r="T40" s="70"/>
      <c r="U40" s="102"/>
      <c r="V40" s="700"/>
    </row>
    <row r="41" spans="1:22" ht="18" hidden="1">
      <c r="A41" s="115" t="s">
        <v>207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493"/>
      <c r="L41" s="491"/>
      <c r="M41" s="491"/>
      <c r="N41" s="67"/>
      <c r="O41" s="67"/>
      <c r="P41" s="67"/>
      <c r="Q41" s="70"/>
      <c r="R41" s="70"/>
      <c r="S41" s="70"/>
      <c r="T41" s="70"/>
      <c r="U41" s="102"/>
      <c r="V41" s="700"/>
    </row>
    <row r="42" spans="1:22" ht="30.75">
      <c r="A42" s="115" t="s">
        <v>497</v>
      </c>
      <c r="B42" s="114">
        <v>295220</v>
      </c>
      <c r="C42" s="114">
        <v>295220</v>
      </c>
      <c r="D42" s="114">
        <f>295220-177623+105000</f>
        <v>222597</v>
      </c>
      <c r="E42" s="114">
        <v>122016</v>
      </c>
      <c r="F42" s="114"/>
      <c r="G42" s="114"/>
      <c r="H42" s="114"/>
      <c r="I42" s="114"/>
      <c r="J42" s="114"/>
      <c r="K42" s="493"/>
      <c r="L42" s="491">
        <v>0</v>
      </c>
      <c r="M42" s="491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2"/>
      <c r="V42" s="700"/>
    </row>
    <row r="43" spans="1:22" ht="30.75">
      <c r="A43" s="115" t="s">
        <v>409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493"/>
      <c r="L43" s="491"/>
      <c r="M43" s="491"/>
      <c r="N43" s="67"/>
      <c r="O43" s="67"/>
      <c r="P43" s="67"/>
      <c r="Q43" s="70"/>
      <c r="R43" s="70"/>
      <c r="S43" s="70"/>
      <c r="T43" s="70"/>
      <c r="U43" s="102"/>
      <c r="V43" s="700"/>
    </row>
    <row r="44" spans="1:22" ht="18">
      <c r="A44" s="63" t="s">
        <v>180</v>
      </c>
      <c r="B44" s="114">
        <v>15210</v>
      </c>
      <c r="C44" s="114">
        <v>15210</v>
      </c>
      <c r="D44" s="114">
        <v>15210</v>
      </c>
      <c r="E44" s="114">
        <v>14690</v>
      </c>
      <c r="F44" s="114"/>
      <c r="G44" s="114"/>
      <c r="H44" s="114"/>
      <c r="I44" s="114"/>
      <c r="J44" s="114"/>
      <c r="K44" s="493"/>
      <c r="L44" s="491">
        <v>0</v>
      </c>
      <c r="M44" s="491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2"/>
      <c r="V44" s="700"/>
    </row>
    <row r="45" spans="1:22" ht="47.25" customHeight="1">
      <c r="A45" s="115" t="s">
        <v>425</v>
      </c>
      <c r="B45" s="114">
        <v>100000</v>
      </c>
      <c r="C45" s="114">
        <v>100000</v>
      </c>
      <c r="D45" s="114">
        <v>100000</v>
      </c>
      <c r="E45" s="114">
        <v>100000</v>
      </c>
      <c r="F45" s="114"/>
      <c r="G45" s="114"/>
      <c r="H45" s="114"/>
      <c r="I45" s="114"/>
      <c r="J45" s="114"/>
      <c r="K45" s="493"/>
      <c r="L45" s="491"/>
      <c r="M45" s="491"/>
      <c r="N45" s="67"/>
      <c r="O45" s="67"/>
      <c r="P45" s="67"/>
      <c r="Q45" s="70"/>
      <c r="R45" s="70"/>
      <c r="S45" s="70"/>
      <c r="T45" s="70"/>
      <c r="U45" s="102"/>
      <c r="V45" s="700"/>
    </row>
    <row r="46" spans="1:22" ht="39" customHeight="1" hidden="1">
      <c r="A46" s="290" t="s">
        <v>484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493"/>
      <c r="L46" s="491"/>
      <c r="M46" s="491"/>
      <c r="N46" s="67"/>
      <c r="O46" s="67"/>
      <c r="P46" s="67"/>
      <c r="Q46" s="70"/>
      <c r="R46" s="70"/>
      <c r="S46" s="70"/>
      <c r="T46" s="70"/>
      <c r="U46" s="102"/>
      <c r="V46" s="700"/>
    </row>
    <row r="47" spans="1:22" ht="39" customHeight="1" hidden="1">
      <c r="A47" s="290"/>
      <c r="B47" s="114"/>
      <c r="C47" s="114"/>
      <c r="D47" s="114"/>
      <c r="E47" s="114"/>
      <c r="F47" s="114"/>
      <c r="G47" s="114"/>
      <c r="H47" s="114"/>
      <c r="I47" s="114"/>
      <c r="J47" s="114"/>
      <c r="K47" s="493"/>
      <c r="L47" s="491"/>
      <c r="M47" s="491"/>
      <c r="N47" s="67"/>
      <c r="O47" s="67"/>
      <c r="P47" s="67"/>
      <c r="Q47" s="70"/>
      <c r="R47" s="70"/>
      <c r="S47" s="70"/>
      <c r="T47" s="70"/>
      <c r="U47" s="102"/>
      <c r="V47" s="700"/>
    </row>
    <row r="48" spans="1:22" ht="39" customHeight="1" hidden="1">
      <c r="A48" s="290"/>
      <c r="B48" s="114"/>
      <c r="C48" s="114"/>
      <c r="D48" s="114"/>
      <c r="E48" s="114"/>
      <c r="F48" s="114"/>
      <c r="G48" s="114"/>
      <c r="H48" s="114"/>
      <c r="I48" s="114"/>
      <c r="J48" s="114"/>
      <c r="K48" s="493"/>
      <c r="L48" s="491"/>
      <c r="M48" s="491"/>
      <c r="N48" s="67"/>
      <c r="O48" s="67"/>
      <c r="P48" s="67"/>
      <c r="Q48" s="70"/>
      <c r="R48" s="70"/>
      <c r="S48" s="70"/>
      <c r="T48" s="70"/>
      <c r="U48" s="102"/>
      <c r="V48" s="700"/>
    </row>
    <row r="49" spans="1:22" ht="39" customHeight="1" hidden="1">
      <c r="A49" s="290"/>
      <c r="B49" s="114"/>
      <c r="C49" s="114"/>
      <c r="D49" s="114"/>
      <c r="E49" s="114"/>
      <c r="F49" s="114"/>
      <c r="G49" s="114"/>
      <c r="H49" s="114"/>
      <c r="I49" s="114"/>
      <c r="J49" s="114"/>
      <c r="K49" s="493"/>
      <c r="L49" s="491"/>
      <c r="M49" s="491"/>
      <c r="N49" s="67"/>
      <c r="O49" s="67"/>
      <c r="P49" s="67"/>
      <c r="Q49" s="70"/>
      <c r="R49" s="70"/>
      <c r="S49" s="70"/>
      <c r="T49" s="70"/>
      <c r="U49" s="102"/>
      <c r="V49" s="700"/>
    </row>
    <row r="50" spans="1:22" ht="39" customHeight="1" hidden="1">
      <c r="A50" s="290"/>
      <c r="B50" s="114"/>
      <c r="C50" s="114"/>
      <c r="D50" s="114"/>
      <c r="E50" s="114"/>
      <c r="F50" s="114"/>
      <c r="G50" s="114"/>
      <c r="H50" s="114"/>
      <c r="I50" s="114"/>
      <c r="J50" s="114"/>
      <c r="K50" s="493"/>
      <c r="L50" s="491"/>
      <c r="M50" s="491"/>
      <c r="N50" s="67"/>
      <c r="O50" s="67"/>
      <c r="P50" s="67"/>
      <c r="Q50" s="70"/>
      <c r="R50" s="70"/>
      <c r="S50" s="70"/>
      <c r="T50" s="70"/>
      <c r="U50" s="102"/>
      <c r="V50" s="700"/>
    </row>
    <row r="51" spans="1:22" ht="39" customHeight="1" hidden="1">
      <c r="A51" s="290"/>
      <c r="B51" s="114"/>
      <c r="C51" s="114"/>
      <c r="D51" s="114"/>
      <c r="E51" s="114"/>
      <c r="F51" s="114"/>
      <c r="G51" s="114"/>
      <c r="H51" s="114"/>
      <c r="I51" s="114"/>
      <c r="J51" s="114"/>
      <c r="K51" s="493"/>
      <c r="L51" s="491"/>
      <c r="M51" s="491"/>
      <c r="N51" s="67"/>
      <c r="O51" s="67"/>
      <c r="P51" s="67"/>
      <c r="Q51" s="70"/>
      <c r="R51" s="70"/>
      <c r="S51" s="70"/>
      <c r="T51" s="70"/>
      <c r="U51" s="102"/>
      <c r="V51" s="700"/>
    </row>
    <row r="52" spans="1:22" s="17" customFormat="1" ht="27" customHeight="1" thickBot="1">
      <c r="A52" s="66" t="s">
        <v>1</v>
      </c>
      <c r="B52" s="72">
        <f>SUM(B34:B46)</f>
        <v>410430</v>
      </c>
      <c r="C52" s="72">
        <f>SUM(C34:C46)</f>
        <v>410430</v>
      </c>
      <c r="D52" s="72">
        <f>SUM(D34:D46)</f>
        <v>337807</v>
      </c>
      <c r="E52" s="72">
        <f>SUM(E34:E46)</f>
        <v>236706</v>
      </c>
      <c r="F52" s="72">
        <f aca="true" t="shared" si="1" ref="F52:Q52">SUM(F34:F46)</f>
        <v>0</v>
      </c>
      <c r="G52" s="318">
        <f t="shared" si="1"/>
        <v>150544</v>
      </c>
      <c r="H52" s="318">
        <f>SUM(H34:H46)</f>
        <v>150544</v>
      </c>
      <c r="I52" s="318">
        <f>SUM(I34:I46)</f>
        <v>150544</v>
      </c>
      <c r="J52" s="903">
        <f t="shared" si="1"/>
        <v>0</v>
      </c>
      <c r="K52" s="903">
        <f t="shared" si="1"/>
        <v>0</v>
      </c>
      <c r="L52" s="494">
        <f t="shared" si="1"/>
        <v>0</v>
      </c>
      <c r="M52" s="494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8"/>
      <c r="V52" s="700"/>
    </row>
    <row r="53" spans="7:17" ht="15">
      <c r="G53" s="342"/>
      <c r="Q53" s="342"/>
    </row>
    <row r="54" spans="5:9" ht="12.75">
      <c r="E54" s="484"/>
      <c r="G54" s="484"/>
      <c r="H54" s="484"/>
      <c r="I54" s="484"/>
    </row>
    <row r="55" spans="5:9" ht="12.75">
      <c r="E55" s="484"/>
      <c r="G55" s="484"/>
      <c r="I55" s="484"/>
    </row>
    <row r="56" spans="1:9" ht="12.75">
      <c r="A56" s="373"/>
      <c r="E56" s="484"/>
      <c r="G56" s="484"/>
      <c r="I56" s="484"/>
    </row>
    <row r="58" ht="12.75">
      <c r="G58" s="484"/>
    </row>
  </sheetData>
  <sheetProtection/>
  <mergeCells count="20">
    <mergeCell ref="B7:F7"/>
    <mergeCell ref="G7:K7"/>
    <mergeCell ref="L7:P7"/>
    <mergeCell ref="L6:U6"/>
    <mergeCell ref="B6:K6"/>
    <mergeCell ref="L1:R1"/>
    <mergeCell ref="A2:R2"/>
    <mergeCell ref="A3:R3"/>
    <mergeCell ref="A4:R4"/>
    <mergeCell ref="Q5:R5"/>
    <mergeCell ref="B32:F32"/>
    <mergeCell ref="L32:P32"/>
    <mergeCell ref="L31:U31"/>
    <mergeCell ref="B31:K31"/>
    <mergeCell ref="Q7:U7"/>
    <mergeCell ref="Q32:U32"/>
    <mergeCell ref="G32:K32"/>
    <mergeCell ref="A29:Q29"/>
    <mergeCell ref="A6:A7"/>
    <mergeCell ref="A31:A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54" customWidth="1"/>
    <col min="2" max="2" width="58.57421875" style="755" customWidth="1"/>
    <col min="3" max="5" width="13.57421875" style="755" customWidth="1"/>
    <col min="6" max="6" width="14.7109375" style="754" customWidth="1"/>
    <col min="7" max="7" width="4.00390625" style="754" customWidth="1"/>
    <col min="8" max="9" width="14.7109375" style="754" customWidth="1"/>
    <col min="10" max="16384" width="9.140625" style="754" customWidth="1"/>
  </cols>
  <sheetData>
    <row r="1" spans="4:6" ht="15">
      <c r="D1" s="1414" t="s">
        <v>164</v>
      </c>
      <c r="E1" s="1414"/>
      <c r="F1" s="1414"/>
    </row>
    <row r="2" spans="1:9" ht="48.75" customHeight="1">
      <c r="A2" s="1420" t="s">
        <v>260</v>
      </c>
      <c r="B2" s="1420"/>
      <c r="C2" s="1420"/>
      <c r="D2" s="1420"/>
      <c r="E2" s="1420"/>
      <c r="F2" s="1420"/>
      <c r="G2" s="925"/>
      <c r="H2" s="925"/>
      <c r="I2" s="756"/>
    </row>
    <row r="3" spans="1:10" ht="15.75" customHeight="1" thickBot="1">
      <c r="A3" s="757"/>
      <c r="B3" s="758"/>
      <c r="C3" s="758"/>
      <c r="D3" s="1415" t="s">
        <v>389</v>
      </c>
      <c r="E3" s="1415"/>
      <c r="F3" s="1415"/>
      <c r="J3" s="759"/>
    </row>
    <row r="4" spans="1:9" ht="63" customHeight="1">
      <c r="A4" s="1416" t="s">
        <v>214</v>
      </c>
      <c r="B4" s="1418" t="s">
        <v>261</v>
      </c>
      <c r="C4" s="1421" t="s">
        <v>369</v>
      </c>
      <c r="D4" s="1422"/>
      <c r="E4" s="1422"/>
      <c r="F4" s="1423"/>
      <c r="G4" s="908"/>
      <c r="H4" s="909"/>
      <c r="I4" s="760"/>
    </row>
    <row r="5" spans="1:8" ht="16.5" thickBot="1">
      <c r="A5" s="1417"/>
      <c r="B5" s="1419"/>
      <c r="C5" s="904" t="s">
        <v>370</v>
      </c>
      <c r="D5" s="904" t="s">
        <v>371</v>
      </c>
      <c r="E5" s="904" t="s">
        <v>376</v>
      </c>
      <c r="F5" s="904" t="s">
        <v>384</v>
      </c>
      <c r="G5" s="908"/>
      <c r="H5" s="909"/>
    </row>
    <row r="6" spans="1:8" ht="16.5" thickBot="1">
      <c r="A6" s="761">
        <v>1</v>
      </c>
      <c r="B6" s="762">
        <v>2</v>
      </c>
      <c r="C6" s="919">
        <v>3</v>
      </c>
      <c r="D6" s="919">
        <v>4</v>
      </c>
      <c r="E6" s="919">
        <v>5</v>
      </c>
      <c r="F6" s="905">
        <v>6</v>
      </c>
      <c r="G6" s="910"/>
      <c r="H6" s="911"/>
    </row>
    <row r="7" spans="1:8" ht="27" customHeight="1" thickBot="1">
      <c r="A7" s="763">
        <v>2</v>
      </c>
      <c r="B7" s="764" t="s">
        <v>383</v>
      </c>
      <c r="C7" s="920">
        <v>0</v>
      </c>
      <c r="D7" s="920">
        <v>0</v>
      </c>
      <c r="E7" s="920">
        <v>0</v>
      </c>
      <c r="F7" s="906">
        <v>0</v>
      </c>
      <c r="G7" s="912"/>
      <c r="H7" s="913"/>
    </row>
    <row r="8" spans="1:8" ht="27.75" customHeight="1" hidden="1">
      <c r="A8" s="765" t="s">
        <v>26</v>
      </c>
      <c r="B8" s="764"/>
      <c r="C8" s="920"/>
      <c r="D8" s="920"/>
      <c r="E8" s="920"/>
      <c r="F8" s="906"/>
      <c r="G8" s="912"/>
      <c r="H8" s="913"/>
    </row>
    <row r="9" spans="1:8" ht="29.25" customHeight="1" hidden="1">
      <c r="A9" s="765" t="s">
        <v>9</v>
      </c>
      <c r="B9" s="766"/>
      <c r="C9" s="921"/>
      <c r="D9" s="921"/>
      <c r="E9" s="921"/>
      <c r="F9" s="906"/>
      <c r="G9" s="912"/>
      <c r="H9" s="913"/>
    </row>
    <row r="10" spans="1:8" ht="24.75" customHeight="1" hidden="1">
      <c r="A10" s="765">
        <v>4</v>
      </c>
      <c r="B10" s="766"/>
      <c r="C10" s="921"/>
      <c r="D10" s="921"/>
      <c r="E10" s="921"/>
      <c r="F10" s="906"/>
      <c r="G10" s="912"/>
      <c r="H10" s="913"/>
    </row>
    <row r="11" spans="1:8" ht="27" customHeight="1" hidden="1">
      <c r="A11" s="765">
        <v>5</v>
      </c>
      <c r="B11" s="766"/>
      <c r="C11" s="921"/>
      <c r="D11" s="921"/>
      <c r="E11" s="921"/>
      <c r="F11" s="906"/>
      <c r="G11" s="912"/>
      <c r="H11" s="913"/>
    </row>
    <row r="12" spans="1:8" ht="32.25" customHeight="1" hidden="1" thickBot="1">
      <c r="A12" s="767" t="s">
        <v>11</v>
      </c>
      <c r="B12" s="768"/>
      <c r="C12" s="922"/>
      <c r="D12" s="922"/>
      <c r="E12" s="922"/>
      <c r="F12" s="907"/>
      <c r="G12" s="912"/>
      <c r="H12" s="913"/>
    </row>
    <row r="13" spans="1:8" ht="32.25" customHeight="1" hidden="1" thickBot="1">
      <c r="A13" s="916" t="s">
        <v>12</v>
      </c>
      <c r="B13" s="917"/>
      <c r="C13" s="923"/>
      <c r="D13" s="923"/>
      <c r="E13" s="923"/>
      <c r="F13" s="918"/>
      <c r="G13" s="912"/>
      <c r="H13" s="913"/>
    </row>
    <row r="14" spans="1:8" ht="27" customHeight="1" thickBot="1">
      <c r="A14" s="761">
        <v>3</v>
      </c>
      <c r="B14" s="769" t="s">
        <v>372</v>
      </c>
      <c r="C14" s="924">
        <f>SUM(C7)</f>
        <v>0</v>
      </c>
      <c r="D14" s="924">
        <f>SUM(D7)</f>
        <v>0</v>
      </c>
      <c r="E14" s="924">
        <f>SUM(E7)</f>
        <v>0</v>
      </c>
      <c r="F14" s="926">
        <f>SUM(F7:F13)</f>
        <v>0</v>
      </c>
      <c r="G14" s="914"/>
      <c r="H14" s="915"/>
    </row>
    <row r="17" spans="2:5" ht="15">
      <c r="B17" s="770"/>
      <c r="C17" s="770"/>
      <c r="D17" s="770"/>
      <c r="E17" s="770"/>
    </row>
    <row r="18" spans="2:5" ht="15.75">
      <c r="B18" s="771"/>
      <c r="C18" s="771"/>
      <c r="D18" s="771"/>
      <c r="E18" s="771"/>
    </row>
    <row r="19" spans="2:5" ht="15">
      <c r="B19" s="770"/>
      <c r="C19" s="770"/>
      <c r="D19" s="770"/>
      <c r="E19" s="770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9.00390625" style="1131" customWidth="1"/>
    <col min="2" max="2" width="58.57421875" style="1132" customWidth="1"/>
    <col min="3" max="3" width="17.00390625" style="1132" customWidth="1"/>
    <col min="4" max="6" width="14.7109375" style="1131" customWidth="1"/>
    <col min="7" max="7" width="14.7109375" style="1131" hidden="1" customWidth="1"/>
    <col min="8" max="8" width="20.140625" style="1131" hidden="1" customWidth="1"/>
    <col min="9" max="9" width="9.140625" style="1131" hidden="1" customWidth="1"/>
    <col min="10" max="10" width="9.140625" style="1131" customWidth="1"/>
    <col min="11" max="16384" width="9.140625" style="1131" customWidth="1"/>
  </cols>
  <sheetData>
    <row r="1" spans="5:7" ht="15">
      <c r="E1" s="1428" t="s">
        <v>164</v>
      </c>
      <c r="F1" s="1428"/>
      <c r="G1" s="1133"/>
    </row>
    <row r="2" spans="1:8" ht="48.75" customHeight="1" hidden="1">
      <c r="A2" s="1429" t="s">
        <v>260</v>
      </c>
      <c r="B2" s="1429"/>
      <c r="C2" s="1429"/>
      <c r="D2" s="1429"/>
      <c r="E2" s="1429"/>
      <c r="F2" s="1429"/>
      <c r="G2" s="1134"/>
      <c r="H2" s="1135"/>
    </row>
    <row r="3" spans="1:9" ht="15.75" customHeight="1" hidden="1" thickBot="1">
      <c r="A3" s="1136"/>
      <c r="B3" s="1137"/>
      <c r="C3" s="1137"/>
      <c r="D3" s="1136"/>
      <c r="E3" s="1430" t="s">
        <v>470</v>
      </c>
      <c r="F3" s="1430"/>
      <c r="G3" s="1138"/>
      <c r="I3" s="1139"/>
    </row>
    <row r="4" spans="1:8" ht="63" customHeight="1" hidden="1" thickBot="1">
      <c r="A4" s="1431" t="s">
        <v>214</v>
      </c>
      <c r="B4" s="1433" t="s">
        <v>261</v>
      </c>
      <c r="C4" s="1435" t="s">
        <v>369</v>
      </c>
      <c r="D4" s="1436"/>
      <c r="E4" s="1436"/>
      <c r="F4" s="1436"/>
      <c r="G4" s="1437"/>
      <c r="H4" s="1140"/>
    </row>
    <row r="5" spans="1:7" ht="16.5" hidden="1" thickBot="1">
      <c r="A5" s="1432"/>
      <c r="B5" s="1434"/>
      <c r="C5" s="1182">
        <v>2020</v>
      </c>
      <c r="D5" s="1182">
        <v>2020</v>
      </c>
      <c r="E5" s="1182">
        <v>2021</v>
      </c>
      <c r="F5" s="1182">
        <v>2022</v>
      </c>
      <c r="G5" s="1182">
        <v>2023</v>
      </c>
    </row>
    <row r="6" spans="1:7" ht="16.5" hidden="1" thickBot="1">
      <c r="A6" s="1183">
        <v>1</v>
      </c>
      <c r="B6" s="1184">
        <v>2</v>
      </c>
      <c r="C6" s="1184">
        <v>3</v>
      </c>
      <c r="D6" s="1185">
        <v>4</v>
      </c>
      <c r="E6" s="1185">
        <v>5</v>
      </c>
      <c r="F6" s="1186">
        <v>6</v>
      </c>
      <c r="G6" s="1186">
        <v>7</v>
      </c>
    </row>
    <row r="7" spans="1:10" ht="86.25" hidden="1">
      <c r="A7" s="1187" t="s">
        <v>25</v>
      </c>
      <c r="B7" s="1188" t="s">
        <v>475</v>
      </c>
      <c r="C7" s="1189"/>
      <c r="D7" s="1190"/>
      <c r="E7" s="1190"/>
      <c r="F7" s="1191"/>
      <c r="G7" s="1191"/>
      <c r="H7" s="1141">
        <f>SUM(C7:F7)</f>
        <v>0</v>
      </c>
      <c r="J7" s="1142"/>
    </row>
    <row r="8" spans="1:8" ht="29.25" hidden="1">
      <c r="A8" s="1192" t="s">
        <v>9</v>
      </c>
      <c r="B8" s="1193" t="s">
        <v>471</v>
      </c>
      <c r="C8" s="1189"/>
      <c r="D8" s="1190"/>
      <c r="E8" s="1194"/>
      <c r="F8" s="1195"/>
      <c r="G8" s="1195"/>
      <c r="H8" s="1141">
        <f>SUM(C8:F8)</f>
        <v>0</v>
      </c>
    </row>
    <row r="9" spans="1:9" ht="72.75" hidden="1" thickBot="1">
      <c r="A9" s="1192">
        <v>1</v>
      </c>
      <c r="B9" s="1193" t="s">
        <v>474</v>
      </c>
      <c r="C9" s="1196">
        <v>127943</v>
      </c>
      <c r="D9" s="1197">
        <v>71700</v>
      </c>
      <c r="E9" s="1197">
        <v>1723770</v>
      </c>
      <c r="F9" s="1198"/>
      <c r="G9" s="1198"/>
      <c r="H9" s="1141">
        <f>SUM(C9:G9)</f>
        <v>1923413</v>
      </c>
      <c r="I9" s="1131">
        <f>1275505+5865+5865+5000</f>
        <v>1292235</v>
      </c>
    </row>
    <row r="10" spans="1:8" ht="27" customHeight="1" hidden="1">
      <c r="A10" s="1192" t="s">
        <v>11</v>
      </c>
      <c r="B10" s="1199"/>
      <c r="C10" s="1200"/>
      <c r="D10" s="1201"/>
      <c r="E10" s="1202"/>
      <c r="F10" s="1203"/>
      <c r="G10" s="1203"/>
      <c r="H10" s="1141">
        <f aca="true" t="shared" si="0" ref="H10:H24">SUM(C10:F10)</f>
        <v>0</v>
      </c>
    </row>
    <row r="11" spans="1:8" ht="27" customHeight="1" hidden="1">
      <c r="A11" s="1192" t="s">
        <v>12</v>
      </c>
      <c r="B11" s="1204"/>
      <c r="C11" s="1204"/>
      <c r="D11" s="1205"/>
      <c r="E11" s="1206"/>
      <c r="F11" s="1207"/>
      <c r="G11" s="1207"/>
      <c r="H11" s="1141">
        <f t="shared" si="0"/>
        <v>0</v>
      </c>
    </row>
    <row r="12" spans="1:8" ht="27" customHeight="1" hidden="1">
      <c r="A12" s="1192" t="s">
        <v>13</v>
      </c>
      <c r="B12" s="1204"/>
      <c r="C12" s="1204"/>
      <c r="D12" s="1205"/>
      <c r="E12" s="1206"/>
      <c r="F12" s="1207"/>
      <c r="G12" s="1207"/>
      <c r="H12" s="1141">
        <f t="shared" si="0"/>
        <v>0</v>
      </c>
    </row>
    <row r="13" spans="1:8" ht="27" customHeight="1" hidden="1">
      <c r="A13" s="1192" t="s">
        <v>56</v>
      </c>
      <c r="B13" s="1204"/>
      <c r="C13" s="1204"/>
      <c r="D13" s="1205"/>
      <c r="E13" s="1206"/>
      <c r="F13" s="1207"/>
      <c r="G13" s="1207"/>
      <c r="H13" s="1141">
        <f t="shared" si="0"/>
        <v>0</v>
      </c>
    </row>
    <row r="14" spans="1:8" ht="27" customHeight="1" hidden="1">
      <c r="A14" s="1192" t="s">
        <v>57</v>
      </c>
      <c r="B14" s="1204"/>
      <c r="C14" s="1204"/>
      <c r="D14" s="1205"/>
      <c r="E14" s="1206"/>
      <c r="F14" s="1207"/>
      <c r="G14" s="1207"/>
      <c r="H14" s="1141">
        <f t="shared" si="0"/>
        <v>0</v>
      </c>
    </row>
    <row r="15" spans="1:8" ht="27" customHeight="1" hidden="1">
      <c r="A15" s="1192" t="s">
        <v>58</v>
      </c>
      <c r="B15" s="1204"/>
      <c r="C15" s="1204"/>
      <c r="D15" s="1205"/>
      <c r="E15" s="1206"/>
      <c r="F15" s="1207"/>
      <c r="G15" s="1207"/>
      <c r="H15" s="1141">
        <f t="shared" si="0"/>
        <v>0</v>
      </c>
    </row>
    <row r="16" spans="1:8" ht="27" customHeight="1" hidden="1">
      <c r="A16" s="1208"/>
      <c r="B16" s="1209"/>
      <c r="C16" s="1209"/>
      <c r="D16" s="1210"/>
      <c r="E16" s="1210"/>
      <c r="F16" s="1211"/>
      <c r="G16" s="1211"/>
      <c r="H16" s="1141">
        <f t="shared" si="0"/>
        <v>0</v>
      </c>
    </row>
    <row r="17" spans="1:8" ht="27" customHeight="1" hidden="1">
      <c r="A17" s="1208"/>
      <c r="B17" s="1209"/>
      <c r="C17" s="1209"/>
      <c r="D17" s="1210"/>
      <c r="E17" s="1210"/>
      <c r="F17" s="1211"/>
      <c r="G17" s="1211"/>
      <c r="H17" s="1141">
        <f t="shared" si="0"/>
        <v>0</v>
      </c>
    </row>
    <row r="18" spans="1:8" ht="27" customHeight="1" hidden="1">
      <c r="A18" s="1208"/>
      <c r="B18" s="1209"/>
      <c r="C18" s="1209"/>
      <c r="D18" s="1210"/>
      <c r="E18" s="1210"/>
      <c r="F18" s="1211"/>
      <c r="G18" s="1211"/>
      <c r="H18" s="1141">
        <f t="shared" si="0"/>
        <v>0</v>
      </c>
    </row>
    <row r="19" spans="1:8" ht="27" customHeight="1" hidden="1">
      <c r="A19" s="1208"/>
      <c r="B19" s="1209"/>
      <c r="C19" s="1209"/>
      <c r="D19" s="1210"/>
      <c r="E19" s="1210"/>
      <c r="F19" s="1211"/>
      <c r="G19" s="1211"/>
      <c r="H19" s="1141">
        <f t="shared" si="0"/>
        <v>0</v>
      </c>
    </row>
    <row r="20" spans="1:8" ht="27" customHeight="1" hidden="1">
      <c r="A20" s="1208"/>
      <c r="B20" s="1209"/>
      <c r="C20" s="1209"/>
      <c r="D20" s="1210"/>
      <c r="E20" s="1210"/>
      <c r="F20" s="1211"/>
      <c r="G20" s="1211"/>
      <c r="H20" s="1141">
        <f t="shared" si="0"/>
        <v>0</v>
      </c>
    </row>
    <row r="21" spans="1:8" ht="27" customHeight="1" hidden="1">
      <c r="A21" s="1208"/>
      <c r="B21" s="1209"/>
      <c r="C21" s="1209"/>
      <c r="D21" s="1210"/>
      <c r="E21" s="1210"/>
      <c r="F21" s="1211"/>
      <c r="G21" s="1211"/>
      <c r="H21" s="1141">
        <f t="shared" si="0"/>
        <v>0</v>
      </c>
    </row>
    <row r="22" spans="1:8" ht="27" customHeight="1" hidden="1">
      <c r="A22" s="1208"/>
      <c r="B22" s="1209"/>
      <c r="C22" s="1209"/>
      <c r="D22" s="1210"/>
      <c r="E22" s="1210"/>
      <c r="F22" s="1211"/>
      <c r="G22" s="1211"/>
      <c r="H22" s="1141">
        <f t="shared" si="0"/>
        <v>0</v>
      </c>
    </row>
    <row r="23" spans="1:8" ht="32.25" customHeight="1" hidden="1" thickBot="1">
      <c r="A23" s="1208" t="s">
        <v>11</v>
      </c>
      <c r="B23" s="1209"/>
      <c r="C23" s="1209"/>
      <c r="D23" s="1210"/>
      <c r="E23" s="1210"/>
      <c r="F23" s="1211"/>
      <c r="G23" s="1211"/>
      <c r="H23" s="1141">
        <f t="shared" si="0"/>
        <v>0</v>
      </c>
    </row>
    <row r="24" spans="1:8" ht="27" customHeight="1" hidden="1" thickBot="1">
      <c r="A24" s="1183">
        <v>2</v>
      </c>
      <c r="B24" s="1212" t="s">
        <v>472</v>
      </c>
      <c r="C24" s="1213">
        <f>SUM(C7:C23)</f>
        <v>127943</v>
      </c>
      <c r="D24" s="1213">
        <f>SUM(D7:D23)</f>
        <v>71700</v>
      </c>
      <c r="E24" s="1213">
        <f>SUM(E7:E23)</f>
        <v>1723770</v>
      </c>
      <c r="F24" s="1214">
        <f>SUM(F7:F23)</f>
        <v>0</v>
      </c>
      <c r="G24" s="1214">
        <f>SUM(G7:G23)</f>
        <v>0</v>
      </c>
      <c r="H24" s="1141">
        <f t="shared" si="0"/>
        <v>1923413</v>
      </c>
    </row>
    <row r="25" spans="1:8" ht="53.25" customHeight="1" hidden="1" thickBot="1">
      <c r="A25" s="1183">
        <v>3</v>
      </c>
      <c r="B25" s="1212" t="s">
        <v>473</v>
      </c>
      <c r="C25" s="1215">
        <v>0</v>
      </c>
      <c r="D25" s="1215">
        <v>0</v>
      </c>
      <c r="E25" s="1215">
        <v>0</v>
      </c>
      <c r="F25" s="1215">
        <f>F9</f>
        <v>0</v>
      </c>
      <c r="G25" s="1215">
        <f>G9</f>
        <v>0</v>
      </c>
      <c r="H25" s="1143">
        <f>SUM(C25:F25)</f>
        <v>0</v>
      </c>
    </row>
    <row r="26" spans="2:3" ht="15" hidden="1">
      <c r="B26" s="1144"/>
      <c r="C26" s="1144"/>
    </row>
    <row r="27" spans="1:7" ht="36.75" customHeight="1" hidden="1">
      <c r="A27" s="1425" t="s">
        <v>519</v>
      </c>
      <c r="B27" s="1426"/>
      <c r="C27" s="1426"/>
      <c r="D27" s="1426"/>
      <c r="E27" s="1426"/>
      <c r="F27" s="1426"/>
      <c r="G27" s="1145"/>
    </row>
    <row r="28" spans="1:7" ht="15" hidden="1">
      <c r="A28" s="1426"/>
      <c r="B28" s="1426"/>
      <c r="C28" s="1426"/>
      <c r="D28" s="1426"/>
      <c r="E28" s="1426"/>
      <c r="F28" s="1426"/>
      <c r="G28" s="1145"/>
    </row>
    <row r="29" spans="1:7" ht="93" customHeight="1" hidden="1">
      <c r="A29" s="1426"/>
      <c r="B29" s="1426"/>
      <c r="C29" s="1426"/>
      <c r="D29" s="1426"/>
      <c r="E29" s="1426"/>
      <c r="F29" s="1426"/>
      <c r="G29" s="1145"/>
    </row>
    <row r="30" spans="1:7" ht="15">
      <c r="A30" s="1427"/>
      <c r="B30" s="1427"/>
      <c r="C30" s="1427"/>
      <c r="D30" s="1427"/>
      <c r="E30" s="1427"/>
      <c r="F30" s="1427"/>
      <c r="G30" s="1146"/>
    </row>
    <row r="31" spans="1:6" ht="15">
      <c r="A31" s="1424" t="s">
        <v>531</v>
      </c>
      <c r="B31" s="1424"/>
      <c r="C31" s="1424"/>
      <c r="D31" s="1424"/>
      <c r="E31" s="1424"/>
      <c r="F31" s="1424"/>
    </row>
  </sheetData>
  <sheetProtection/>
  <mergeCells count="9">
    <mergeCell ref="A31:F31"/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6" sqref="E6:F12"/>
    </sheetView>
  </sheetViews>
  <sheetFormatPr defaultColWidth="9.140625" defaultRowHeight="12.75"/>
  <cols>
    <col min="1" max="1" width="8.140625" style="772" customWidth="1"/>
    <col min="2" max="2" width="64.00390625" style="772" customWidth="1"/>
    <col min="3" max="3" width="16.7109375" style="772" customWidth="1"/>
    <col min="4" max="4" width="12.7109375" style="772" customWidth="1"/>
    <col min="5" max="5" width="13.421875" style="772" customWidth="1"/>
    <col min="6" max="6" width="14.57421875" style="772" customWidth="1"/>
    <col min="7" max="16384" width="9.140625" style="772" customWidth="1"/>
  </cols>
  <sheetData>
    <row r="1" spans="3:6" ht="15">
      <c r="C1" s="1147" t="s">
        <v>55</v>
      </c>
      <c r="D1" s="1147"/>
      <c r="E1" s="1147"/>
      <c r="F1" s="1147"/>
    </row>
    <row r="2" spans="1:6" ht="68.25" customHeight="1">
      <c r="A2" s="1441" t="s">
        <v>262</v>
      </c>
      <c r="B2" s="1441"/>
      <c r="C2" s="1441"/>
      <c r="D2" s="1441"/>
      <c r="E2" s="1441"/>
      <c r="F2" s="1441"/>
    </row>
    <row r="3" spans="1:4" ht="15.75" customHeight="1" thickBot="1">
      <c r="A3" s="757"/>
      <c r="B3" s="757"/>
      <c r="C3" s="773" t="s">
        <v>389</v>
      </c>
      <c r="D3" s="774"/>
    </row>
    <row r="4" spans="1:6" ht="44.25" customHeight="1" thickBot="1">
      <c r="A4" s="775" t="s">
        <v>214</v>
      </c>
      <c r="B4" s="776" t="s">
        <v>263</v>
      </c>
      <c r="C4" s="777" t="s">
        <v>498</v>
      </c>
      <c r="D4" s="777" t="s">
        <v>189</v>
      </c>
      <c r="E4" s="777" t="s">
        <v>193</v>
      </c>
      <c r="F4" s="777" t="s">
        <v>195</v>
      </c>
    </row>
    <row r="5" spans="1:6" ht="26.25" customHeight="1" thickBot="1">
      <c r="A5" s="778">
        <v>1</v>
      </c>
      <c r="B5" s="779">
        <v>2</v>
      </c>
      <c r="C5" s="780">
        <v>3</v>
      </c>
      <c r="D5" s="780">
        <v>4</v>
      </c>
      <c r="E5" s="780">
        <v>5</v>
      </c>
      <c r="F5" s="780">
        <v>6</v>
      </c>
    </row>
    <row r="6" spans="1:6" ht="26.25" customHeight="1">
      <c r="A6" s="781" t="s">
        <v>25</v>
      </c>
      <c r="B6" s="782" t="s">
        <v>293</v>
      </c>
      <c r="C6" s="783">
        <f>'3.sz.m Önk  bev.'!E8</f>
        <v>1084572</v>
      </c>
      <c r="D6" s="783">
        <f>'3.sz.m Önk  bev.'!F8</f>
        <v>1084572</v>
      </c>
      <c r="E6" s="783">
        <f>'3.sz.m Önk  bev.'!G8</f>
        <v>1084572</v>
      </c>
      <c r="F6" s="783">
        <f>'3.sz.m Önk  bev.'!H8</f>
        <v>1088770</v>
      </c>
    </row>
    <row r="7" spans="1:6" ht="26.25" customHeight="1">
      <c r="A7" s="784" t="s">
        <v>26</v>
      </c>
      <c r="B7" s="782" t="s">
        <v>366</v>
      </c>
      <c r="C7" s="785">
        <f>'3.sz.m Önk  bev.'!E19</f>
        <v>0</v>
      </c>
      <c r="D7" s="785">
        <f>'3.sz.m Önk  bev.'!F19</f>
        <v>0</v>
      </c>
      <c r="E7" s="785">
        <f>'3.sz.m Önk  bev.'!G19</f>
        <v>0</v>
      </c>
      <c r="F7" s="785">
        <f>'3.sz.m Önk  bev.'!H19</f>
        <v>0</v>
      </c>
    </row>
    <row r="8" spans="1:6" ht="33.75" customHeight="1">
      <c r="A8" s="786" t="s">
        <v>9</v>
      </c>
      <c r="B8" s="787" t="s">
        <v>367</v>
      </c>
      <c r="C8" s="788">
        <f>'3.sz.m Önk  bev.'!E24</f>
        <v>17806</v>
      </c>
      <c r="D8" s="788">
        <f>'3.sz.m Önk  bev.'!F24</f>
        <v>17806</v>
      </c>
      <c r="E8" s="788">
        <f>'3.sz.m Önk  bev.'!G24</f>
        <v>17806</v>
      </c>
      <c r="F8" s="788">
        <f>'3.sz.m Önk  bev.'!H24</f>
        <v>52156</v>
      </c>
    </row>
    <row r="9" spans="1:6" ht="33" customHeight="1">
      <c r="A9" s="784" t="s">
        <v>10</v>
      </c>
      <c r="B9" s="789" t="s">
        <v>368</v>
      </c>
      <c r="C9" s="788">
        <f>'3.sz.m Önk  bev.'!E52</f>
        <v>0</v>
      </c>
      <c r="D9" s="788">
        <f>'3.sz.m Önk  bev.'!F52</f>
        <v>0</v>
      </c>
      <c r="E9" s="788">
        <f>'3.sz.m Önk  bev.'!G52</f>
        <v>0</v>
      </c>
      <c r="F9" s="788">
        <f>'3.sz.m Önk  bev.'!H52</f>
        <v>0</v>
      </c>
    </row>
    <row r="10" spans="1:6" ht="26.25" customHeight="1" thickBot="1">
      <c r="A10" s="786" t="s">
        <v>11</v>
      </c>
      <c r="B10" s="789" t="s">
        <v>264</v>
      </c>
      <c r="C10" s="790">
        <f>'1.sz.m-önk.össze.bev'!E21</f>
        <v>105584</v>
      </c>
      <c r="D10" s="790">
        <f>'1.sz.m-önk.össze.bev'!F21</f>
        <v>105584</v>
      </c>
      <c r="E10" s="790">
        <f>'1.sz.m-önk.össze.bev'!G21</f>
        <v>125702</v>
      </c>
      <c r="F10" s="790">
        <f>'1.sz.m-önk.össze.bev'!H21</f>
        <v>187841</v>
      </c>
    </row>
    <row r="11" spans="1:6" ht="26.25" customHeight="1" hidden="1" thickBot="1">
      <c r="A11" s="786" t="s">
        <v>12</v>
      </c>
      <c r="B11" s="791" t="s">
        <v>265</v>
      </c>
      <c r="C11" s="788"/>
      <c r="D11" s="788"/>
      <c r="E11" s="788"/>
      <c r="F11" s="788"/>
    </row>
    <row r="12" spans="1:6" ht="26.25" customHeight="1" thickBot="1">
      <c r="A12" s="1438" t="s">
        <v>266</v>
      </c>
      <c r="B12" s="1439"/>
      <c r="C12" s="792">
        <f>SUM(C6:C11)</f>
        <v>1207962</v>
      </c>
      <c r="D12" s="792">
        <f>SUM(D6:D11)</f>
        <v>1207962</v>
      </c>
      <c r="E12" s="792">
        <f>SUM(E6:E11)</f>
        <v>1228080</v>
      </c>
      <c r="F12" s="792">
        <f>SUM(F6:F11)</f>
        <v>1328767</v>
      </c>
    </row>
    <row r="13" spans="1:3" ht="23.25" customHeight="1">
      <c r="A13" s="1440"/>
      <c r="B13" s="1440"/>
      <c r="C13" s="1440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9">
      <selection activeCell="T11" sqref="T11"/>
    </sheetView>
  </sheetViews>
  <sheetFormatPr defaultColWidth="9.140625" defaultRowHeight="12.75"/>
  <cols>
    <col min="1" max="1" width="5.57421875" style="703" customWidth="1"/>
    <col min="2" max="2" width="24.7109375" style="704" customWidth="1"/>
    <col min="3" max="3" width="11.7109375" style="705" customWidth="1"/>
    <col min="4" max="14" width="8.7109375" style="705" bestFit="1" customWidth="1"/>
    <col min="15" max="15" width="9.421875" style="703" bestFit="1" customWidth="1"/>
    <col min="16" max="17" width="0" style="705" hidden="1" customWidth="1"/>
    <col min="18" max="18" width="11.28125" style="705" bestFit="1" customWidth="1"/>
    <col min="19" max="19" width="11.421875" style="705" customWidth="1"/>
    <col min="20" max="16384" width="9.140625" style="705" customWidth="1"/>
  </cols>
  <sheetData>
    <row r="1" spans="13:15" ht="15.75">
      <c r="M1" s="1442" t="s">
        <v>198</v>
      </c>
      <c r="N1" s="1442"/>
      <c r="O1" s="1442"/>
    </row>
    <row r="2" spans="1:15" ht="31.5" customHeight="1">
      <c r="A2" s="1443" t="s">
        <v>499</v>
      </c>
      <c r="B2" s="1444"/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</row>
    <row r="3" ht="16.5" thickBot="1">
      <c r="O3" s="706" t="s">
        <v>391</v>
      </c>
    </row>
    <row r="4" spans="1:15" s="703" customFormat="1" ht="35.25" customHeight="1" thickBot="1">
      <c r="A4" s="707" t="s">
        <v>214</v>
      </c>
      <c r="B4" s="708" t="s">
        <v>3</v>
      </c>
      <c r="C4" s="709" t="s">
        <v>215</v>
      </c>
      <c r="D4" s="709" t="s">
        <v>216</v>
      </c>
      <c r="E4" s="709" t="s">
        <v>217</v>
      </c>
      <c r="F4" s="709" t="s">
        <v>218</v>
      </c>
      <c r="G4" s="709" t="s">
        <v>219</v>
      </c>
      <c r="H4" s="709" t="s">
        <v>220</v>
      </c>
      <c r="I4" s="709" t="s">
        <v>221</v>
      </c>
      <c r="J4" s="709" t="s">
        <v>222</v>
      </c>
      <c r="K4" s="709" t="s">
        <v>223</v>
      </c>
      <c r="L4" s="709" t="s">
        <v>224</v>
      </c>
      <c r="M4" s="709" t="s">
        <v>225</v>
      </c>
      <c r="N4" s="709" t="s">
        <v>226</v>
      </c>
      <c r="O4" s="710" t="s">
        <v>16</v>
      </c>
    </row>
    <row r="5" spans="1:15" s="712" customFormat="1" ht="15" customHeight="1" thickBot="1">
      <c r="A5" s="711" t="s">
        <v>25</v>
      </c>
      <c r="B5" s="1445" t="s">
        <v>111</v>
      </c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7"/>
    </row>
    <row r="6" spans="1:16" s="712" customFormat="1" ht="15" customHeight="1">
      <c r="A6" s="713" t="s">
        <v>26</v>
      </c>
      <c r="B6" s="714" t="s">
        <v>227</v>
      </c>
      <c r="C6" s="715">
        <v>31326</v>
      </c>
      <c r="D6" s="715"/>
      <c r="E6" s="715">
        <v>595078</v>
      </c>
      <c r="F6" s="715"/>
      <c r="G6" s="715"/>
      <c r="H6" s="715"/>
      <c r="I6" s="715"/>
      <c r="J6" s="715"/>
      <c r="K6" s="715">
        <f>595078+20118+66337</f>
        <v>681533</v>
      </c>
      <c r="L6" s="715"/>
      <c r="M6" s="715"/>
      <c r="N6" s="715"/>
      <c r="O6" s="716">
        <f aca="true" t="shared" si="0" ref="O6:O13">SUM(C6:N6)</f>
        <v>1307937</v>
      </c>
      <c r="P6" s="712">
        <v>105070</v>
      </c>
    </row>
    <row r="7" spans="1:19" s="721" customFormat="1" ht="13.5" customHeight="1">
      <c r="A7" s="717" t="s">
        <v>9</v>
      </c>
      <c r="B7" s="718" t="s">
        <v>404</v>
      </c>
      <c r="C7" s="719">
        <v>1000</v>
      </c>
      <c r="D7" s="719">
        <v>17806</v>
      </c>
      <c r="E7" s="719"/>
      <c r="F7" s="719">
        <v>1000</v>
      </c>
      <c r="G7" s="719">
        <v>120219</v>
      </c>
      <c r="H7" s="719"/>
      <c r="I7" s="719">
        <v>1000</v>
      </c>
      <c r="J7" s="719"/>
      <c r="K7" s="719"/>
      <c r="L7" s="719">
        <v>1000</v>
      </c>
      <c r="M7" s="719"/>
      <c r="N7" s="719">
        <f>102435+1000</f>
        <v>103435</v>
      </c>
      <c r="O7" s="720">
        <f t="shared" si="0"/>
        <v>245460</v>
      </c>
      <c r="P7" s="721">
        <v>73977</v>
      </c>
      <c r="S7" s="712"/>
    </row>
    <row r="8" spans="1:19" s="721" customFormat="1" ht="21.75" customHeight="1">
      <c r="A8" s="717" t="s">
        <v>10</v>
      </c>
      <c r="B8" s="722" t="s">
        <v>405</v>
      </c>
      <c r="C8" s="723">
        <v>2012213</v>
      </c>
      <c r="D8" s="723">
        <v>2012213</v>
      </c>
      <c r="E8" s="723">
        <v>2012212</v>
      </c>
      <c r="F8" s="723">
        <v>2012213</v>
      </c>
      <c r="G8" s="723">
        <v>2012213</v>
      </c>
      <c r="H8" s="723">
        <f>2012212+293684</f>
        <v>2305896</v>
      </c>
      <c r="I8" s="723">
        <f>2012213+200000+229000</f>
        <v>2441213</v>
      </c>
      <c r="J8" s="723">
        <f>2012213+94723</f>
        <v>2106936</v>
      </c>
      <c r="K8" s="723">
        <f>2012212+228600</f>
        <v>2240812</v>
      </c>
      <c r="L8" s="723">
        <v>2012213</v>
      </c>
      <c r="M8" s="723">
        <v>2012213</v>
      </c>
      <c r="N8" s="723">
        <f>2012213+410088</f>
        <v>2422301</v>
      </c>
      <c r="O8" s="720">
        <f t="shared" si="0"/>
        <v>25602648</v>
      </c>
      <c r="P8" s="721">
        <v>246945</v>
      </c>
      <c r="S8" s="712"/>
    </row>
    <row r="9" spans="1:19" s="721" customFormat="1" ht="23.25" customHeight="1">
      <c r="A9" s="717" t="s">
        <v>11</v>
      </c>
      <c r="B9" s="718" t="s">
        <v>228</v>
      </c>
      <c r="C9" s="719"/>
      <c r="D9" s="719"/>
      <c r="E9" s="719">
        <v>80000</v>
      </c>
      <c r="F9" s="719"/>
      <c r="G9" s="719">
        <v>1200000</v>
      </c>
      <c r="H9" s="719">
        <f>1057060-293684</f>
        <v>763376</v>
      </c>
      <c r="I9" s="719"/>
      <c r="J9" s="719"/>
      <c r="K9" s="719"/>
      <c r="L9" s="719"/>
      <c r="M9" s="719"/>
      <c r="N9" s="719">
        <f>19966222+1700000</f>
        <v>21666222</v>
      </c>
      <c r="O9" s="720">
        <f t="shared" si="0"/>
        <v>23709598</v>
      </c>
      <c r="P9" s="721">
        <v>118427</v>
      </c>
      <c r="S9" s="712"/>
    </row>
    <row r="10" spans="1:19" s="721" customFormat="1" ht="23.25" customHeight="1">
      <c r="A10" s="717" t="s">
        <v>12</v>
      </c>
      <c r="B10" s="718" t="s">
        <v>229</v>
      </c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20">
        <f t="shared" si="0"/>
        <v>0</v>
      </c>
      <c r="P10" s="721">
        <v>0</v>
      </c>
      <c r="S10" s="712"/>
    </row>
    <row r="11" spans="1:19" s="721" customFormat="1" ht="23.25" customHeight="1">
      <c r="A11" s="717" t="s">
        <v>13</v>
      </c>
      <c r="B11" s="718" t="s">
        <v>431</v>
      </c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20">
        <f t="shared" si="0"/>
        <v>0</v>
      </c>
      <c r="P11" s="721">
        <v>7592</v>
      </c>
      <c r="S11" s="712"/>
    </row>
    <row r="12" spans="1:19" s="721" customFormat="1" ht="23.25" customHeight="1">
      <c r="A12" s="717" t="s">
        <v>56</v>
      </c>
      <c r="B12" s="718" t="s">
        <v>230</v>
      </c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20">
        <f t="shared" si="0"/>
        <v>0</v>
      </c>
      <c r="P12" s="721">
        <v>0</v>
      </c>
      <c r="S12" s="712"/>
    </row>
    <row r="13" spans="1:19" s="721" customFormat="1" ht="13.5" customHeight="1" thickBot="1">
      <c r="A13" s="717" t="s">
        <v>57</v>
      </c>
      <c r="B13" s="718" t="s">
        <v>231</v>
      </c>
      <c r="C13" s="719">
        <f>+'1.sz.m-önk.össze.bev'!H59</f>
        <v>36788520</v>
      </c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>
        <f>+'1.sz.m-önk.össze.bev'!H58</f>
        <v>659048</v>
      </c>
      <c r="O13" s="720">
        <f t="shared" si="0"/>
        <v>37447568</v>
      </c>
      <c r="P13" s="721">
        <v>156053</v>
      </c>
      <c r="S13" s="712"/>
    </row>
    <row r="14" spans="1:17" s="712" customFormat="1" ht="15.75" customHeight="1" thickBot="1">
      <c r="A14" s="717" t="s">
        <v>58</v>
      </c>
      <c r="B14" s="724" t="s">
        <v>232</v>
      </c>
      <c r="C14" s="725">
        <f aca="true" t="shared" si="1" ref="C14:O14">SUM(C6:C13)</f>
        <v>38833059</v>
      </c>
      <c r="D14" s="725">
        <f t="shared" si="1"/>
        <v>2030019</v>
      </c>
      <c r="E14" s="725">
        <f t="shared" si="1"/>
        <v>2687290</v>
      </c>
      <c r="F14" s="725">
        <f t="shared" si="1"/>
        <v>2013213</v>
      </c>
      <c r="G14" s="725">
        <f t="shared" si="1"/>
        <v>3332432</v>
      </c>
      <c r="H14" s="725">
        <f t="shared" si="1"/>
        <v>3069272</v>
      </c>
      <c r="I14" s="725">
        <f t="shared" si="1"/>
        <v>2442213</v>
      </c>
      <c r="J14" s="725">
        <f t="shared" si="1"/>
        <v>2106936</v>
      </c>
      <c r="K14" s="725">
        <f t="shared" si="1"/>
        <v>2922345</v>
      </c>
      <c r="L14" s="725">
        <f t="shared" si="1"/>
        <v>2013213</v>
      </c>
      <c r="M14" s="725">
        <f t="shared" si="1"/>
        <v>2012213</v>
      </c>
      <c r="N14" s="725">
        <f t="shared" si="1"/>
        <v>24851006</v>
      </c>
      <c r="O14" s="726">
        <f t="shared" si="1"/>
        <v>88313211</v>
      </c>
      <c r="Q14" s="712">
        <f>SUM(P6:P13)</f>
        <v>708064</v>
      </c>
    </row>
    <row r="15" spans="1:15" s="712" customFormat="1" ht="15" customHeight="1" thickBot="1">
      <c r="A15" s="717" t="s">
        <v>59</v>
      </c>
      <c r="B15" s="1445" t="s">
        <v>113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7"/>
    </row>
    <row r="16" spans="1:19" s="721" customFormat="1" ht="13.5" customHeight="1">
      <c r="A16" s="717" t="s">
        <v>60</v>
      </c>
      <c r="B16" s="722" t="s">
        <v>406</v>
      </c>
      <c r="C16" s="723">
        <v>1965108</v>
      </c>
      <c r="D16" s="723">
        <v>1965108</v>
      </c>
      <c r="E16" s="723">
        <v>1965108</v>
      </c>
      <c r="F16" s="723">
        <v>1965108</v>
      </c>
      <c r="G16" s="723">
        <v>1965108</v>
      </c>
      <c r="H16" s="723">
        <f>1965108+17407</f>
        <v>1982515</v>
      </c>
      <c r="I16" s="723">
        <f>1965108+17408</f>
        <v>1982516</v>
      </c>
      <c r="J16" s="723">
        <f>1965108+17407</f>
        <v>1982515</v>
      </c>
      <c r="K16" s="723">
        <f>1965108+17408</f>
        <v>1982516</v>
      </c>
      <c r="L16" s="723">
        <f>1965108+17408+355987</f>
        <v>2338503</v>
      </c>
      <c r="M16" s="723">
        <f>1965108+17408</f>
        <v>1982516</v>
      </c>
      <c r="N16" s="723">
        <f>1965108+17408+3002503</f>
        <v>4985019</v>
      </c>
      <c r="O16" s="727">
        <f>SUM(C16:N16)</f>
        <v>27061640</v>
      </c>
      <c r="P16" s="721">
        <v>550166</v>
      </c>
      <c r="S16" s="712"/>
    </row>
    <row r="17" spans="1:19" s="721" customFormat="1" ht="27" customHeight="1">
      <c r="A17" s="717" t="s">
        <v>233</v>
      </c>
      <c r="B17" s="718" t="s">
        <v>407</v>
      </c>
      <c r="C17" s="719"/>
      <c r="D17" s="719"/>
      <c r="E17" s="719"/>
      <c r="F17" s="719">
        <f>+'6.sz.m.fejlesztés (2)'!D6</f>
        <v>1221288</v>
      </c>
      <c r="G17" s="719">
        <f>+'6.sz.m.fejlesztés (2)'!D8</f>
        <v>80000</v>
      </c>
      <c r="H17" s="719">
        <v>500000</v>
      </c>
      <c r="I17" s="719">
        <f>+'6.sz.m.fejlesztés (2)'!D5+'6.sz.m.fejlesztés (2)'!D7+'6.sz.m.fejlesztés (2)'!D9</f>
        <v>4994057</v>
      </c>
      <c r="J17" s="719"/>
      <c r="K17" s="719"/>
      <c r="L17" s="719">
        <v>1446808</v>
      </c>
      <c r="M17" s="719">
        <f>+'6.sz.m.fejlesztés (2)'!D18+'6.sz.m.fejlesztés (2)'!D19+15763</f>
        <v>32203054</v>
      </c>
      <c r="N17" s="719">
        <v>20155749</v>
      </c>
      <c r="O17" s="720">
        <f>SUM(C17:N17)</f>
        <v>60600956</v>
      </c>
      <c r="P17" s="721">
        <v>124458</v>
      </c>
      <c r="S17" s="712"/>
    </row>
    <row r="18" spans="1:16" s="721" customFormat="1" ht="13.5" customHeight="1">
      <c r="A18" s="717" t="s">
        <v>234</v>
      </c>
      <c r="B18" s="718" t="s">
        <v>235</v>
      </c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20">
        <f>SUM(C18:N18)</f>
        <v>0</v>
      </c>
      <c r="P18" s="721">
        <v>0</v>
      </c>
    </row>
    <row r="19" spans="1:16" s="721" customFormat="1" ht="13.5" customHeight="1">
      <c r="A19" s="717" t="s">
        <v>236</v>
      </c>
      <c r="B19" s="718" t="s">
        <v>237</v>
      </c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>
        <f>+'1 .sz.m.önk.össz.kiad.'!H25</f>
        <v>0</v>
      </c>
      <c r="O19" s="720">
        <f>SUM(C19:N19)</f>
        <v>0</v>
      </c>
      <c r="P19" s="721">
        <v>47140</v>
      </c>
    </row>
    <row r="20" spans="1:16" s="721" customFormat="1" ht="13.5" customHeight="1" thickBot="1">
      <c r="A20" s="717" t="s">
        <v>238</v>
      </c>
      <c r="B20" s="718" t="s">
        <v>239</v>
      </c>
      <c r="C20" s="719">
        <f>+'1 .sz.m.önk.össz.kiad.'!G32</f>
        <v>650615</v>
      </c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20">
        <f>SUM(C20:N20)</f>
        <v>650615</v>
      </c>
      <c r="P20" s="721">
        <v>0</v>
      </c>
    </row>
    <row r="21" spans="1:17" s="712" customFormat="1" ht="15.75" customHeight="1" thickBot="1">
      <c r="A21" s="717" t="s">
        <v>240</v>
      </c>
      <c r="B21" s="724" t="s">
        <v>241</v>
      </c>
      <c r="C21" s="725">
        <f aca="true" t="shared" si="2" ref="C21:O21">SUM(C16:C20)</f>
        <v>2615723</v>
      </c>
      <c r="D21" s="725">
        <f t="shared" si="2"/>
        <v>1965108</v>
      </c>
      <c r="E21" s="725">
        <f t="shared" si="2"/>
        <v>1965108</v>
      </c>
      <c r="F21" s="725">
        <f t="shared" si="2"/>
        <v>3186396</v>
      </c>
      <c r="G21" s="725">
        <f t="shared" si="2"/>
        <v>2045108</v>
      </c>
      <c r="H21" s="725">
        <f t="shared" si="2"/>
        <v>2482515</v>
      </c>
      <c r="I21" s="725">
        <f t="shared" si="2"/>
        <v>6976573</v>
      </c>
      <c r="J21" s="725">
        <f t="shared" si="2"/>
        <v>1982515</v>
      </c>
      <c r="K21" s="725">
        <f t="shared" si="2"/>
        <v>1982516</v>
      </c>
      <c r="L21" s="725">
        <f t="shared" si="2"/>
        <v>3785311</v>
      </c>
      <c r="M21" s="725">
        <f t="shared" si="2"/>
        <v>34185570</v>
      </c>
      <c r="N21" s="725">
        <f t="shared" si="2"/>
        <v>25140768</v>
      </c>
      <c r="O21" s="726">
        <f t="shared" si="2"/>
        <v>88313211</v>
      </c>
      <c r="Q21" s="712">
        <f>SUM(P16:P20)</f>
        <v>721764</v>
      </c>
    </row>
    <row r="22" spans="1:15" ht="16.5" thickBot="1">
      <c r="A22" s="717" t="s">
        <v>242</v>
      </c>
      <c r="B22" s="728" t="s">
        <v>243</v>
      </c>
      <c r="C22" s="729">
        <f>C14-C21</f>
        <v>36217336</v>
      </c>
      <c r="D22" s="729">
        <f>C14+D14-C21-D21</f>
        <v>36282247</v>
      </c>
      <c r="E22" s="729">
        <f>C14+D14+E14-C21-D21-E21</f>
        <v>37004429</v>
      </c>
      <c r="F22" s="729">
        <f>C14+D14+E14+F14-C21-D21-E21-F21</f>
        <v>35831246</v>
      </c>
      <c r="G22" s="729">
        <f>(SUM(C14:G14))-(SUM(C21:G21))</f>
        <v>37118570</v>
      </c>
      <c r="H22" s="729">
        <f>(SUM(C14:H14))-(SUM(C21:H21))</f>
        <v>37705327</v>
      </c>
      <c r="I22" s="729">
        <f>(SUM(C14:I14))-(SUM(C21:I21))</f>
        <v>33170967</v>
      </c>
      <c r="J22" s="729">
        <f>(SUM(C14:J14))-(SUM(C21:J21))</f>
        <v>33295388</v>
      </c>
      <c r="K22" s="729">
        <f>(SUM(C14:K14))-(SUM(C21:K21))</f>
        <v>34235217</v>
      </c>
      <c r="L22" s="729">
        <f>(SUM(C14:L14))-(SUM(C21:L21))</f>
        <v>32463119</v>
      </c>
      <c r="M22" s="729">
        <f>(SUM(C14:M14))-(SUM(C21:M21))</f>
        <v>289762</v>
      </c>
      <c r="N22" s="729">
        <f>(SUM(C14:N14))-(SUM(C21:N21))</f>
        <v>0</v>
      </c>
      <c r="O22" s="730">
        <f>O14-O21</f>
        <v>0</v>
      </c>
    </row>
    <row r="23" ht="15.75">
      <c r="A23" s="731"/>
    </row>
    <row r="24" spans="2:4" ht="15.75">
      <c r="B24" s="732"/>
      <c r="C24" s="733"/>
      <c r="D24" s="733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E38" sqref="E38:E39"/>
    </sheetView>
  </sheetViews>
  <sheetFormatPr defaultColWidth="9.140625" defaultRowHeight="12.75"/>
  <cols>
    <col min="1" max="1" width="78.8515625" style="942" customWidth="1"/>
    <col min="2" max="2" width="13.57421875" style="942" customWidth="1"/>
    <col min="3" max="3" width="13.140625" style="942" customWidth="1"/>
    <col min="4" max="4" width="13.28125" style="942" customWidth="1"/>
    <col min="5" max="5" width="14.28125" style="942" customWidth="1"/>
    <col min="6" max="6" width="9.140625" style="942" customWidth="1"/>
    <col min="7" max="7" width="10.421875" style="942" bestFit="1" customWidth="1"/>
    <col min="8" max="16384" width="9.140625" style="942" customWidth="1"/>
  </cols>
  <sheetData>
    <row r="1" spans="1:5" ht="21" customHeight="1">
      <c r="A1" s="1450" t="s">
        <v>375</v>
      </c>
      <c r="B1" s="1450"/>
      <c r="C1" s="1450"/>
      <c r="D1" s="1450"/>
      <c r="E1" s="1450"/>
    </row>
    <row r="2" spans="1:4" s="943" customFormat="1" ht="51.75" customHeight="1">
      <c r="A2" s="1448" t="s">
        <v>500</v>
      </c>
      <c r="B2" s="1448"/>
      <c r="C2" s="1448"/>
      <c r="D2" s="1448"/>
    </row>
    <row r="3" spans="1:5" ht="15.75" customHeight="1" thickBot="1">
      <c r="A3" s="944"/>
      <c r="B3" s="1449"/>
      <c r="C3" s="1449"/>
      <c r="D3" s="1449"/>
      <c r="E3" s="945" t="s">
        <v>246</v>
      </c>
    </row>
    <row r="4" spans="1:5" s="948" customFormat="1" ht="24" customHeight="1" thickBot="1">
      <c r="A4" s="946" t="s">
        <v>247</v>
      </c>
      <c r="B4" s="947" t="s">
        <v>248</v>
      </c>
      <c r="C4" s="947" t="s">
        <v>188</v>
      </c>
      <c r="D4" s="947" t="s">
        <v>194</v>
      </c>
      <c r="E4" s="947" t="s">
        <v>196</v>
      </c>
    </row>
    <row r="5" spans="1:7" s="951" customFormat="1" ht="21" customHeight="1" hidden="1">
      <c r="A5" s="949" t="s">
        <v>249</v>
      </c>
      <c r="B5" s="950">
        <v>0</v>
      </c>
      <c r="C5" s="950">
        <v>0</v>
      </c>
      <c r="D5" s="950">
        <v>0</v>
      </c>
      <c r="E5" s="950">
        <v>0</v>
      </c>
      <c r="G5" s="952"/>
    </row>
    <row r="6" spans="1:5" s="951" customFormat="1" ht="21" customHeight="1">
      <c r="A6" s="953" t="s">
        <v>250</v>
      </c>
      <c r="B6" s="954">
        <v>1071000</v>
      </c>
      <c r="C6" s="954">
        <v>1071000</v>
      </c>
      <c r="D6" s="954">
        <v>1071000</v>
      </c>
      <c r="E6" s="954">
        <v>1071000</v>
      </c>
    </row>
    <row r="7" spans="1:5" s="951" customFormat="1" ht="21" customHeight="1">
      <c r="A7" s="953" t="s">
        <v>251</v>
      </c>
      <c r="B7" s="954">
        <v>576000</v>
      </c>
      <c r="C7" s="954">
        <v>576000</v>
      </c>
      <c r="D7" s="954">
        <v>576000</v>
      </c>
      <c r="E7" s="954">
        <v>576000</v>
      </c>
    </row>
    <row r="8" spans="1:5" s="951" customFormat="1" ht="21" customHeight="1">
      <c r="A8" s="953" t="s">
        <v>252</v>
      </c>
      <c r="B8" s="954">
        <v>100000</v>
      </c>
      <c r="C8" s="954">
        <v>100000</v>
      </c>
      <c r="D8" s="954">
        <v>100000</v>
      </c>
      <c r="E8" s="954">
        <v>100000</v>
      </c>
    </row>
    <row r="9" spans="1:5" s="951" customFormat="1" ht="21" customHeight="1">
      <c r="A9" s="955" t="s">
        <v>253</v>
      </c>
      <c r="B9" s="954">
        <v>406330</v>
      </c>
      <c r="C9" s="954">
        <v>406330</v>
      </c>
      <c r="D9" s="954">
        <v>406330</v>
      </c>
      <c r="E9" s="954">
        <v>406330</v>
      </c>
    </row>
    <row r="10" spans="1:5" s="951" customFormat="1" ht="21" customHeight="1">
      <c r="A10" s="949" t="s">
        <v>254</v>
      </c>
      <c r="B10" s="956">
        <f>SUM(B6:B9)</f>
        <v>2153330</v>
      </c>
      <c r="C10" s="956">
        <f>SUM(C6:C9)</f>
        <v>2153330</v>
      </c>
      <c r="D10" s="956">
        <f>SUM(D6:D9)</f>
        <v>2153330</v>
      </c>
      <c r="E10" s="956">
        <f>SUM(E6:E9)</f>
        <v>2153330</v>
      </c>
    </row>
    <row r="11" spans="1:5" s="951" customFormat="1" ht="21" customHeight="1" hidden="1">
      <c r="A11" s="957" t="s">
        <v>255</v>
      </c>
      <c r="B11" s="956"/>
      <c r="C11" s="956"/>
      <c r="D11" s="956"/>
      <c r="E11" s="956"/>
    </row>
    <row r="12" spans="1:5" s="951" customFormat="1" ht="21" customHeight="1">
      <c r="A12" s="957" t="s">
        <v>353</v>
      </c>
      <c r="B12" s="956">
        <v>5000000</v>
      </c>
      <c r="C12" s="956">
        <v>5000000</v>
      </c>
      <c r="D12" s="956">
        <v>5000000</v>
      </c>
      <c r="E12" s="956">
        <v>5000000</v>
      </c>
    </row>
    <row r="13" spans="1:5" s="951" customFormat="1" ht="21" customHeight="1">
      <c r="A13" s="957" t="s">
        <v>386</v>
      </c>
      <c r="B13" s="958">
        <v>2550</v>
      </c>
      <c r="C13" s="958">
        <v>2550</v>
      </c>
      <c r="D13" s="958">
        <v>2550</v>
      </c>
      <c r="E13" s="958">
        <v>2550</v>
      </c>
    </row>
    <row r="14" spans="1:5" s="951" customFormat="1" ht="21" customHeight="1" hidden="1">
      <c r="A14" s="959"/>
      <c r="B14" s="958"/>
      <c r="C14" s="958"/>
      <c r="D14" s="958"/>
      <c r="E14" s="958"/>
    </row>
    <row r="15" spans="1:5" s="951" customFormat="1" ht="21" customHeight="1" hidden="1">
      <c r="A15" s="957" t="s">
        <v>403</v>
      </c>
      <c r="B15" s="956">
        <v>0</v>
      </c>
      <c r="C15" s="956">
        <v>0</v>
      </c>
      <c r="D15" s="956">
        <v>0</v>
      </c>
      <c r="E15" s="956">
        <v>0</v>
      </c>
    </row>
    <row r="16" spans="1:5" s="951" customFormat="1" ht="21" customHeight="1" thickBot="1">
      <c r="A16" s="1033" t="s">
        <v>507</v>
      </c>
      <c r="B16" s="1034">
        <v>954500</v>
      </c>
      <c r="C16" s="1034">
        <v>954500</v>
      </c>
      <c r="D16" s="1034">
        <v>954500</v>
      </c>
      <c r="E16" s="1034">
        <v>954500</v>
      </c>
    </row>
    <row r="17" spans="1:5" s="962" customFormat="1" ht="24.75" customHeight="1" thickBot="1">
      <c r="A17" s="960" t="s">
        <v>402</v>
      </c>
      <c r="B17" s="961">
        <f>B10+B12+B13+B15+B14+B16</f>
        <v>8110380</v>
      </c>
      <c r="C17" s="961">
        <f>C10+C12+C13+C15+C14+C16</f>
        <v>8110380</v>
      </c>
      <c r="D17" s="961">
        <f>D10+D12+D13+D15+D14+D16</f>
        <v>8110380</v>
      </c>
      <c r="E17" s="961">
        <f>E10+E12+E13+E15+E14+E16</f>
        <v>8110380</v>
      </c>
    </row>
    <row r="18" spans="1:5" s="962" customFormat="1" ht="24.75" customHeight="1" hidden="1">
      <c r="A18" s="1030" t="s">
        <v>408</v>
      </c>
      <c r="B18" s="964"/>
      <c r="C18" s="964"/>
      <c r="D18" s="964"/>
      <c r="E18" s="964"/>
    </row>
    <row r="19" spans="1:5" ht="24.75" customHeight="1">
      <c r="A19" s="963" t="s">
        <v>508</v>
      </c>
      <c r="B19" s="964">
        <v>2105000</v>
      </c>
      <c r="C19" s="964">
        <v>2105000</v>
      </c>
      <c r="D19" s="964">
        <v>2105000</v>
      </c>
      <c r="E19" s="964">
        <v>2105000</v>
      </c>
    </row>
    <row r="20" spans="1:5" s="967" customFormat="1" ht="24.75" customHeight="1">
      <c r="A20" s="965" t="s">
        <v>509</v>
      </c>
      <c r="B20" s="966">
        <f>+B21</f>
        <v>4250000</v>
      </c>
      <c r="C20" s="966">
        <f>+C21</f>
        <v>4250000</v>
      </c>
      <c r="D20" s="966">
        <f>+D21+D22</f>
        <v>4479000</v>
      </c>
      <c r="E20" s="966">
        <f>+E21+E22</f>
        <v>4479000</v>
      </c>
    </row>
    <row r="21" spans="1:5" s="967" customFormat="1" ht="24.75" customHeight="1">
      <c r="A21" s="968" t="s">
        <v>510</v>
      </c>
      <c r="B21" s="969">
        <v>4250000</v>
      </c>
      <c r="C21" s="969">
        <v>4250000</v>
      </c>
      <c r="D21" s="969">
        <v>4250000</v>
      </c>
      <c r="E21" s="969">
        <v>4250000</v>
      </c>
    </row>
    <row r="22" spans="1:5" s="967" customFormat="1" ht="24.75" customHeight="1">
      <c r="A22" s="1232" t="s">
        <v>523</v>
      </c>
      <c r="B22" s="969"/>
      <c r="C22" s="969"/>
      <c r="D22" s="969">
        <v>229000</v>
      </c>
      <c r="E22" s="969">
        <v>229000</v>
      </c>
    </row>
    <row r="23" spans="1:5" s="967" customFormat="1" ht="32.25" customHeight="1">
      <c r="A23" s="1231" t="s">
        <v>520</v>
      </c>
      <c r="B23" s="927"/>
      <c r="C23" s="927">
        <v>268684</v>
      </c>
      <c r="D23" s="927">
        <f>268684+94723</f>
        <v>363407</v>
      </c>
      <c r="E23" s="927">
        <f>268684+94723+187822</f>
        <v>551229</v>
      </c>
    </row>
    <row r="24" spans="1:5" s="967" customFormat="1" ht="24.75" customHeight="1" hidden="1" thickBot="1">
      <c r="A24" s="983"/>
      <c r="B24" s="928"/>
      <c r="C24" s="928"/>
      <c r="D24" s="928"/>
      <c r="E24" s="928"/>
    </row>
    <row r="25" spans="1:5" s="967" customFormat="1" ht="24.75" customHeight="1" thickBot="1">
      <c r="A25" s="970" t="s">
        <v>511</v>
      </c>
      <c r="B25" s="971">
        <v>1800000</v>
      </c>
      <c r="C25" s="971">
        <v>1800000</v>
      </c>
      <c r="D25" s="971">
        <v>1800000</v>
      </c>
      <c r="E25" s="971">
        <v>1800000</v>
      </c>
    </row>
    <row r="26" spans="1:5" s="967" customFormat="1" ht="24.75" customHeight="1" thickBot="1">
      <c r="A26" s="1233" t="s">
        <v>524</v>
      </c>
      <c r="B26" s="1234"/>
      <c r="C26" s="1234"/>
      <c r="D26" s="1234">
        <v>200000</v>
      </c>
      <c r="E26" s="1234">
        <v>200000</v>
      </c>
    </row>
    <row r="27" spans="1:5" s="974" customFormat="1" ht="24.75" customHeight="1" hidden="1" thickBot="1">
      <c r="A27" s="972" t="s">
        <v>354</v>
      </c>
      <c r="B27" s="973"/>
      <c r="C27" s="973"/>
      <c r="D27" s="973"/>
      <c r="E27" s="973"/>
    </row>
    <row r="28" spans="1:5" s="967" customFormat="1" ht="24.75" customHeight="1" thickBot="1">
      <c r="A28" s="975" t="s">
        <v>355</v>
      </c>
      <c r="B28" s="976"/>
      <c r="C28" s="976"/>
      <c r="D28" s="976">
        <f>+D25+D26</f>
        <v>2000000</v>
      </c>
      <c r="E28" s="976">
        <f>+E25+E26</f>
        <v>2000000</v>
      </c>
    </row>
    <row r="29" spans="1:5" ht="28.5" customHeight="1" hidden="1">
      <c r="A29" s="1032" t="s">
        <v>501</v>
      </c>
      <c r="B29" s="958"/>
      <c r="C29" s="958"/>
      <c r="D29" s="958"/>
      <c r="E29" s="958"/>
    </row>
    <row r="30" spans="1:5" ht="34.5" customHeight="1" hidden="1">
      <c r="A30" s="1032" t="s">
        <v>502</v>
      </c>
      <c r="B30" s="977"/>
      <c r="C30" s="977"/>
      <c r="D30" s="977"/>
      <c r="E30" s="977"/>
    </row>
    <row r="31" spans="1:5" ht="24.75" customHeight="1" hidden="1">
      <c r="A31" s="750" t="s">
        <v>396</v>
      </c>
      <c r="B31" s="977"/>
      <c r="C31" s="977"/>
      <c r="D31" s="977"/>
      <c r="E31" s="977"/>
    </row>
    <row r="32" spans="1:5" ht="48.75" customHeight="1" hidden="1">
      <c r="A32" s="1032" t="s">
        <v>503</v>
      </c>
      <c r="B32" s="977"/>
      <c r="C32" s="977"/>
      <c r="D32" s="977"/>
      <c r="E32" s="977"/>
    </row>
    <row r="33" spans="1:5" ht="24.75" customHeight="1">
      <c r="A33" s="959" t="s">
        <v>429</v>
      </c>
      <c r="B33" s="977"/>
      <c r="C33" s="977"/>
      <c r="D33" s="977">
        <v>228600</v>
      </c>
      <c r="E33" s="977">
        <v>228600</v>
      </c>
    </row>
    <row r="34" spans="1:5" ht="24.75" customHeight="1" hidden="1">
      <c r="A34" s="959" t="s">
        <v>430</v>
      </c>
      <c r="B34" s="977"/>
      <c r="C34" s="977"/>
      <c r="D34" s="977"/>
      <c r="E34" s="977"/>
    </row>
    <row r="35" spans="1:5" ht="24.75" customHeight="1" hidden="1">
      <c r="A35" s="959" t="s">
        <v>256</v>
      </c>
      <c r="B35" s="977"/>
      <c r="C35" s="977"/>
      <c r="D35" s="977"/>
      <c r="E35" s="977"/>
    </row>
    <row r="36" spans="1:5" ht="24.75" customHeight="1" hidden="1">
      <c r="A36" s="959" t="s">
        <v>257</v>
      </c>
      <c r="B36" s="977"/>
      <c r="C36" s="977"/>
      <c r="D36" s="977"/>
      <c r="E36" s="977"/>
    </row>
    <row r="37" spans="1:5" s="980" customFormat="1" ht="26.25" customHeight="1" thickBot="1">
      <c r="A37" s="978" t="s">
        <v>22</v>
      </c>
      <c r="B37" s="979">
        <f>B17+B19+B20+B25+B29</f>
        <v>16265380</v>
      </c>
      <c r="C37" s="979">
        <f>C17+C19+C20+C25+C29+C23</f>
        <v>16534064</v>
      </c>
      <c r="D37" s="979">
        <f>D17+D19+D20+D28+D29+D23+D33</f>
        <v>17286387</v>
      </c>
      <c r="E37" s="979">
        <f>E17+E19+E20+E28+E29+E23+E33</f>
        <v>17474209</v>
      </c>
    </row>
    <row r="38" spans="3:5" ht="15">
      <c r="C38" s="982"/>
      <c r="D38" s="982"/>
      <c r="E38" s="982"/>
    </row>
    <row r="39" spans="1:5" ht="15">
      <c r="A39" s="981"/>
      <c r="B39" s="982"/>
      <c r="C39" s="982"/>
      <c r="D39" s="982"/>
      <c r="E39" s="982"/>
    </row>
    <row r="41" ht="15">
      <c r="E41" s="982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32.140625" style="821" customWidth="1"/>
    <col min="2" max="2" width="18.28125" style="822" customWidth="1"/>
    <col min="3" max="7" width="14.28125" style="822" customWidth="1"/>
    <col min="8" max="8" width="13.57421875" style="822" customWidth="1"/>
    <col min="9" max="16384" width="9.140625" style="822" customWidth="1"/>
  </cols>
  <sheetData>
    <row r="1" spans="6:7" ht="15">
      <c r="F1" s="1469" t="s">
        <v>411</v>
      </c>
      <c r="G1" s="1469"/>
    </row>
    <row r="2" spans="1:7" ht="24.75" customHeight="1">
      <c r="A2" s="1470" t="s">
        <v>267</v>
      </c>
      <c r="B2" s="1470"/>
      <c r="C2" s="1470"/>
      <c r="D2" s="1470"/>
      <c r="E2" s="1470"/>
      <c r="F2" s="1470"/>
      <c r="G2" s="1470"/>
    </row>
    <row r="3" spans="1:7" ht="18.75" customHeight="1">
      <c r="A3" s="1471" t="s">
        <v>459</v>
      </c>
      <c r="B3" s="1471"/>
      <c r="C3" s="1471"/>
      <c r="D3" s="1471"/>
      <c r="E3" s="1471"/>
      <c r="F3" s="1471"/>
      <c r="G3" s="1471"/>
    </row>
    <row r="4" spans="1:7" ht="24.75" customHeight="1">
      <c r="A4" s="1472" t="s">
        <v>268</v>
      </c>
      <c r="B4" s="1472"/>
      <c r="C4" s="1472"/>
      <c r="D4" s="1472"/>
      <c r="E4" s="1472"/>
      <c r="F4" s="1472"/>
      <c r="G4" s="1472"/>
    </row>
    <row r="5" ht="15.75" thickBot="1">
      <c r="G5" s="823" t="s">
        <v>387</v>
      </c>
    </row>
    <row r="6" spans="1:7" ht="24.75" customHeight="1">
      <c r="A6" s="1464" t="s">
        <v>269</v>
      </c>
      <c r="B6" s="1466" t="s">
        <v>270</v>
      </c>
      <c r="C6" s="1466"/>
      <c r="D6" s="1466"/>
      <c r="E6" s="1467" t="s">
        <v>271</v>
      </c>
      <c r="F6" s="1466"/>
      <c r="G6" s="1468"/>
    </row>
    <row r="7" spans="1:7" ht="24.75" customHeight="1" thickBot="1">
      <c r="A7" s="1465"/>
      <c r="B7" s="1161" t="s">
        <v>272</v>
      </c>
      <c r="C7" s="1161" t="s">
        <v>273</v>
      </c>
      <c r="D7" s="1161" t="s">
        <v>274</v>
      </c>
      <c r="E7" s="1162" t="s">
        <v>272</v>
      </c>
      <c r="F7" s="1161" t="s">
        <v>275</v>
      </c>
      <c r="G7" s="1163" t="s">
        <v>274</v>
      </c>
    </row>
    <row r="8" spans="1:7" ht="33.75" customHeight="1">
      <c r="A8" s="1164" t="s">
        <v>276</v>
      </c>
      <c r="B8" s="1165"/>
      <c r="C8" s="1165"/>
      <c r="D8" s="1165"/>
      <c r="E8" s="1166"/>
      <c r="F8" s="1166"/>
      <c r="G8" s="1167"/>
    </row>
    <row r="9" spans="1:7" ht="33.75" customHeight="1">
      <c r="A9" s="1168" t="s">
        <v>277</v>
      </c>
      <c r="B9" s="1169"/>
      <c r="C9" s="1169"/>
      <c r="D9" s="1165"/>
      <c r="E9" s="1170"/>
      <c r="F9" s="1170"/>
      <c r="G9" s="1171"/>
    </row>
    <row r="10" spans="1:7" ht="33.75" customHeight="1">
      <c r="A10" s="1168" t="s">
        <v>278</v>
      </c>
      <c r="B10" s="1169">
        <v>20286</v>
      </c>
      <c r="C10" s="1169"/>
      <c r="D10" s="1165">
        <v>20286</v>
      </c>
      <c r="E10" s="1170"/>
      <c r="F10" s="1170"/>
      <c r="G10" s="1171"/>
    </row>
    <row r="11" spans="1:7" ht="33.75" customHeight="1">
      <c r="A11" s="1172" t="s">
        <v>279</v>
      </c>
      <c r="B11" s="1173"/>
      <c r="C11" s="1173">
        <v>1102500</v>
      </c>
      <c r="D11" s="1165">
        <f>SUM(B11:C11)</f>
        <v>1102500</v>
      </c>
      <c r="E11" s="1174"/>
      <c r="F11" s="1174"/>
      <c r="G11" s="1171"/>
    </row>
    <row r="12" spans="1:7" ht="33.75" customHeight="1" thickBot="1">
      <c r="A12" s="1175" t="s">
        <v>280</v>
      </c>
      <c r="B12" s="1176"/>
      <c r="C12" s="1176"/>
      <c r="D12" s="1176"/>
      <c r="E12" s="1177"/>
      <c r="F12" s="1177"/>
      <c r="G12" s="1178"/>
    </row>
    <row r="13" spans="1:7" ht="33.75" customHeight="1" thickBot="1">
      <c r="A13" s="1179" t="s">
        <v>1</v>
      </c>
      <c r="B13" s="1180">
        <f aca="true" t="shared" si="0" ref="B13:G13">SUM(B8:B12)</f>
        <v>20286</v>
      </c>
      <c r="C13" s="1180">
        <f t="shared" si="0"/>
        <v>1102500</v>
      </c>
      <c r="D13" s="1180">
        <f t="shared" si="0"/>
        <v>1122786</v>
      </c>
      <c r="E13" s="1180">
        <f t="shared" si="0"/>
        <v>0</v>
      </c>
      <c r="F13" s="1180">
        <f t="shared" si="0"/>
        <v>0</v>
      </c>
      <c r="G13" s="1181">
        <f t="shared" si="0"/>
        <v>0</v>
      </c>
    </row>
    <row r="15" spans="1:7" ht="28.5" customHeight="1" hidden="1">
      <c r="A15" s="1455" t="s">
        <v>281</v>
      </c>
      <c r="B15" s="1455"/>
      <c r="C15" s="1455"/>
      <c r="D15" s="1455"/>
      <c r="E15" s="1455"/>
      <c r="F15" s="1455"/>
      <c r="G15" s="1455"/>
    </row>
    <row r="16" ht="15.75" hidden="1" thickBot="1">
      <c r="E16" s="823"/>
    </row>
    <row r="17" spans="2:4" ht="19.5" customHeight="1" hidden="1">
      <c r="B17" s="1456" t="s">
        <v>247</v>
      </c>
      <c r="C17" s="1458" t="s">
        <v>282</v>
      </c>
      <c r="D17" s="1459"/>
    </row>
    <row r="18" spans="2:4" ht="30" customHeight="1" hidden="1" thickBot="1">
      <c r="B18" s="1457"/>
      <c r="C18" s="1460"/>
      <c r="D18" s="1461"/>
    </row>
    <row r="19" spans="2:4" ht="29.25" customHeight="1" hidden="1">
      <c r="B19" s="824" t="s">
        <v>283</v>
      </c>
      <c r="C19" s="1462"/>
      <c r="D19" s="1463"/>
    </row>
    <row r="20" spans="2:4" ht="28.5" customHeight="1" hidden="1" thickBot="1">
      <c r="B20" s="825" t="s">
        <v>284</v>
      </c>
      <c r="C20" s="1451"/>
      <c r="D20" s="1452"/>
    </row>
    <row r="21" spans="2:4" s="827" customFormat="1" ht="27.75" customHeight="1" hidden="1" thickBot="1">
      <c r="B21" s="826" t="s">
        <v>1</v>
      </c>
      <c r="C21" s="1453">
        <f>SUM(C19:D20)</f>
        <v>0</v>
      </c>
      <c r="D21" s="1454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0">
      <selection activeCell="D15" sqref="D15:D16"/>
    </sheetView>
  </sheetViews>
  <sheetFormatPr defaultColWidth="9.140625" defaultRowHeight="12.75"/>
  <cols>
    <col min="1" max="1" width="55.57421875" style="1035" customWidth="1"/>
    <col min="2" max="2" width="27.7109375" style="1035" customWidth="1"/>
    <col min="3" max="3" width="11.140625" style="1036" customWidth="1"/>
    <col min="4" max="4" width="12.28125" style="1036" customWidth="1"/>
    <col min="5" max="5" width="26.8515625" style="1038" customWidth="1"/>
    <col min="6" max="6" width="12.00390625" style="1038" customWidth="1"/>
    <col min="7" max="7" width="16.00390625" style="1038" customWidth="1"/>
    <col min="8" max="16384" width="9.140625" style="1038" customWidth="1"/>
  </cols>
  <sheetData>
    <row r="1" spans="5:7" ht="12.75">
      <c r="E1" s="1473" t="s">
        <v>476</v>
      </c>
      <c r="F1" s="1473"/>
      <c r="G1" s="1037"/>
    </row>
    <row r="2" spans="1:7" ht="26.25" customHeight="1">
      <c r="A2" s="1474" t="s">
        <v>504</v>
      </c>
      <c r="B2" s="1474"/>
      <c r="C2" s="1474"/>
      <c r="D2" s="1474"/>
      <c r="E2" s="1474"/>
      <c r="F2" s="1474"/>
      <c r="G2" s="1039"/>
    </row>
    <row r="3" spans="1:7" ht="21" customHeight="1">
      <c r="A3" s="1475" t="s">
        <v>412</v>
      </c>
      <c r="B3" s="1475"/>
      <c r="C3" s="1475"/>
      <c r="D3" s="1475"/>
      <c r="E3" s="1475"/>
      <c r="F3" s="1475"/>
      <c r="G3" s="1040"/>
    </row>
    <row r="4" spans="6:7" ht="32.25" customHeight="1" thickBot="1">
      <c r="F4" s="1037" t="s">
        <v>413</v>
      </c>
      <c r="G4" s="1037"/>
    </row>
    <row r="5" spans="1:7" s="1042" customFormat="1" ht="13.5" thickBot="1">
      <c r="A5" s="1041" t="s">
        <v>3</v>
      </c>
      <c r="B5" s="1476" t="s">
        <v>414</v>
      </c>
      <c r="C5" s="1477"/>
      <c r="D5" s="1477"/>
      <c r="E5" s="1478" t="s">
        <v>415</v>
      </c>
      <c r="F5" s="1477"/>
      <c r="G5" s="1479"/>
    </row>
    <row r="6" ht="12.75">
      <c r="A6" s="1043"/>
    </row>
    <row r="7" spans="1:7" ht="12.75">
      <c r="A7" s="1044"/>
      <c r="B7" s="1044"/>
      <c r="C7" s="1045" t="s">
        <v>70</v>
      </c>
      <c r="D7" s="1046" t="s">
        <v>195</v>
      </c>
      <c r="E7" s="1047"/>
      <c r="F7" s="1045" t="s">
        <v>70</v>
      </c>
      <c r="G7" s="1046" t="s">
        <v>195</v>
      </c>
    </row>
    <row r="8" spans="1:8" ht="20.25" customHeight="1">
      <c r="A8" s="837" t="s">
        <v>464</v>
      </c>
      <c r="B8" s="1048" t="s">
        <v>259</v>
      </c>
      <c r="C8" s="1087">
        <v>6960000</v>
      </c>
      <c r="D8" s="1087">
        <v>6960000</v>
      </c>
      <c r="E8" s="1050" t="s">
        <v>416</v>
      </c>
      <c r="F8" s="1049">
        <v>6960000</v>
      </c>
      <c r="G8" s="1049">
        <v>6960000</v>
      </c>
      <c r="H8" s="1051"/>
    </row>
    <row r="9" spans="1:7" ht="18" customHeight="1">
      <c r="A9" s="1480" t="s">
        <v>467</v>
      </c>
      <c r="B9" s="1052" t="s">
        <v>417</v>
      </c>
      <c r="C9" s="1053"/>
      <c r="D9" s="1053"/>
      <c r="E9" s="1054"/>
      <c r="F9" s="1055"/>
      <c r="G9" s="1055"/>
    </row>
    <row r="10" spans="1:7" ht="18" customHeight="1">
      <c r="A10" s="1481"/>
      <c r="B10" s="1052" t="s">
        <v>437</v>
      </c>
      <c r="C10" s="1053"/>
      <c r="D10" s="1053"/>
      <c r="E10" s="1054"/>
      <c r="F10" s="1055"/>
      <c r="G10" s="1055"/>
    </row>
    <row r="11" spans="1:7" ht="18.75" customHeight="1" thickBot="1">
      <c r="A11" s="1482"/>
      <c r="B11" s="1056" t="s">
        <v>418</v>
      </c>
      <c r="C11" s="1057">
        <f>C8+C9+C10</f>
        <v>6960000</v>
      </c>
      <c r="D11" s="1057">
        <f>D8+D9+D10</f>
        <v>6960000</v>
      </c>
      <c r="E11" s="1058" t="s">
        <v>419</v>
      </c>
      <c r="F11" s="1057">
        <f>F8+F9</f>
        <v>6960000</v>
      </c>
      <c r="G11" s="1057">
        <f>G8+G9</f>
        <v>6960000</v>
      </c>
    </row>
    <row r="12" spans="1:7" ht="12" customHeight="1">
      <c r="A12" s="1059"/>
      <c r="B12" s="1060"/>
      <c r="C12" s="1061"/>
      <c r="D12" s="1061"/>
      <c r="E12" s="1062"/>
      <c r="F12" s="1063"/>
      <c r="G12" s="1063"/>
    </row>
    <row r="13" ht="13.5" thickBot="1"/>
    <row r="14" spans="1:7" ht="38.25">
      <c r="A14" s="1073" t="s">
        <v>515</v>
      </c>
      <c r="B14" s="1074" t="s">
        <v>420</v>
      </c>
      <c r="C14" s="1066">
        <v>1699999</v>
      </c>
      <c r="D14" s="1066">
        <v>1699996</v>
      </c>
      <c r="E14" s="1076" t="s">
        <v>416</v>
      </c>
      <c r="F14" s="1068">
        <f>+'6.sz.m.fejlesztés (2)'!D19</f>
        <v>2188977</v>
      </c>
      <c r="G14" s="1068">
        <f>+'6.sz.m.fejlesztés (2)'!E19</f>
        <v>2188977</v>
      </c>
    </row>
    <row r="15" spans="1:7" ht="12.75" customHeight="1" hidden="1">
      <c r="A15" s="1480" t="s">
        <v>514</v>
      </c>
      <c r="B15" s="1078"/>
      <c r="C15" s="1483">
        <f>+F17-C14</f>
        <v>488978</v>
      </c>
      <c r="D15" s="1483">
        <f>+G17-D14</f>
        <v>488981</v>
      </c>
      <c r="E15" s="1489"/>
      <c r="F15" s="1487"/>
      <c r="G15" s="1487"/>
    </row>
    <row r="16" spans="1:7" ht="25.5">
      <c r="A16" s="1481"/>
      <c r="B16" s="1052" t="s">
        <v>421</v>
      </c>
      <c r="C16" s="1484"/>
      <c r="D16" s="1484"/>
      <c r="E16" s="1490"/>
      <c r="F16" s="1488"/>
      <c r="G16" s="1488"/>
    </row>
    <row r="17" spans="1:7" ht="13.5" thickBot="1">
      <c r="A17" s="1482"/>
      <c r="B17" s="1056" t="s">
        <v>418</v>
      </c>
      <c r="C17" s="1057">
        <f>C14+C15+C16</f>
        <v>2188977</v>
      </c>
      <c r="D17" s="1057">
        <f>D14+D15+D16</f>
        <v>2188977</v>
      </c>
      <c r="E17" s="1058" t="s">
        <v>419</v>
      </c>
      <c r="F17" s="1057">
        <f>F14+F15</f>
        <v>2188977</v>
      </c>
      <c r="G17" s="1057">
        <f>G14+G15</f>
        <v>2188977</v>
      </c>
    </row>
    <row r="18" spans="1:7" ht="12.75">
      <c r="A18" s="1059"/>
      <c r="B18" s="1072"/>
      <c r="C18" s="1061"/>
      <c r="D18" s="1061"/>
      <c r="E18" s="1062"/>
      <c r="F18" s="1063"/>
      <c r="G18" s="1063"/>
    </row>
    <row r="20" spans="1:7" ht="25.5">
      <c r="A20" s="1073" t="s">
        <v>512</v>
      </c>
      <c r="B20" s="1074" t="s">
        <v>420</v>
      </c>
      <c r="C20" s="1075">
        <v>149998</v>
      </c>
      <c r="D20" s="1075">
        <v>149998</v>
      </c>
      <c r="E20" s="1076" t="s">
        <v>416</v>
      </c>
      <c r="F20" s="1077">
        <v>180000</v>
      </c>
      <c r="G20" s="1077">
        <v>180000</v>
      </c>
    </row>
    <row r="21" spans="1:7" ht="12.75" hidden="1">
      <c r="A21" s="1480" t="s">
        <v>513</v>
      </c>
      <c r="B21" s="1078"/>
      <c r="C21" s="1079"/>
      <c r="D21" s="1079"/>
      <c r="E21" s="1080"/>
      <c r="F21" s="1081"/>
      <c r="G21" s="1081"/>
    </row>
    <row r="22" spans="1:7" ht="25.5">
      <c r="A22" s="1481"/>
      <c r="B22" s="1052" t="s">
        <v>421</v>
      </c>
      <c r="C22" s="1053">
        <f>+F23-C20</f>
        <v>30002</v>
      </c>
      <c r="D22" s="1053">
        <f>+G23-D20</f>
        <v>30002</v>
      </c>
      <c r="E22" s="1054"/>
      <c r="F22" s="1082"/>
      <c r="G22" s="1082"/>
    </row>
    <row r="23" spans="1:7" ht="13.5" thickBot="1">
      <c r="A23" s="1482"/>
      <c r="B23" s="1056" t="s">
        <v>418</v>
      </c>
      <c r="C23" s="1057">
        <f>+C20+C22</f>
        <v>180000</v>
      </c>
      <c r="D23" s="1057">
        <f>+D20+D22</f>
        <v>180000</v>
      </c>
      <c r="E23" s="1058" t="s">
        <v>419</v>
      </c>
      <c r="F23" s="1083">
        <f>+F20</f>
        <v>180000</v>
      </c>
      <c r="G23" s="1083">
        <f>+G20</f>
        <v>180000</v>
      </c>
    </row>
    <row r="25" spans="1:7" ht="12.75" hidden="1">
      <c r="A25" s="1064"/>
      <c r="B25" s="1065" t="s">
        <v>259</v>
      </c>
      <c r="C25" s="1066"/>
      <c r="D25" s="1066"/>
      <c r="E25" s="1067" t="s">
        <v>416</v>
      </c>
      <c r="F25" s="1068"/>
      <c r="G25" s="1084"/>
    </row>
    <row r="26" spans="1:7" ht="12.75" hidden="1">
      <c r="A26" s="1480"/>
      <c r="B26" s="1485" t="s">
        <v>422</v>
      </c>
      <c r="C26" s="1483"/>
      <c r="D26" s="1069"/>
      <c r="E26" s="1489"/>
      <c r="F26" s="1491"/>
      <c r="G26" s="1085"/>
    </row>
    <row r="27" spans="1:7" ht="12.75" hidden="1">
      <c r="A27" s="1481"/>
      <c r="B27" s="1486"/>
      <c r="C27" s="1484"/>
      <c r="D27" s="1070"/>
      <c r="E27" s="1490"/>
      <c r="F27" s="1492"/>
      <c r="G27" s="1085"/>
    </row>
    <row r="28" spans="1:7" ht="13.5" hidden="1" thickBot="1">
      <c r="A28" s="1482"/>
      <c r="B28" s="1071" t="s">
        <v>418</v>
      </c>
      <c r="C28" s="1057"/>
      <c r="D28" s="1057"/>
      <c r="E28" s="1058" t="s">
        <v>419</v>
      </c>
      <c r="F28" s="1083"/>
      <c r="G28" s="1063"/>
    </row>
    <row r="29" ht="12.75" hidden="1"/>
  </sheetData>
  <sheetProtection/>
  <mergeCells count="18"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  <mergeCell ref="E1:F1"/>
    <mergeCell ref="A2:F2"/>
    <mergeCell ref="A3:F3"/>
    <mergeCell ref="B5:D5"/>
    <mergeCell ref="E5:G5"/>
    <mergeCell ref="A15:A17"/>
    <mergeCell ref="C15:C16"/>
    <mergeCell ref="A9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workbookViewId="0" topLeftCell="A12">
      <selection activeCell="F18" sqref="F18"/>
    </sheetView>
  </sheetViews>
  <sheetFormatPr defaultColWidth="9.140625" defaultRowHeight="12.75"/>
  <cols>
    <col min="1" max="1" width="5.8515625" style="1089" customWidth="1"/>
    <col min="2" max="2" width="42.57421875" style="1088" customWidth="1"/>
    <col min="3" max="8" width="11.00390625" style="1088" customWidth="1"/>
    <col min="9" max="9" width="12.28125" style="1088" customWidth="1"/>
    <col min="10" max="10" width="2.8515625" style="1088" customWidth="1"/>
    <col min="11" max="16384" width="9.140625" style="1088" customWidth="1"/>
  </cols>
  <sheetData>
    <row r="1" spans="1:9" ht="27.75" customHeight="1">
      <c r="A1" s="1496" t="s">
        <v>438</v>
      </c>
      <c r="B1" s="1496"/>
      <c r="C1" s="1496"/>
      <c r="D1" s="1496"/>
      <c r="E1" s="1496"/>
      <c r="F1" s="1496"/>
      <c r="G1" s="1496"/>
      <c r="H1" s="1496"/>
      <c r="I1" s="1496"/>
    </row>
    <row r="2" ht="20.25" customHeight="1" thickBot="1">
      <c r="I2" s="1090" t="s">
        <v>439</v>
      </c>
    </row>
    <row r="3" spans="1:9" s="1091" customFormat="1" ht="26.25" customHeight="1">
      <c r="A3" s="1497" t="s">
        <v>440</v>
      </c>
      <c r="B3" s="1499" t="s">
        <v>441</v>
      </c>
      <c r="C3" s="1497" t="s">
        <v>442</v>
      </c>
      <c r="D3" s="1501" t="s">
        <v>505</v>
      </c>
      <c r="E3" s="1503" t="s">
        <v>443</v>
      </c>
      <c r="F3" s="1504"/>
      <c r="G3" s="1504"/>
      <c r="H3" s="1505"/>
      <c r="I3" s="1499" t="s">
        <v>1</v>
      </c>
    </row>
    <row r="4" spans="1:9" s="1094" customFormat="1" ht="32.25" customHeight="1" thickBot="1">
      <c r="A4" s="1498"/>
      <c r="B4" s="1500"/>
      <c r="C4" s="1500"/>
      <c r="D4" s="1502"/>
      <c r="E4" s="1092" t="s">
        <v>459</v>
      </c>
      <c r="F4" s="1092" t="s">
        <v>468</v>
      </c>
      <c r="G4" s="1092" t="s">
        <v>517</v>
      </c>
      <c r="H4" s="1093" t="s">
        <v>518</v>
      </c>
      <c r="I4" s="1500"/>
    </row>
    <row r="5" spans="1:9" s="1100" customFormat="1" ht="12.75" customHeight="1" thickBot="1">
      <c r="A5" s="1095" t="s">
        <v>444</v>
      </c>
      <c r="B5" s="1096" t="s">
        <v>445</v>
      </c>
      <c r="C5" s="1097" t="s">
        <v>446</v>
      </c>
      <c r="D5" s="1096" t="s">
        <v>447</v>
      </c>
      <c r="E5" s="1095" t="s">
        <v>448</v>
      </c>
      <c r="F5" s="1097" t="s">
        <v>449</v>
      </c>
      <c r="G5" s="1097" t="s">
        <v>450</v>
      </c>
      <c r="H5" s="1098" t="s">
        <v>451</v>
      </c>
      <c r="I5" s="1099" t="s">
        <v>452</v>
      </c>
    </row>
    <row r="6" spans="1:9" ht="24.75" customHeight="1" thickBot="1">
      <c r="A6" s="1101" t="s">
        <v>25</v>
      </c>
      <c r="B6" s="1101" t="s">
        <v>453</v>
      </c>
      <c r="C6" s="1102"/>
      <c r="D6" s="1103">
        <f>+D7+D8</f>
        <v>0</v>
      </c>
      <c r="E6" s="1104">
        <f>+E7+E8</f>
        <v>0</v>
      </c>
      <c r="F6" s="1105">
        <f>+F7+F8</f>
        <v>0</v>
      </c>
      <c r="G6" s="1105">
        <f>+G7+G8</f>
        <v>0</v>
      </c>
      <c r="H6" s="1106">
        <f>+H7+H8</f>
        <v>0</v>
      </c>
      <c r="I6" s="1107">
        <f aca="true" t="shared" si="0" ref="I6:I21">SUM(D6:H6)</f>
        <v>0</v>
      </c>
    </row>
    <row r="7" spans="1:10" ht="19.5" customHeight="1">
      <c r="A7" s="1108" t="s">
        <v>26</v>
      </c>
      <c r="B7" s="1108" t="s">
        <v>454</v>
      </c>
      <c r="C7" s="1109"/>
      <c r="D7" s="1110"/>
      <c r="E7" s="1111"/>
      <c r="F7" s="1112"/>
      <c r="G7" s="1112"/>
      <c r="H7" s="1113"/>
      <c r="I7" s="1114">
        <f t="shared" si="0"/>
        <v>0</v>
      </c>
      <c r="J7" s="1493"/>
    </row>
    <row r="8" spans="1:10" ht="19.5" customHeight="1" thickBot="1">
      <c r="A8" s="1108" t="s">
        <v>9</v>
      </c>
      <c r="B8" s="1108" t="s">
        <v>454</v>
      </c>
      <c r="C8" s="1109"/>
      <c r="D8" s="1110"/>
      <c r="E8" s="1111"/>
      <c r="F8" s="1112"/>
      <c r="G8" s="1112"/>
      <c r="H8" s="1113"/>
      <c r="I8" s="1114">
        <f t="shared" si="0"/>
        <v>0</v>
      </c>
      <c r="J8" s="1493"/>
    </row>
    <row r="9" spans="1:10" ht="25.5" customHeight="1" thickBot="1">
      <c r="A9" s="1101" t="s">
        <v>10</v>
      </c>
      <c r="B9" s="1101" t="s">
        <v>455</v>
      </c>
      <c r="C9" s="1102"/>
      <c r="D9" s="1103">
        <f>+D10+D11</f>
        <v>0</v>
      </c>
      <c r="E9" s="1104">
        <f>+E10+E11</f>
        <v>0</v>
      </c>
      <c r="F9" s="1105">
        <f>+F10+F11</f>
        <v>0</v>
      </c>
      <c r="G9" s="1105">
        <f>+G10+G11</f>
        <v>0</v>
      </c>
      <c r="H9" s="1106">
        <f>+H10+H11</f>
        <v>0</v>
      </c>
      <c r="I9" s="1107">
        <f t="shared" si="0"/>
        <v>0</v>
      </c>
      <c r="J9" s="1493"/>
    </row>
    <row r="10" spans="1:10" ht="19.5" customHeight="1">
      <c r="A10" s="1108" t="s">
        <v>11</v>
      </c>
      <c r="B10" s="1108" t="s">
        <v>454</v>
      </c>
      <c r="C10" s="1109"/>
      <c r="D10" s="1110"/>
      <c r="E10" s="1111"/>
      <c r="F10" s="1112"/>
      <c r="G10" s="1112"/>
      <c r="H10" s="1113"/>
      <c r="I10" s="1114">
        <f t="shared" si="0"/>
        <v>0</v>
      </c>
      <c r="J10" s="1493"/>
    </row>
    <row r="11" spans="1:10" ht="19.5" customHeight="1" thickBot="1">
      <c r="A11" s="1108" t="s">
        <v>12</v>
      </c>
      <c r="B11" s="1108" t="s">
        <v>454</v>
      </c>
      <c r="C11" s="1109"/>
      <c r="D11" s="1110"/>
      <c r="E11" s="1111"/>
      <c r="F11" s="1112"/>
      <c r="G11" s="1112"/>
      <c r="H11" s="1113"/>
      <c r="I11" s="1114">
        <f t="shared" si="0"/>
        <v>0</v>
      </c>
      <c r="J11" s="1493"/>
    </row>
    <row r="12" spans="1:10" ht="19.5" customHeight="1" thickBot="1">
      <c r="A12" s="1101" t="s">
        <v>13</v>
      </c>
      <c r="B12" s="1101" t="s">
        <v>456</v>
      </c>
      <c r="C12" s="1102"/>
      <c r="D12" s="1103">
        <f>+D15</f>
        <v>0</v>
      </c>
      <c r="E12" s="1159">
        <f>+E15+E13+E14</f>
        <v>7320966</v>
      </c>
      <c r="F12" s="1159">
        <f>+F15+F13+F14</f>
        <v>13460329</v>
      </c>
      <c r="G12" s="1159">
        <f>+G15+G13+G14</f>
        <v>0</v>
      </c>
      <c r="H12" s="1159">
        <f>+H15+H13+H14</f>
        <v>0</v>
      </c>
      <c r="I12" s="1160">
        <f>SUM(D12:H12)</f>
        <v>20781295</v>
      </c>
      <c r="J12" s="1493"/>
    </row>
    <row r="13" spans="1:10" ht="79.5" customHeight="1">
      <c r="A13" s="1150" t="s">
        <v>56</v>
      </c>
      <c r="B13" s="1151" t="str">
        <f>+'6.sz.m.fejlesztés (2)'!B11</f>
        <v>MFP 2020 - Falubusz beszerzése</v>
      </c>
      <c r="C13" s="1152" t="s">
        <v>530</v>
      </c>
      <c r="D13" s="1119"/>
      <c r="E13" s="1121">
        <f>+'6.sz.m.fejlesztés (2)'!H11</f>
        <v>1500000</v>
      </c>
      <c r="F13" s="1121">
        <f>+'6.sz.m.fejlesztés (2)'!G11-'6.sz.m.fejlesztés (2)'!H11</f>
        <v>13460329</v>
      </c>
      <c r="G13" s="1121"/>
      <c r="H13" s="1122"/>
      <c r="I13" s="1153">
        <f>SUM(D13:H13)</f>
        <v>14960329</v>
      </c>
      <c r="J13" s="1493"/>
    </row>
    <row r="14" spans="1:10" ht="79.5" customHeight="1">
      <c r="A14" s="1154" t="s">
        <v>56</v>
      </c>
      <c r="B14" s="1155" t="s">
        <v>462</v>
      </c>
      <c r="C14" s="1156" t="s">
        <v>516</v>
      </c>
      <c r="D14" s="1157">
        <v>1397000</v>
      </c>
      <c r="E14" s="1157">
        <v>1221288</v>
      </c>
      <c r="F14" s="1157"/>
      <c r="G14" s="1157"/>
      <c r="H14" s="1158"/>
      <c r="I14" s="1114">
        <f>SUM(D14:H14)</f>
        <v>2618288</v>
      </c>
      <c r="J14" s="1493"/>
    </row>
    <row r="15" spans="1:10" ht="27.75" customHeight="1" thickBot="1">
      <c r="A15" s="1108" t="s">
        <v>57</v>
      </c>
      <c r="B15" s="1108" t="s">
        <v>479</v>
      </c>
      <c r="C15" s="1109" t="s">
        <v>516</v>
      </c>
      <c r="D15" s="1110">
        <v>0</v>
      </c>
      <c r="E15" s="1112">
        <f>+'6.sz.m.fejlesztés (2)'!F9</f>
        <v>4599678</v>
      </c>
      <c r="F15" s="1112"/>
      <c r="G15" s="1112"/>
      <c r="H15" s="1113"/>
      <c r="I15" s="1128">
        <f>SUM(D15:H15)</f>
        <v>4599678</v>
      </c>
      <c r="J15" s="1493"/>
    </row>
    <row r="16" spans="1:10" ht="19.5" customHeight="1" thickBot="1">
      <c r="A16" s="1101" t="s">
        <v>58</v>
      </c>
      <c r="B16" s="1101" t="s">
        <v>457</v>
      </c>
      <c r="C16" s="1102"/>
      <c r="D16" s="1103">
        <f>+D17</f>
        <v>0</v>
      </c>
      <c r="E16" s="1105">
        <f>+E17</f>
        <v>30034078</v>
      </c>
      <c r="F16" s="1105">
        <f>+F17</f>
        <v>0</v>
      </c>
      <c r="G16" s="1105">
        <f>+G17</f>
        <v>0</v>
      </c>
      <c r="H16" s="1106">
        <f>+H17</f>
        <v>0</v>
      </c>
      <c r="I16" s="1107">
        <f t="shared" si="0"/>
        <v>30034078</v>
      </c>
      <c r="J16" s="1493"/>
    </row>
    <row r="17" spans="1:10" ht="13.5" thickBot="1">
      <c r="A17" s="1115" t="s">
        <v>59</v>
      </c>
      <c r="B17" s="1108" t="s">
        <v>478</v>
      </c>
      <c r="C17" s="1123">
        <v>2020</v>
      </c>
      <c r="D17" s="1124">
        <v>0</v>
      </c>
      <c r="E17" s="1125">
        <f>+'6.sz.m.fejlesztés (2)'!F18</f>
        <v>30034078</v>
      </c>
      <c r="F17" s="1126"/>
      <c r="G17" s="1112"/>
      <c r="H17" s="1113"/>
      <c r="I17" s="1114">
        <f>SUM(D17:H17)</f>
        <v>30034078</v>
      </c>
      <c r="J17" s="1493"/>
    </row>
    <row r="18" spans="1:10" ht="13.5" thickBot="1">
      <c r="A18" s="1115" t="s">
        <v>60</v>
      </c>
      <c r="B18" s="1108" t="str">
        <f>+'6.sz.m.fejlesztés (2)'!B20</f>
        <v>MFP 2020- Temető kerítés felújítása</v>
      </c>
      <c r="C18" s="1109" t="s">
        <v>530</v>
      </c>
      <c r="D18" s="1110"/>
      <c r="E18" s="1112">
        <f>+'6.sz.m.fejlesztés (2)'!H20</f>
        <v>127000</v>
      </c>
      <c r="F18" s="1112">
        <f>+'6.sz.m.fejlesztés (2)'!G20-'6.sz.m.fejlesztés (2)'!H20</f>
        <v>5000000</v>
      </c>
      <c r="G18" s="1112"/>
      <c r="H18" s="1113"/>
      <c r="I18" s="1114">
        <f>SUM(D18:H18)</f>
        <v>5127000</v>
      </c>
      <c r="J18" s="1493"/>
    </row>
    <row r="19" spans="1:10" ht="19.5" customHeight="1" thickBot="1">
      <c r="A19" s="1116" t="s">
        <v>233</v>
      </c>
      <c r="B19" s="1116" t="s">
        <v>458</v>
      </c>
      <c r="C19" s="1102"/>
      <c r="D19" s="1103">
        <f>+D21</f>
        <v>0</v>
      </c>
      <c r="E19" s="1104">
        <f>+E20+E21</f>
        <v>1150789</v>
      </c>
      <c r="F19" s="1104">
        <f>+F20+F21</f>
        <v>5459211</v>
      </c>
      <c r="G19" s="1104">
        <f>+G20+G21</f>
        <v>0</v>
      </c>
      <c r="H19" s="1106">
        <f>+H21</f>
        <v>0</v>
      </c>
      <c r="I19" s="1107">
        <f t="shared" si="0"/>
        <v>6610000</v>
      </c>
      <c r="J19" s="1493"/>
    </row>
    <row r="20" spans="1:10" ht="34.5" customHeight="1">
      <c r="A20" s="1117" t="s">
        <v>234</v>
      </c>
      <c r="B20" s="1108" t="s">
        <v>469</v>
      </c>
      <c r="C20" s="1118" t="s">
        <v>516</v>
      </c>
      <c r="D20" s="1120">
        <f>2320000-1970000</f>
        <v>350000</v>
      </c>
      <c r="E20" s="1121">
        <v>1150789</v>
      </c>
      <c r="F20" s="1121">
        <f>6960000-E20-D20</f>
        <v>5459211</v>
      </c>
      <c r="G20" s="1121"/>
      <c r="H20" s="1122"/>
      <c r="I20" s="1130">
        <f>SUM(D20:H20)</f>
        <v>6960000</v>
      </c>
      <c r="J20" s="1493"/>
    </row>
    <row r="21" spans="1:10" ht="20.25" customHeight="1" thickBot="1">
      <c r="A21" s="1117" t="s">
        <v>236</v>
      </c>
      <c r="B21" s="1108" t="s">
        <v>454</v>
      </c>
      <c r="C21" s="1123"/>
      <c r="D21" s="1124"/>
      <c r="E21" s="1125"/>
      <c r="F21" s="1126"/>
      <c r="G21" s="1126"/>
      <c r="H21" s="1127"/>
      <c r="I21" s="1128">
        <f t="shared" si="0"/>
        <v>0</v>
      </c>
      <c r="J21" s="1493"/>
    </row>
    <row r="22" spans="1:10" ht="19.5" customHeight="1" thickBot="1">
      <c r="A22" s="1494" t="s">
        <v>238</v>
      </c>
      <c r="B22" s="1495"/>
      <c r="C22" s="1129"/>
      <c r="D22" s="1103">
        <f aca="true" t="shared" si="1" ref="D22:I22">+D6+D9+D12+D16+D19</f>
        <v>0</v>
      </c>
      <c r="E22" s="1104">
        <f>+E6+E9+E12+E16+E19</f>
        <v>38505833</v>
      </c>
      <c r="F22" s="1104">
        <f>+F6+F9+F12+F16+F19</f>
        <v>18919540</v>
      </c>
      <c r="G22" s="1104">
        <f>+G6+G9+G12+G16+G19</f>
        <v>0</v>
      </c>
      <c r="H22" s="1106">
        <f t="shared" si="1"/>
        <v>0</v>
      </c>
      <c r="I22" s="1107">
        <f t="shared" si="1"/>
        <v>57425373</v>
      </c>
      <c r="J22" s="1493"/>
    </row>
  </sheetData>
  <sheetProtection/>
  <mergeCells count="9">
    <mergeCell ref="J7:J22"/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0" customWidth="1"/>
    <col min="2" max="2" width="8.28125" style="374" customWidth="1"/>
    <col min="3" max="3" width="52.00390625" style="374" customWidth="1"/>
    <col min="4" max="6" width="8.28125" style="374" bestFit="1" customWidth="1"/>
    <col min="7" max="7" width="7.421875" style="374" bestFit="1" customWidth="1"/>
    <col min="8" max="8" width="8.421875" style="374" bestFit="1" customWidth="1"/>
    <col min="9" max="9" width="8.8515625" style="374" hidden="1" customWidth="1"/>
    <col min="10" max="12" width="8.28125" style="374" bestFit="1" customWidth="1"/>
    <col min="13" max="13" width="7.421875" style="374" bestFit="1" customWidth="1"/>
    <col min="14" max="14" width="8.421875" style="374" bestFit="1" customWidth="1"/>
    <col min="15" max="15" width="8.8515625" style="374" hidden="1" customWidth="1"/>
    <col min="16" max="16" width="12.421875" style="374" bestFit="1" customWidth="1"/>
    <col min="17" max="17" width="4.57421875" style="374" hidden="1" customWidth="1"/>
    <col min="18" max="18" width="0" style="374" hidden="1" customWidth="1"/>
    <col min="19" max="19" width="10.00390625" style="374" hidden="1" customWidth="1"/>
    <col min="20" max="20" width="0" style="374" hidden="1" customWidth="1"/>
    <col min="21" max="16384" width="9.140625" style="374" customWidth="1"/>
  </cols>
  <sheetData>
    <row r="1" spans="1:16" s="178" customFormat="1" ht="21" customHeight="1" hidden="1">
      <c r="A1" s="174"/>
      <c r="B1" s="175"/>
      <c r="C1" s="176"/>
      <c r="D1" s="177"/>
      <c r="E1" s="177"/>
      <c r="F1" s="177"/>
      <c r="G1" s="177"/>
      <c r="H1" s="177"/>
      <c r="I1" s="177"/>
      <c r="J1" s="1509"/>
      <c r="K1" s="1509"/>
      <c r="L1" s="1509"/>
      <c r="M1" s="1509"/>
      <c r="N1" s="1509"/>
      <c r="O1" s="1509"/>
      <c r="P1" s="1509"/>
    </row>
    <row r="2" spans="1:16" s="181" customFormat="1" ht="25.5" customHeight="1" hidden="1" thickBot="1">
      <c r="A2" s="1508"/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</row>
    <row r="3" spans="1:20" s="184" customFormat="1" ht="40.5" customHeight="1" hidden="1" thickBot="1">
      <c r="A3" s="182"/>
      <c r="B3" s="182"/>
      <c r="C3" s="182"/>
      <c r="D3" s="1514"/>
      <c r="E3" s="1515"/>
      <c r="F3" s="1515"/>
      <c r="G3" s="1515"/>
      <c r="H3" s="1515"/>
      <c r="I3" s="1516"/>
      <c r="J3" s="1514"/>
      <c r="K3" s="1515"/>
      <c r="L3" s="1515"/>
      <c r="M3" s="1515"/>
      <c r="N3" s="1515"/>
      <c r="O3" s="1516"/>
      <c r="P3" s="1511"/>
      <c r="Q3" s="1512"/>
      <c r="R3" s="1512"/>
      <c r="S3" s="1513"/>
      <c r="T3" s="651"/>
    </row>
    <row r="4" spans="1:19" ht="13.5" hidden="1" thickBot="1">
      <c r="A4" s="1506"/>
      <c r="B4" s="1507"/>
      <c r="C4" s="629"/>
      <c r="D4" s="618"/>
      <c r="E4" s="185"/>
      <c r="F4" s="185"/>
      <c r="G4" s="185"/>
      <c r="H4" s="185"/>
      <c r="I4" s="586"/>
      <c r="J4" s="618"/>
      <c r="K4" s="185"/>
      <c r="L4" s="185"/>
      <c r="M4" s="185"/>
      <c r="N4" s="185"/>
      <c r="O4" s="586"/>
      <c r="P4" s="618"/>
      <c r="Q4" s="185"/>
      <c r="R4" s="185"/>
      <c r="S4" s="586"/>
    </row>
    <row r="5" spans="1:19" s="190" customFormat="1" ht="12.75" customHeight="1" hidden="1" thickBot="1">
      <c r="A5" s="187"/>
      <c r="B5" s="188"/>
      <c r="C5" s="353"/>
      <c r="D5" s="187"/>
      <c r="E5" s="188"/>
      <c r="F5" s="188"/>
      <c r="G5" s="188"/>
      <c r="H5" s="188"/>
      <c r="I5" s="189"/>
      <c r="J5" s="187"/>
      <c r="K5" s="188"/>
      <c r="L5" s="188"/>
      <c r="M5" s="188"/>
      <c r="N5" s="188"/>
      <c r="O5" s="189"/>
      <c r="P5" s="187"/>
      <c r="Q5" s="188"/>
      <c r="R5" s="188"/>
      <c r="S5" s="189"/>
    </row>
    <row r="6" spans="1:19" s="190" customFormat="1" ht="15.75" customHeight="1" hidden="1" thickBot="1">
      <c r="A6" s="191"/>
      <c r="B6" s="192"/>
      <c r="C6" s="192"/>
      <c r="D6" s="594"/>
      <c r="E6" s="258"/>
      <c r="F6" s="258"/>
      <c r="G6" s="258"/>
      <c r="H6" s="258"/>
      <c r="I6" s="330"/>
      <c r="J6" s="594"/>
      <c r="K6" s="258"/>
      <c r="L6" s="258"/>
      <c r="M6" s="258"/>
      <c r="N6" s="258"/>
      <c r="O6" s="330"/>
      <c r="P6" s="594"/>
      <c r="Q6" s="258"/>
      <c r="R6" s="258"/>
      <c r="S6" s="330"/>
    </row>
    <row r="7" spans="1:19" s="196" customFormat="1" ht="12" customHeight="1" hidden="1" thickBot="1">
      <c r="A7" s="187"/>
      <c r="B7" s="193"/>
      <c r="C7" s="630"/>
      <c r="D7" s="595"/>
      <c r="E7" s="259"/>
      <c r="F7" s="259"/>
      <c r="G7" s="259"/>
      <c r="H7" s="660"/>
      <c r="I7" s="485"/>
      <c r="J7" s="595"/>
      <c r="K7" s="259"/>
      <c r="L7" s="259"/>
      <c r="M7" s="259"/>
      <c r="N7" s="660"/>
      <c r="O7" s="485"/>
      <c r="P7" s="595"/>
      <c r="Q7" s="259"/>
      <c r="R7" s="259"/>
      <c r="S7" s="195"/>
    </row>
    <row r="8" spans="1:19" s="196" customFormat="1" ht="12" customHeight="1" hidden="1" thickBot="1">
      <c r="A8" s="187"/>
      <c r="B8" s="193"/>
      <c r="C8" s="630"/>
      <c r="D8" s="595"/>
      <c r="E8" s="259"/>
      <c r="F8" s="259"/>
      <c r="G8" s="259"/>
      <c r="H8" s="660"/>
      <c r="I8" s="485"/>
      <c r="J8" s="595"/>
      <c r="K8" s="259"/>
      <c r="L8" s="259"/>
      <c r="M8" s="259"/>
      <c r="N8" s="660"/>
      <c r="O8" s="485"/>
      <c r="P8" s="595"/>
      <c r="Q8" s="259"/>
      <c r="R8" s="259"/>
      <c r="S8" s="195"/>
    </row>
    <row r="9" spans="1:19" s="202" customFormat="1" ht="12" customHeight="1" hidden="1">
      <c r="A9" s="199"/>
      <c r="B9" s="198"/>
      <c r="C9" s="607"/>
      <c r="D9" s="597"/>
      <c r="E9" s="260"/>
      <c r="F9" s="260"/>
      <c r="G9" s="260"/>
      <c r="H9" s="661"/>
      <c r="I9" s="617"/>
      <c r="J9" s="597"/>
      <c r="K9" s="260"/>
      <c r="L9" s="260"/>
      <c r="M9" s="260"/>
      <c r="N9" s="661"/>
      <c r="O9" s="617"/>
      <c r="P9" s="597"/>
      <c r="Q9" s="260"/>
      <c r="R9" s="260"/>
      <c r="S9" s="201"/>
    </row>
    <row r="10" spans="1:19" s="202" customFormat="1" ht="12" customHeight="1" hidden="1">
      <c r="A10" s="199"/>
      <c r="B10" s="198"/>
      <c r="C10" s="608"/>
      <c r="D10" s="597"/>
      <c r="E10" s="260"/>
      <c r="F10" s="260"/>
      <c r="G10" s="260"/>
      <c r="H10" s="661"/>
      <c r="I10" s="646"/>
      <c r="J10" s="597"/>
      <c r="K10" s="260"/>
      <c r="L10" s="260"/>
      <c r="M10" s="260"/>
      <c r="N10" s="661"/>
      <c r="O10" s="646"/>
      <c r="P10" s="597"/>
      <c r="Q10" s="260"/>
      <c r="R10" s="260"/>
      <c r="S10" s="201"/>
    </row>
    <row r="11" spans="1:19" s="202" customFormat="1" ht="12" customHeight="1" hidden="1">
      <c r="A11" s="199"/>
      <c r="B11" s="198"/>
      <c r="C11" s="608"/>
      <c r="D11" s="597"/>
      <c r="E11" s="260"/>
      <c r="F11" s="260"/>
      <c r="G11" s="260"/>
      <c r="H11" s="661"/>
      <c r="I11" s="646"/>
      <c r="J11" s="597"/>
      <c r="K11" s="260"/>
      <c r="L11" s="260"/>
      <c r="M11" s="260"/>
      <c r="N11" s="661"/>
      <c r="O11" s="646"/>
      <c r="P11" s="597"/>
      <c r="Q11" s="260"/>
      <c r="R11" s="260"/>
      <c r="S11" s="201"/>
    </row>
    <row r="12" spans="1:19" s="202" customFormat="1" ht="12" customHeight="1" hidden="1" thickBot="1">
      <c r="A12" s="199"/>
      <c r="B12" s="198"/>
      <c r="C12" s="608"/>
      <c r="D12" s="597"/>
      <c r="E12" s="260"/>
      <c r="F12" s="260"/>
      <c r="G12" s="260"/>
      <c r="H12" s="661"/>
      <c r="I12" s="652"/>
      <c r="J12" s="597"/>
      <c r="K12" s="260"/>
      <c r="L12" s="260"/>
      <c r="M12" s="260"/>
      <c r="N12" s="661"/>
      <c r="O12" s="652"/>
      <c r="P12" s="597"/>
      <c r="Q12" s="260"/>
      <c r="R12" s="260"/>
      <c r="S12" s="201"/>
    </row>
    <row r="13" spans="1:19" s="202" customFormat="1" ht="12" customHeight="1" hidden="1" thickBot="1">
      <c r="A13" s="207"/>
      <c r="B13" s="208"/>
      <c r="C13" s="606"/>
      <c r="D13" s="595"/>
      <c r="E13" s="259"/>
      <c r="F13" s="259"/>
      <c r="G13" s="259"/>
      <c r="H13" s="660"/>
      <c r="I13" s="485"/>
      <c r="J13" s="595"/>
      <c r="K13" s="259"/>
      <c r="L13" s="259"/>
      <c r="M13" s="259"/>
      <c r="N13" s="660"/>
      <c r="O13" s="485"/>
      <c r="P13" s="595"/>
      <c r="Q13" s="259"/>
      <c r="R13" s="259"/>
      <c r="S13" s="195"/>
    </row>
    <row r="14" spans="1:19" s="196" customFormat="1" ht="12" customHeight="1" hidden="1">
      <c r="A14" s="209"/>
      <c r="B14" s="210"/>
      <c r="C14" s="631"/>
      <c r="D14" s="598"/>
      <c r="E14" s="261"/>
      <c r="F14" s="261"/>
      <c r="G14" s="261"/>
      <c r="H14" s="662"/>
      <c r="I14" s="617"/>
      <c r="J14" s="598"/>
      <c r="K14" s="261"/>
      <c r="L14" s="261"/>
      <c r="M14" s="261"/>
      <c r="N14" s="662"/>
      <c r="O14" s="617"/>
      <c r="P14" s="598"/>
      <c r="Q14" s="261"/>
      <c r="R14" s="261"/>
      <c r="S14" s="212"/>
    </row>
    <row r="15" spans="1:19" s="196" customFormat="1" ht="12" customHeight="1" hidden="1" thickBot="1">
      <c r="A15" s="213"/>
      <c r="B15" s="214"/>
      <c r="C15" s="632"/>
      <c r="D15" s="599"/>
      <c r="E15" s="262"/>
      <c r="F15" s="262"/>
      <c r="G15" s="262"/>
      <c r="H15" s="663"/>
      <c r="I15" s="652"/>
      <c r="J15" s="599"/>
      <c r="K15" s="262"/>
      <c r="L15" s="262"/>
      <c r="M15" s="262"/>
      <c r="N15" s="663"/>
      <c r="O15" s="652"/>
      <c r="P15" s="599"/>
      <c r="Q15" s="262"/>
      <c r="R15" s="262"/>
      <c r="S15" s="216"/>
    </row>
    <row r="16" spans="1:19" s="196" customFormat="1" ht="12" customHeight="1" hidden="1" thickBot="1">
      <c r="A16" s="207"/>
      <c r="B16" s="193"/>
      <c r="C16" s="606"/>
      <c r="D16" s="600"/>
      <c r="E16" s="263"/>
      <c r="F16" s="263"/>
      <c r="G16" s="263"/>
      <c r="H16" s="664"/>
      <c r="I16" s="485"/>
      <c r="J16" s="600"/>
      <c r="K16" s="263"/>
      <c r="L16" s="263"/>
      <c r="M16" s="263"/>
      <c r="N16" s="664"/>
      <c r="O16" s="485"/>
      <c r="P16" s="600"/>
      <c r="Q16" s="263"/>
      <c r="R16" s="263"/>
      <c r="S16" s="217"/>
    </row>
    <row r="17" spans="1:19" s="196" customFormat="1" ht="12" customHeight="1" hidden="1" thickBot="1">
      <c r="A17" s="187"/>
      <c r="B17" s="218"/>
      <c r="C17" s="606"/>
      <c r="D17" s="595"/>
      <c r="E17" s="259"/>
      <c r="F17" s="259"/>
      <c r="G17" s="259"/>
      <c r="H17" s="660"/>
      <c r="I17" s="485"/>
      <c r="J17" s="595"/>
      <c r="K17" s="259"/>
      <c r="L17" s="259"/>
      <c r="M17" s="259"/>
      <c r="N17" s="660"/>
      <c r="O17" s="485"/>
      <c r="P17" s="595"/>
      <c r="Q17" s="259"/>
      <c r="R17" s="259"/>
      <c r="S17" s="195"/>
    </row>
    <row r="18" spans="1:19" s="202" customFormat="1" ht="12" customHeight="1" hidden="1" thickBot="1">
      <c r="A18" s="219"/>
      <c r="B18" s="220"/>
      <c r="C18" s="633"/>
      <c r="D18" s="601"/>
      <c r="E18" s="264"/>
      <c r="F18" s="264"/>
      <c r="G18" s="264"/>
      <c r="H18" s="665"/>
      <c r="I18" s="485"/>
      <c r="J18" s="601"/>
      <c r="K18" s="264"/>
      <c r="L18" s="264"/>
      <c r="M18" s="264"/>
      <c r="N18" s="665"/>
      <c r="O18" s="485"/>
      <c r="P18" s="595"/>
      <c r="Q18" s="259"/>
      <c r="R18" s="259"/>
      <c r="S18" s="195"/>
    </row>
    <row r="19" spans="1:19" s="202" customFormat="1" ht="15" customHeight="1" hidden="1">
      <c r="A19" s="197"/>
      <c r="B19" s="222"/>
      <c r="C19" s="631"/>
      <c r="D19" s="598"/>
      <c r="E19" s="261"/>
      <c r="F19" s="261"/>
      <c r="G19" s="261"/>
      <c r="H19" s="662"/>
      <c r="I19" s="617"/>
      <c r="J19" s="598"/>
      <c r="K19" s="261"/>
      <c r="L19" s="261"/>
      <c r="M19" s="261"/>
      <c r="N19" s="662"/>
      <c r="O19" s="617"/>
      <c r="P19" s="604"/>
      <c r="Q19" s="605"/>
      <c r="R19" s="605"/>
      <c r="S19" s="327"/>
    </row>
    <row r="20" spans="1:19" s="202" customFormat="1" ht="15" customHeight="1" hidden="1" thickBot="1">
      <c r="A20" s="223"/>
      <c r="B20" s="224"/>
      <c r="C20" s="634"/>
      <c r="D20" s="602"/>
      <c r="E20" s="265"/>
      <c r="F20" s="265"/>
      <c r="G20" s="265"/>
      <c r="H20" s="666"/>
      <c r="I20" s="652"/>
      <c r="J20" s="602"/>
      <c r="K20" s="265"/>
      <c r="L20" s="265"/>
      <c r="M20" s="265"/>
      <c r="N20" s="666"/>
      <c r="O20" s="652"/>
      <c r="P20" s="602"/>
      <c r="Q20" s="265"/>
      <c r="R20" s="265"/>
      <c r="S20" s="226"/>
    </row>
    <row r="21" spans="1:19" ht="13.5" hidden="1" thickBot="1">
      <c r="A21" s="227"/>
      <c r="B21" s="375"/>
      <c r="C21" s="610"/>
      <c r="D21" s="600"/>
      <c r="E21" s="263"/>
      <c r="F21" s="263"/>
      <c r="G21" s="263"/>
      <c r="H21" s="664"/>
      <c r="I21" s="485"/>
      <c r="J21" s="600"/>
      <c r="K21" s="263"/>
      <c r="L21" s="263"/>
      <c r="M21" s="263"/>
      <c r="N21" s="664"/>
      <c r="O21" s="485"/>
      <c r="P21" s="600"/>
      <c r="Q21" s="263"/>
      <c r="R21" s="263"/>
      <c r="S21" s="217"/>
    </row>
    <row r="22" spans="1:19" s="190" customFormat="1" ht="16.5" customHeight="1" hidden="1" thickBot="1">
      <c r="A22" s="227"/>
      <c r="B22" s="376"/>
      <c r="C22" s="635"/>
      <c r="D22" s="603"/>
      <c r="E22" s="266"/>
      <c r="F22" s="266"/>
      <c r="G22" s="266"/>
      <c r="H22" s="667"/>
      <c r="I22" s="485"/>
      <c r="J22" s="603"/>
      <c r="K22" s="266"/>
      <c r="L22" s="266"/>
      <c r="M22" s="266"/>
      <c r="N22" s="667"/>
      <c r="O22" s="485"/>
      <c r="P22" s="603"/>
      <c r="Q22" s="266"/>
      <c r="R22" s="266"/>
      <c r="S22" s="250"/>
    </row>
    <row r="23" spans="1:19" s="236" customFormat="1" ht="12" customHeight="1" hidden="1">
      <c r="A23" s="233"/>
      <c r="B23" s="233"/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</row>
    <row r="24" spans="1:18" ht="12" customHeight="1" hidden="1" thickBot="1">
      <c r="A24" s="237"/>
      <c r="B24" s="238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</row>
    <row r="25" spans="1:19" ht="12" customHeight="1" hidden="1" thickBot="1">
      <c r="A25" s="240"/>
      <c r="B25" s="241"/>
      <c r="C25" s="242"/>
      <c r="D25" s="257"/>
      <c r="E25" s="257"/>
      <c r="F25" s="257"/>
      <c r="G25" s="257"/>
      <c r="H25" s="257"/>
      <c r="I25" s="257"/>
      <c r="J25" s="266"/>
      <c r="K25" s="266"/>
      <c r="L25" s="257"/>
      <c r="M25" s="257"/>
      <c r="N25" s="257"/>
      <c r="O25" s="257"/>
      <c r="P25" s="232"/>
      <c r="Q25" s="232"/>
      <c r="R25" s="232"/>
      <c r="S25" s="232"/>
    </row>
    <row r="26" spans="1:19" ht="12" customHeight="1" hidden="1" thickBot="1">
      <c r="A26" s="207"/>
      <c r="B26" s="243"/>
      <c r="C26" s="606"/>
      <c r="D26" s="595"/>
      <c r="E26" s="259"/>
      <c r="F26" s="259"/>
      <c r="G26" s="259"/>
      <c r="H26" s="668"/>
      <c r="I26" s="591"/>
      <c r="J26" s="595"/>
      <c r="K26" s="259"/>
      <c r="L26" s="259"/>
      <c r="M26" s="259"/>
      <c r="N26" s="668"/>
      <c r="O26" s="591"/>
      <c r="P26" s="653"/>
      <c r="Q26" s="587"/>
      <c r="R26" s="195"/>
      <c r="S26" s="195"/>
    </row>
    <row r="27" spans="1:19" ht="12" customHeight="1" hidden="1">
      <c r="A27" s="244"/>
      <c r="B27" s="245"/>
      <c r="C27" s="607"/>
      <c r="D27" s="613"/>
      <c r="E27" s="268"/>
      <c r="F27" s="268"/>
      <c r="G27" s="268"/>
      <c r="H27" s="669"/>
      <c r="I27" s="592"/>
      <c r="J27" s="613"/>
      <c r="K27" s="268"/>
      <c r="L27" s="268"/>
      <c r="M27" s="268"/>
      <c r="N27" s="669"/>
      <c r="O27" s="592"/>
      <c r="P27" s="654"/>
      <c r="Q27" s="621"/>
      <c r="R27" s="201"/>
      <c r="S27" s="201"/>
    </row>
    <row r="28" spans="1:19" ht="12" customHeight="1" hidden="1">
      <c r="A28" s="246"/>
      <c r="B28" s="247"/>
      <c r="C28" s="608"/>
      <c r="D28" s="615"/>
      <c r="E28" s="269"/>
      <c r="F28" s="269"/>
      <c r="G28" s="269"/>
      <c r="H28" s="670"/>
      <c r="I28" s="642"/>
      <c r="J28" s="615"/>
      <c r="K28" s="269"/>
      <c r="L28" s="269"/>
      <c r="M28" s="269"/>
      <c r="N28" s="670"/>
      <c r="O28" s="642"/>
      <c r="P28" s="654"/>
      <c r="Q28" s="621"/>
      <c r="R28" s="201"/>
      <c r="S28" s="201"/>
    </row>
    <row r="29" spans="1:19" ht="12" customHeight="1" hidden="1">
      <c r="A29" s="246"/>
      <c r="B29" s="247"/>
      <c r="C29" s="608"/>
      <c r="D29" s="615"/>
      <c r="E29" s="269"/>
      <c r="F29" s="269"/>
      <c r="G29" s="269"/>
      <c r="H29" s="670"/>
      <c r="I29" s="642"/>
      <c r="J29" s="615"/>
      <c r="K29" s="269"/>
      <c r="L29" s="269"/>
      <c r="M29" s="269"/>
      <c r="N29" s="670"/>
      <c r="O29" s="642"/>
      <c r="P29" s="654"/>
      <c r="Q29" s="621"/>
      <c r="R29" s="201"/>
      <c r="S29" s="201"/>
    </row>
    <row r="30" spans="1:19" s="236" customFormat="1" ht="12" customHeight="1" hidden="1">
      <c r="A30" s="246"/>
      <c r="B30" s="247"/>
      <c r="C30" s="608"/>
      <c r="D30" s="615"/>
      <c r="E30" s="269"/>
      <c r="F30" s="269"/>
      <c r="G30" s="269"/>
      <c r="H30" s="670"/>
      <c r="I30" s="643"/>
      <c r="J30" s="615"/>
      <c r="K30" s="269"/>
      <c r="L30" s="269"/>
      <c r="M30" s="269"/>
      <c r="N30" s="670"/>
      <c r="O30" s="643"/>
      <c r="P30" s="654"/>
      <c r="Q30" s="621"/>
      <c r="R30" s="201"/>
      <c r="S30" s="201"/>
    </row>
    <row r="31" spans="1:19" ht="12" customHeight="1" hidden="1" thickBot="1">
      <c r="A31" s="246"/>
      <c r="B31" s="247"/>
      <c r="C31" s="608"/>
      <c r="D31" s="615"/>
      <c r="E31" s="269"/>
      <c r="F31" s="269"/>
      <c r="G31" s="269"/>
      <c r="H31" s="670"/>
      <c r="I31" s="644"/>
      <c r="J31" s="615"/>
      <c r="K31" s="269"/>
      <c r="L31" s="269"/>
      <c r="M31" s="269"/>
      <c r="N31" s="670"/>
      <c r="O31" s="644"/>
      <c r="P31" s="655"/>
      <c r="Q31" s="622"/>
      <c r="R31" s="248"/>
      <c r="S31" s="248"/>
    </row>
    <row r="32" spans="1:19" ht="12" customHeight="1" hidden="1" thickBot="1">
      <c r="A32" s="207"/>
      <c r="B32" s="243"/>
      <c r="C32" s="606"/>
      <c r="D32" s="595"/>
      <c r="E32" s="259"/>
      <c r="F32" s="259"/>
      <c r="G32" s="259"/>
      <c r="H32" s="668"/>
      <c r="I32" s="593"/>
      <c r="J32" s="595"/>
      <c r="K32" s="259"/>
      <c r="L32" s="259"/>
      <c r="M32" s="259"/>
      <c r="N32" s="668"/>
      <c r="O32" s="593"/>
      <c r="P32" s="653"/>
      <c r="Q32" s="587"/>
      <c r="R32" s="195"/>
      <c r="S32" s="195"/>
    </row>
    <row r="33" spans="1:19" ht="12" customHeight="1" hidden="1">
      <c r="A33" s="244"/>
      <c r="B33" s="245"/>
      <c r="C33" s="607"/>
      <c r="D33" s="613"/>
      <c r="E33" s="268"/>
      <c r="F33" s="268"/>
      <c r="G33" s="268"/>
      <c r="H33" s="669"/>
      <c r="I33" s="643"/>
      <c r="J33" s="613"/>
      <c r="K33" s="268"/>
      <c r="L33" s="268"/>
      <c r="M33" s="268"/>
      <c r="N33" s="669"/>
      <c r="O33" s="643"/>
      <c r="P33" s="654"/>
      <c r="Q33" s="621"/>
      <c r="R33" s="201"/>
      <c r="S33" s="201"/>
    </row>
    <row r="34" spans="1:19" ht="12" customHeight="1" hidden="1">
      <c r="A34" s="246"/>
      <c r="B34" s="247"/>
      <c r="C34" s="608"/>
      <c r="D34" s="615"/>
      <c r="E34" s="269"/>
      <c r="F34" s="269"/>
      <c r="G34" s="269"/>
      <c r="H34" s="670"/>
      <c r="I34" s="644"/>
      <c r="J34" s="615"/>
      <c r="K34" s="269"/>
      <c r="L34" s="269"/>
      <c r="M34" s="269"/>
      <c r="N34" s="670"/>
      <c r="O34" s="644"/>
      <c r="P34" s="655"/>
      <c r="Q34" s="622"/>
      <c r="R34" s="248"/>
      <c r="S34" s="248"/>
    </row>
    <row r="35" spans="1:19" ht="15" customHeight="1" hidden="1">
      <c r="A35" s="246"/>
      <c r="B35" s="247"/>
      <c r="C35" s="608"/>
      <c r="D35" s="615"/>
      <c r="E35" s="269"/>
      <c r="F35" s="269"/>
      <c r="G35" s="269"/>
      <c r="H35" s="670"/>
      <c r="I35" s="644"/>
      <c r="J35" s="615"/>
      <c r="K35" s="269"/>
      <c r="L35" s="269"/>
      <c r="M35" s="269"/>
      <c r="N35" s="670"/>
      <c r="O35" s="644"/>
      <c r="P35" s="655"/>
      <c r="Q35" s="622"/>
      <c r="R35" s="248"/>
      <c r="S35" s="248"/>
    </row>
    <row r="36" spans="1:19" ht="13.5" hidden="1" thickBot="1">
      <c r="A36" s="246"/>
      <c r="B36" s="247"/>
      <c r="C36" s="608"/>
      <c r="D36" s="615"/>
      <c r="E36" s="269"/>
      <c r="F36" s="269"/>
      <c r="G36" s="269"/>
      <c r="H36" s="670"/>
      <c r="I36" s="644"/>
      <c r="J36" s="615"/>
      <c r="K36" s="269"/>
      <c r="L36" s="269"/>
      <c r="M36" s="269"/>
      <c r="N36" s="670"/>
      <c r="O36" s="644"/>
      <c r="P36" s="655"/>
      <c r="Q36" s="622"/>
      <c r="R36" s="248"/>
      <c r="S36" s="248"/>
    </row>
    <row r="37" spans="1:19" ht="15" customHeight="1" hidden="1" thickBot="1">
      <c r="A37" s="207"/>
      <c r="B37" s="243"/>
      <c r="C37" s="609"/>
      <c r="D37" s="600"/>
      <c r="E37" s="263"/>
      <c r="F37" s="263"/>
      <c r="G37" s="263"/>
      <c r="H37" s="671"/>
      <c r="I37" s="591"/>
      <c r="J37" s="600"/>
      <c r="K37" s="263"/>
      <c r="L37" s="263"/>
      <c r="M37" s="263"/>
      <c r="N37" s="671"/>
      <c r="O37" s="591"/>
      <c r="P37" s="656"/>
      <c r="Q37" s="589"/>
      <c r="R37" s="217"/>
      <c r="S37" s="217"/>
    </row>
    <row r="38" spans="1:19" ht="14.25" customHeight="1" hidden="1" thickBot="1">
      <c r="A38" s="227"/>
      <c r="B38" s="375"/>
      <c r="C38" s="610"/>
      <c r="D38" s="600"/>
      <c r="E38" s="263"/>
      <c r="F38" s="263"/>
      <c r="G38" s="263"/>
      <c r="H38" s="671"/>
      <c r="I38" s="591"/>
      <c r="J38" s="600"/>
      <c r="K38" s="263"/>
      <c r="L38" s="263"/>
      <c r="M38" s="263"/>
      <c r="N38" s="671"/>
      <c r="O38" s="591"/>
      <c r="P38" s="656"/>
      <c r="Q38" s="589"/>
      <c r="R38" s="217"/>
      <c r="S38" s="217"/>
    </row>
    <row r="39" spans="1:19" ht="13.5" hidden="1" thickBot="1">
      <c r="A39" s="207"/>
      <c r="B39" s="249"/>
      <c r="C39" s="611"/>
      <c r="D39" s="603"/>
      <c r="E39" s="266"/>
      <c r="F39" s="266"/>
      <c r="G39" s="266"/>
      <c r="H39" s="672"/>
      <c r="I39" s="591"/>
      <c r="J39" s="603"/>
      <c r="K39" s="266"/>
      <c r="L39" s="266"/>
      <c r="M39" s="266"/>
      <c r="N39" s="672"/>
      <c r="O39" s="591"/>
      <c r="P39" s="657"/>
      <c r="Q39" s="232"/>
      <c r="R39" s="250"/>
      <c r="S39" s="250"/>
    </row>
    <row r="40" spans="1:19" ht="13.5" hidden="1" thickBot="1">
      <c r="A40" s="377"/>
      <c r="B40" s="378"/>
      <c r="C40" s="378"/>
      <c r="D40" s="648"/>
      <c r="E40" s="649"/>
      <c r="F40" s="649"/>
      <c r="G40" s="649"/>
      <c r="H40" s="673"/>
      <c r="I40" s="379"/>
      <c r="J40" s="648"/>
      <c r="K40" s="649"/>
      <c r="L40" s="649"/>
      <c r="M40" s="649"/>
      <c r="N40" s="673"/>
      <c r="O40" s="379"/>
      <c r="P40" s="658"/>
      <c r="Q40" s="379"/>
      <c r="R40" s="379"/>
      <c r="S40" s="379"/>
    </row>
    <row r="41" spans="1:19" ht="13.5" hidden="1" thickBot="1">
      <c r="A41" s="254"/>
      <c r="B41" s="255"/>
      <c r="C41" s="612"/>
      <c r="D41" s="628"/>
      <c r="E41" s="272"/>
      <c r="F41" s="272"/>
      <c r="G41" s="272"/>
      <c r="H41" s="674"/>
      <c r="I41" s="591"/>
      <c r="J41" s="628"/>
      <c r="K41" s="272"/>
      <c r="L41" s="272"/>
      <c r="M41" s="272"/>
      <c r="N41" s="674"/>
      <c r="O41" s="591"/>
      <c r="P41" s="659"/>
      <c r="Q41" s="271"/>
      <c r="R41" s="271"/>
      <c r="S41" s="271"/>
    </row>
    <row r="42" spans="1:19" ht="13.5" hidden="1" thickBot="1">
      <c r="A42" s="254"/>
      <c r="B42" s="255"/>
      <c r="C42" s="612"/>
      <c r="D42" s="628"/>
      <c r="E42" s="272"/>
      <c r="F42" s="272"/>
      <c r="G42" s="272"/>
      <c r="H42" s="674"/>
      <c r="I42" s="591"/>
      <c r="J42" s="628"/>
      <c r="K42" s="272"/>
      <c r="L42" s="272"/>
      <c r="M42" s="272"/>
      <c r="N42" s="674"/>
      <c r="O42" s="591"/>
      <c r="P42" s="659"/>
      <c r="Q42" s="271"/>
      <c r="R42" s="271"/>
      <c r="S42" s="271"/>
    </row>
    <row r="43" ht="12.75" hidden="1"/>
    <row r="44" spans="1:9" ht="12.75" hidden="1">
      <c r="A44" s="1510"/>
      <c r="B44" s="1510"/>
      <c r="C44" s="1510"/>
      <c r="D44" s="1510"/>
      <c r="E44" s="352"/>
      <c r="F44" s="352"/>
      <c r="G44" s="352"/>
      <c r="H44" s="352"/>
      <c r="I44" s="352"/>
    </row>
    <row r="45" spans="1:9" ht="12.75" hidden="1">
      <c r="A45" s="1510"/>
      <c r="B45" s="1510"/>
      <c r="C45" s="1510"/>
      <c r="E45" s="381"/>
      <c r="F45" s="381"/>
      <c r="G45" s="381"/>
      <c r="H45" s="381"/>
      <c r="I45" s="381"/>
    </row>
    <row r="46" spans="4:9" ht="12.75" hidden="1">
      <c r="D46" s="381"/>
      <c r="E46" s="381"/>
      <c r="F46" s="381"/>
      <c r="G46" s="381"/>
      <c r="H46" s="381"/>
      <c r="I46" s="381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47">
      <selection activeCell="E52" activeCellId="1" sqref="E46 E52"/>
    </sheetView>
  </sheetViews>
  <sheetFormatPr defaultColWidth="9.140625" defaultRowHeight="12.75"/>
  <cols>
    <col min="1" max="1" width="2.8515625" style="151" customWidth="1"/>
    <col min="2" max="2" width="3.8515625" style="158" customWidth="1"/>
    <col min="3" max="3" width="5.28125" style="158" customWidth="1"/>
    <col min="4" max="4" width="74.57421875" style="159" customWidth="1"/>
    <col min="5" max="5" width="17.28125" style="1" bestFit="1" customWidth="1"/>
    <col min="6" max="7" width="14.8515625" style="1" customWidth="1"/>
    <col min="8" max="8" width="15.140625" style="1" customWidth="1"/>
    <col min="9" max="9" width="11.421875" style="1" hidden="1" customWidth="1"/>
    <col min="10" max="10" width="10.57421875" style="1" hidden="1" customWidth="1"/>
    <col min="11" max="11" width="17.28125" style="98" bestFit="1" customWidth="1"/>
    <col min="12" max="14" width="14.8515625" style="98" customWidth="1"/>
    <col min="15" max="15" width="11.421875" style="98" hidden="1" customWidth="1"/>
    <col min="16" max="16" width="10.57421875" style="98" hidden="1" customWidth="1"/>
    <col min="17" max="17" width="13.57421875" style="98" customWidth="1"/>
    <col min="18" max="18" width="14.00390625" style="98" customWidth="1"/>
    <col min="19" max="19" width="18.28125" style="98" customWidth="1"/>
    <col min="20" max="20" width="13.00390625" style="98" customWidth="1"/>
    <col min="21" max="21" width="11.421875" style="98" hidden="1" customWidth="1"/>
    <col min="22" max="22" width="10.57421875" style="98" hidden="1" customWidth="1"/>
    <col min="23" max="23" width="12.7109375" style="98" bestFit="1" customWidth="1"/>
    <col min="24" max="24" width="9.7109375" style="1" customWidth="1"/>
    <col min="25" max="26" width="10.57421875" style="1" customWidth="1"/>
    <col min="27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90" t="s">
        <v>7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  <c r="S1" s="1290"/>
      <c r="T1" s="1290"/>
      <c r="U1" s="1290"/>
      <c r="V1" s="1290"/>
      <c r="W1" s="1290"/>
    </row>
    <row r="2" spans="1:23" ht="14.25" customHeight="1" thickBot="1">
      <c r="A2" s="1292" t="s">
        <v>161</v>
      </c>
      <c r="B2" s="1292"/>
      <c r="C2" s="150"/>
      <c r="D2" s="160"/>
      <c r="W2" s="930" t="s">
        <v>387</v>
      </c>
    </row>
    <row r="3" spans="1:29" s="2" customFormat="1" ht="48.75" customHeight="1" thickBot="1">
      <c r="A3" s="1291" t="s">
        <v>3</v>
      </c>
      <c r="B3" s="1267"/>
      <c r="C3" s="1267"/>
      <c r="D3" s="1267"/>
      <c r="E3" s="558" t="s">
        <v>4</v>
      </c>
      <c r="F3" s="496"/>
      <c r="G3" s="496"/>
      <c r="H3" s="496"/>
      <c r="I3" s="496"/>
      <c r="J3" s="497"/>
      <c r="K3" s="558" t="s">
        <v>64</v>
      </c>
      <c r="L3" s="496"/>
      <c r="M3" s="496"/>
      <c r="N3" s="496"/>
      <c r="O3" s="496"/>
      <c r="P3" s="497"/>
      <c r="Q3" s="558" t="s">
        <v>65</v>
      </c>
      <c r="R3" s="496"/>
      <c r="S3" s="496"/>
      <c r="T3" s="496"/>
      <c r="U3" s="496"/>
      <c r="V3" s="497"/>
      <c r="W3" s="1291" t="s">
        <v>71</v>
      </c>
      <c r="X3" s="1267"/>
      <c r="Y3" s="1267"/>
      <c r="Z3" s="1267"/>
      <c r="AA3" s="1267"/>
      <c r="AB3" s="1267"/>
      <c r="AC3" s="1294"/>
    </row>
    <row r="4" spans="1:29" s="2" customFormat="1" ht="32.25" thickBot="1">
      <c r="A4" s="351"/>
      <c r="B4" s="349"/>
      <c r="C4" s="349"/>
      <c r="D4" s="349"/>
      <c r="E4" s="424" t="s">
        <v>70</v>
      </c>
      <c r="F4" s="425" t="s">
        <v>189</v>
      </c>
      <c r="G4" s="425" t="s">
        <v>193</v>
      </c>
      <c r="H4" s="425" t="s">
        <v>195</v>
      </c>
      <c r="I4" s="425" t="s">
        <v>211</v>
      </c>
      <c r="J4" s="426" t="s">
        <v>244</v>
      </c>
      <c r="K4" s="424" t="s">
        <v>70</v>
      </c>
      <c r="L4" s="425" t="s">
        <v>189</v>
      </c>
      <c r="M4" s="425" t="s">
        <v>193</v>
      </c>
      <c r="N4" s="425" t="s">
        <v>195</v>
      </c>
      <c r="O4" s="425" t="s">
        <v>211</v>
      </c>
      <c r="P4" s="426" t="s">
        <v>244</v>
      </c>
      <c r="Q4" s="424" t="s">
        <v>70</v>
      </c>
      <c r="R4" s="425" t="s">
        <v>189</v>
      </c>
      <c r="S4" s="425" t="s">
        <v>193</v>
      </c>
      <c r="T4" s="425" t="s">
        <v>195</v>
      </c>
      <c r="U4" s="425" t="s">
        <v>211</v>
      </c>
      <c r="V4" s="426" t="s">
        <v>244</v>
      </c>
      <c r="W4" s="424" t="s">
        <v>70</v>
      </c>
      <c r="X4" s="425" t="s">
        <v>189</v>
      </c>
      <c r="Y4" s="425" t="s">
        <v>193</v>
      </c>
      <c r="Z4" s="425" t="s">
        <v>195</v>
      </c>
      <c r="AA4" s="425" t="s">
        <v>211</v>
      </c>
      <c r="AB4" s="426" t="s">
        <v>244</v>
      </c>
      <c r="AC4" s="426" t="s">
        <v>244</v>
      </c>
    </row>
    <row r="5" spans="1:29" s="97" customFormat="1" ht="33" customHeight="1" thickBot="1">
      <c r="A5" s="143" t="s">
        <v>25</v>
      </c>
      <c r="B5" s="1293" t="s">
        <v>83</v>
      </c>
      <c r="C5" s="1293"/>
      <c r="D5" s="1293"/>
      <c r="E5" s="427">
        <f aca="true" t="shared" si="0" ref="E5:L5">SUM(E6:E10)</f>
        <v>23703150</v>
      </c>
      <c r="F5" s="339">
        <f t="shared" si="0"/>
        <v>23703150</v>
      </c>
      <c r="G5" s="339">
        <f t="shared" si="0"/>
        <v>24059137</v>
      </c>
      <c r="H5" s="339">
        <f>SUM(H6:H10)</f>
        <v>27061640</v>
      </c>
      <c r="I5" s="339">
        <f t="shared" si="0"/>
        <v>0</v>
      </c>
      <c r="J5" s="339">
        <f t="shared" si="0"/>
        <v>0</v>
      </c>
      <c r="K5" s="427">
        <f t="shared" si="0"/>
        <v>16710606</v>
      </c>
      <c r="L5" s="339">
        <f t="shared" si="0"/>
        <v>16710606</v>
      </c>
      <c r="M5" s="339">
        <f>SUM(M6:M10)</f>
        <v>17066593</v>
      </c>
      <c r="N5" s="339">
        <f>SUM(N6:N10)</f>
        <v>20256815</v>
      </c>
      <c r="O5" s="339">
        <f>SUM(O6:O10)</f>
        <v>-164825.9235362416</v>
      </c>
      <c r="P5" s="339">
        <f>SUM(P6:P10)</f>
        <v>-1334000</v>
      </c>
      <c r="Q5" s="427">
        <f aca="true" t="shared" si="1" ref="Q5:Z5">SUM(Q6:Q10)</f>
        <v>6992544</v>
      </c>
      <c r="R5" s="427">
        <f>SUM(R6:R10)</f>
        <v>6992544</v>
      </c>
      <c r="S5" s="427">
        <f>SUM(S6:S10)</f>
        <v>6992544</v>
      </c>
      <c r="T5" s="427">
        <f>SUM(T6:T10)</f>
        <v>6804825</v>
      </c>
      <c r="U5" s="339">
        <f>SUM(U6:U10)</f>
        <v>164825.9235362416</v>
      </c>
      <c r="V5" s="339">
        <f>SUM(V6:V10)</f>
        <v>1334000</v>
      </c>
      <c r="W5" s="427">
        <f t="shared" si="1"/>
        <v>0</v>
      </c>
      <c r="X5" s="339">
        <f t="shared" si="1"/>
        <v>0</v>
      </c>
      <c r="Y5" s="339">
        <f t="shared" si="1"/>
        <v>0</v>
      </c>
      <c r="Z5" s="339">
        <f t="shared" si="1"/>
        <v>0</v>
      </c>
      <c r="AA5" s="339">
        <f>SUM(AA6:AA10)</f>
        <v>0</v>
      </c>
      <c r="AB5" s="339">
        <f>SUM(AB6:AB10)</f>
        <v>0</v>
      </c>
      <c r="AC5" s="339">
        <f>SUM(AC6:AC10)</f>
        <v>0</v>
      </c>
    </row>
    <row r="6" spans="1:29" s="5" customFormat="1" ht="33" customHeight="1">
      <c r="A6" s="142"/>
      <c r="B6" s="147" t="s">
        <v>34</v>
      </c>
      <c r="C6" s="147"/>
      <c r="D6" s="417" t="s">
        <v>0</v>
      </c>
      <c r="E6" s="428">
        <f>'4.sz.m.ÖNK kiadás'!E7+'üres lap2'!D31+'üres lap3'!D30+'üres lap'!D27</f>
        <v>7987165</v>
      </c>
      <c r="F6" s="341">
        <f>'4.sz.m.ÖNK kiadás'!F7+'üres lap2'!E31+'üres lap3'!E30+'üres lap'!E27</f>
        <v>7987165</v>
      </c>
      <c r="G6" s="341">
        <f>'4.sz.m.ÖNK kiadás'!G7+'üres lap2'!F31+'üres lap3'!F30+'üres lap'!F27</f>
        <v>7987165</v>
      </c>
      <c r="H6" s="341">
        <f>'4.sz.m.ÖNK kiadás'!H7+'üres lap2'!G31+'üres lap3'!G30+'üres lap'!G27</f>
        <v>8368715</v>
      </c>
      <c r="I6" s="341">
        <f>'4.sz.m.ÖNK kiadás'!I7+'üres lap2'!H31+'üres lap3'!H30+'üres lap'!H27</f>
        <v>0</v>
      </c>
      <c r="J6" s="341">
        <f>'4.sz.m.ÖNK kiadás'!J7+'üres lap2'!I31+'üres lap3'!I30+'üres lap'!I27</f>
        <v>0</v>
      </c>
      <c r="K6" s="428">
        <f aca="true" t="shared" si="2" ref="K6:L13">E6-Q6</f>
        <v>7187165</v>
      </c>
      <c r="L6" s="341">
        <f t="shared" si="2"/>
        <v>7187165</v>
      </c>
      <c r="M6" s="341">
        <f aca="true" t="shared" si="3" ref="M6:M13">G6-S6</f>
        <v>7187165</v>
      </c>
      <c r="N6" s="341">
        <f aca="true" t="shared" si="4" ref="N6:N13">H6-T6</f>
        <v>7568715</v>
      </c>
      <c r="O6" s="341">
        <f aca="true" t="shared" si="5" ref="O6:O13">I6-U6</f>
        <v>0</v>
      </c>
      <c r="P6" s="341">
        <f aca="true" t="shared" si="6" ref="P6:P13">J6-V6</f>
        <v>0</v>
      </c>
      <c r="Q6" s="428">
        <f>'4.sz.m.ÖNK kiadás'!Q7</f>
        <v>800000</v>
      </c>
      <c r="R6" s="428">
        <f>'4.sz.m.ÖNK kiadás'!R7</f>
        <v>800000</v>
      </c>
      <c r="S6" s="428">
        <f>'4.sz.m.ÖNK kiadás'!S7</f>
        <v>800000</v>
      </c>
      <c r="T6" s="428">
        <f>'4.sz.m.ÖNK kiadás'!T7</f>
        <v>800000</v>
      </c>
      <c r="U6" s="341">
        <f>'4.sz.m.ÖNK kiadás'!U7</f>
        <v>0</v>
      </c>
      <c r="V6" s="341">
        <f>'4.sz.m.ÖNK kiadás'!V7</f>
        <v>0</v>
      </c>
      <c r="W6" s="428">
        <f>'üres lap2'!P31</f>
        <v>0</v>
      </c>
      <c r="X6" s="341">
        <f>'üres lap2'!Q31</f>
        <v>0</v>
      </c>
      <c r="Y6" s="341">
        <f>'üres lap2'!R31</f>
        <v>0</v>
      </c>
      <c r="Z6" s="341">
        <f>'üres lap2'!S31</f>
        <v>0</v>
      </c>
      <c r="AA6" s="341">
        <f>'üres lap2'!T31</f>
        <v>0</v>
      </c>
      <c r="AB6" s="341">
        <f>'üres lap2'!U31</f>
        <v>0</v>
      </c>
      <c r="AC6" s="341">
        <f>'üres lap2'!V31</f>
        <v>0</v>
      </c>
    </row>
    <row r="7" spans="1:29" s="5" customFormat="1" ht="33" customHeight="1">
      <c r="A7" s="125"/>
      <c r="B7" s="134" t="s">
        <v>35</v>
      </c>
      <c r="C7" s="134"/>
      <c r="D7" s="418" t="s">
        <v>84</v>
      </c>
      <c r="E7" s="428">
        <f>'4.sz.m.ÖNK kiadás'!E8+'üres lap2'!D32+'üres lap3'!D31+'üres lap'!D28</f>
        <v>1390555</v>
      </c>
      <c r="F7" s="341">
        <f>'4.sz.m.ÖNK kiadás'!F8+'üres lap2'!E32+'üres lap3'!E31+'üres lap'!E28</f>
        <v>1390555</v>
      </c>
      <c r="G7" s="341">
        <f>'4.sz.m.ÖNK kiadás'!G8+'üres lap2'!F32+'üres lap3'!F31+'üres lap'!F28</f>
        <v>1390555</v>
      </c>
      <c r="H7" s="341">
        <f>'4.sz.m.ÖNK kiadás'!H8+'üres lap2'!G32+'üres lap3'!G31+'üres lap'!G28</f>
        <v>1424495</v>
      </c>
      <c r="I7" s="341">
        <f>'4.sz.m.ÖNK kiadás'!I8+'üres lap2'!H32+'üres lap3'!H31+'üres lap'!H28</f>
        <v>0</v>
      </c>
      <c r="J7" s="341">
        <f>'4.sz.m.ÖNK kiadás'!J8+'üres lap2'!I32+'üres lap3'!I31+'üres lap'!I28</f>
        <v>0</v>
      </c>
      <c r="K7" s="428">
        <f t="shared" si="2"/>
        <v>1230555</v>
      </c>
      <c r="L7" s="341">
        <f t="shared" si="2"/>
        <v>1230555</v>
      </c>
      <c r="M7" s="341">
        <f t="shared" si="3"/>
        <v>1230555</v>
      </c>
      <c r="N7" s="341">
        <f t="shared" si="4"/>
        <v>1264495</v>
      </c>
      <c r="O7" s="341">
        <f t="shared" si="5"/>
        <v>0</v>
      </c>
      <c r="P7" s="341">
        <f t="shared" si="6"/>
        <v>0</v>
      </c>
      <c r="Q7" s="428">
        <f>'4.sz.m.ÖNK kiadás'!Q8</f>
        <v>160000</v>
      </c>
      <c r="R7" s="428">
        <f>'4.sz.m.ÖNK kiadás'!R8</f>
        <v>160000</v>
      </c>
      <c r="S7" s="428">
        <f>'4.sz.m.ÖNK kiadás'!S8</f>
        <v>160000</v>
      </c>
      <c r="T7" s="428">
        <f>'4.sz.m.ÖNK kiadás'!T8</f>
        <v>160000</v>
      </c>
      <c r="U7" s="341">
        <f>'4.sz.m.ÖNK kiadás'!U8</f>
        <v>0</v>
      </c>
      <c r="V7" s="341">
        <f>'4.sz.m.ÖNK kiadás'!V8</f>
        <v>0</v>
      </c>
      <c r="W7" s="428">
        <f>'üres lap2'!P32</f>
        <v>0</v>
      </c>
      <c r="X7" s="341">
        <f>'üres lap2'!Q32</f>
        <v>0</v>
      </c>
      <c r="Y7" s="341">
        <f>'üres lap2'!R32</f>
        <v>0</v>
      </c>
      <c r="Z7" s="341">
        <f>'üres lap2'!S32</f>
        <v>0</v>
      </c>
      <c r="AA7" s="341">
        <f>'üres lap2'!T32</f>
        <v>0</v>
      </c>
      <c r="AB7" s="341">
        <f>'üres lap2'!U32</f>
        <v>0</v>
      </c>
      <c r="AC7" s="341">
        <f>'üres lap2'!V32</f>
        <v>0</v>
      </c>
    </row>
    <row r="8" spans="1:29" s="5" customFormat="1" ht="33" customHeight="1">
      <c r="A8" s="125"/>
      <c r="B8" s="134" t="s">
        <v>36</v>
      </c>
      <c r="C8" s="134"/>
      <c r="D8" s="418" t="s">
        <v>85</v>
      </c>
      <c r="E8" s="428">
        <f>'4.sz.m.ÖNK kiadás'!E9+'üres lap2'!D33+'üres lap3'!D32+'üres lap'!D29</f>
        <v>12118456</v>
      </c>
      <c r="F8" s="341">
        <f>'4.sz.m.ÖNK kiadás'!F9+'üres lap2'!E33+'üres lap3'!E32+'üres lap'!E29</f>
        <v>12118456</v>
      </c>
      <c r="G8" s="341">
        <f>'4.sz.m.ÖNK kiadás'!G9+'üres lap2'!F33+'üres lap3'!F32+'üres lap'!F29</f>
        <v>12469443</v>
      </c>
      <c r="H8" s="341">
        <f>'4.sz.m.ÖNK kiadás'!H9+'üres lap2'!G33+'üres lap3'!G32+'üres lap'!G29</f>
        <v>15453214</v>
      </c>
      <c r="I8" s="341">
        <f>'4.sz.m.ÖNK kiadás'!I9+'üres lap2'!H33+'üres lap3'!H32+'üres lap'!H29</f>
        <v>0</v>
      </c>
      <c r="J8" s="341">
        <f>'4.sz.m.ÖNK kiadás'!J9+'üres lap2'!I33+'üres lap3'!I32+'üres lap'!I29</f>
        <v>0</v>
      </c>
      <c r="K8" s="428">
        <f t="shared" si="2"/>
        <v>6548456</v>
      </c>
      <c r="L8" s="341">
        <f t="shared" si="2"/>
        <v>6548456</v>
      </c>
      <c r="M8" s="341">
        <f t="shared" si="3"/>
        <v>6899443</v>
      </c>
      <c r="N8" s="341">
        <f t="shared" si="4"/>
        <v>9883214</v>
      </c>
      <c r="O8" s="341">
        <f t="shared" si="5"/>
        <v>0</v>
      </c>
      <c r="P8" s="341">
        <f t="shared" si="6"/>
        <v>0</v>
      </c>
      <c r="Q8" s="428">
        <f>'4.sz.m.ÖNK kiadás'!Q9</f>
        <v>5570000</v>
      </c>
      <c r="R8" s="428">
        <f>'4.sz.m.ÖNK kiadás'!R9</f>
        <v>5570000</v>
      </c>
      <c r="S8" s="428">
        <f>'4.sz.m.ÖNK kiadás'!S9</f>
        <v>5570000</v>
      </c>
      <c r="T8" s="428">
        <f>'4.sz.m.ÖNK kiadás'!T9</f>
        <v>5570000</v>
      </c>
      <c r="U8" s="341">
        <f>'4.sz.m.ÖNK kiadás'!U9</f>
        <v>0</v>
      </c>
      <c r="V8" s="341">
        <f>'4.sz.m.ÖNK kiadás'!V9</f>
        <v>0</v>
      </c>
      <c r="W8" s="428">
        <f>'üres lap2'!P33</f>
        <v>0</v>
      </c>
      <c r="X8" s="341">
        <f>'üres lap2'!Q33</f>
        <v>0</v>
      </c>
      <c r="Y8" s="341">
        <f>'üres lap2'!R33</f>
        <v>0</v>
      </c>
      <c r="Z8" s="341">
        <f>'üres lap2'!S33</f>
        <v>0</v>
      </c>
      <c r="AA8" s="341">
        <f>'üres lap2'!T33</f>
        <v>0</v>
      </c>
      <c r="AB8" s="341">
        <f>'üres lap2'!U33</f>
        <v>0</v>
      </c>
      <c r="AC8" s="341">
        <f>'üres lap2'!V33</f>
        <v>0</v>
      </c>
    </row>
    <row r="9" spans="1:29" s="5" customFormat="1" ht="33" customHeight="1">
      <c r="A9" s="125"/>
      <c r="B9" s="134" t="s">
        <v>47</v>
      </c>
      <c r="C9" s="134"/>
      <c r="D9" s="418" t="s">
        <v>86</v>
      </c>
      <c r="E9" s="428">
        <f>'4.sz.m.ÖNK kiadás'!E10+'üres lap2'!D34+'üres lap3'!D33+'üres lap'!D30</f>
        <v>1334000</v>
      </c>
      <c r="F9" s="341">
        <f>'4.sz.m.ÖNK kiadás'!F10+'üres lap2'!E34+'üres lap3'!E33+'üres lap'!E30</f>
        <v>1334000</v>
      </c>
      <c r="G9" s="341">
        <f>'4.sz.m.ÖNK kiadás'!G10+'üres lap2'!F34+'üres lap3'!F33+'üres lap'!F30</f>
        <v>1411623</v>
      </c>
      <c r="H9" s="341">
        <f>'4.sz.m.ÖNK kiadás'!H10+'üres lap2'!G34+'üres lap3'!G33+'üres lap'!G30</f>
        <v>1303685</v>
      </c>
      <c r="I9" s="341">
        <f>'4.sz.m.ÖNK kiadás'!I10+'üres lap2'!H34+'üres lap3'!H33+'üres lap'!H30</f>
        <v>0</v>
      </c>
      <c r="J9" s="341">
        <f>'4.sz.m.ÖNK kiadás'!J10+'üres lap2'!I34+'üres lap3'!I33+'üres lap'!I30</f>
        <v>0</v>
      </c>
      <c r="K9" s="428">
        <f t="shared" si="2"/>
        <v>1334000</v>
      </c>
      <c r="L9" s="341">
        <f t="shared" si="2"/>
        <v>1334000</v>
      </c>
      <c r="M9" s="341">
        <f t="shared" si="3"/>
        <v>1411623</v>
      </c>
      <c r="N9" s="341">
        <f t="shared" si="4"/>
        <v>1303685</v>
      </c>
      <c r="O9" s="341">
        <f t="shared" si="5"/>
        <v>-0.9235362416169189</v>
      </c>
      <c r="P9" s="341">
        <f t="shared" si="6"/>
        <v>-1334000</v>
      </c>
      <c r="Q9" s="428">
        <f>'4.sz.m.ÖNK kiadás'!Q10</f>
        <v>0</v>
      </c>
      <c r="R9" s="428">
        <f>'4.sz.m.ÖNK kiadás'!R10</f>
        <v>0</v>
      </c>
      <c r="S9" s="428">
        <f>'4.sz.m.ÖNK kiadás'!S10</f>
        <v>0</v>
      </c>
      <c r="T9" s="428">
        <f>'4.sz.m.ÖNK kiadás'!T10</f>
        <v>0</v>
      </c>
      <c r="U9" s="341">
        <f>'4.sz.m.ÖNK kiadás'!U10</f>
        <v>0.9235362416169189</v>
      </c>
      <c r="V9" s="341">
        <f>'4.sz.m.ÖNK kiadás'!V10</f>
        <v>1334000</v>
      </c>
      <c r="W9" s="428"/>
      <c r="X9" s="341"/>
      <c r="Y9" s="341"/>
      <c r="Z9" s="341"/>
      <c r="AA9" s="341"/>
      <c r="AB9" s="341"/>
      <c r="AC9" s="341"/>
    </row>
    <row r="10" spans="1:29" s="5" customFormat="1" ht="33" customHeight="1">
      <c r="A10" s="125"/>
      <c r="B10" s="134" t="s">
        <v>48</v>
      </c>
      <c r="C10" s="134"/>
      <c r="D10" s="419" t="s">
        <v>88</v>
      </c>
      <c r="E10" s="428">
        <f aca="true" t="shared" si="7" ref="E10:J10">SUM(E11:E15)</f>
        <v>872974</v>
      </c>
      <c r="F10" s="341">
        <f t="shared" si="7"/>
        <v>872974</v>
      </c>
      <c r="G10" s="341">
        <f t="shared" si="7"/>
        <v>800351</v>
      </c>
      <c r="H10" s="341">
        <f>SUM(H11:H15)</f>
        <v>511531</v>
      </c>
      <c r="I10" s="341">
        <f t="shared" si="7"/>
        <v>0</v>
      </c>
      <c r="J10" s="341">
        <f t="shared" si="7"/>
        <v>0</v>
      </c>
      <c r="K10" s="428">
        <f t="shared" si="2"/>
        <v>410430</v>
      </c>
      <c r="L10" s="341">
        <f t="shared" si="2"/>
        <v>410430</v>
      </c>
      <c r="M10" s="341">
        <f t="shared" si="3"/>
        <v>337807</v>
      </c>
      <c r="N10" s="341">
        <f t="shared" si="4"/>
        <v>236706</v>
      </c>
      <c r="O10" s="341">
        <f t="shared" si="5"/>
        <v>-164825</v>
      </c>
      <c r="P10" s="341">
        <f t="shared" si="6"/>
        <v>0</v>
      </c>
      <c r="Q10" s="428">
        <f>'4.sz.m.ÖNK kiadás'!Q11</f>
        <v>462544</v>
      </c>
      <c r="R10" s="428">
        <f>'4.sz.m.ÖNK kiadás'!R11</f>
        <v>462544</v>
      </c>
      <c r="S10" s="428">
        <f>'4.sz.m.ÖNK kiadás'!S11</f>
        <v>462544</v>
      </c>
      <c r="T10" s="428">
        <f>'4.sz.m.ÖNK kiadás'!T11</f>
        <v>274825</v>
      </c>
      <c r="U10" s="341">
        <f>'4.sz.m.ÖNK kiadás'!U11</f>
        <v>164825</v>
      </c>
      <c r="V10" s="341">
        <f>'4.sz.m.ÖNK kiadás'!V11</f>
        <v>0</v>
      </c>
      <c r="W10" s="428"/>
      <c r="X10" s="341"/>
      <c r="Y10" s="341"/>
      <c r="Z10" s="341"/>
      <c r="AA10" s="341"/>
      <c r="AB10" s="341"/>
      <c r="AC10" s="341"/>
    </row>
    <row r="11" spans="1:29" s="5" customFormat="1" ht="33" customHeight="1">
      <c r="A11" s="125"/>
      <c r="B11" s="157"/>
      <c r="C11" s="134" t="s">
        <v>87</v>
      </c>
      <c r="D11" s="420" t="s">
        <v>286</v>
      </c>
      <c r="E11" s="428">
        <f>'4.sz.m.ÖNK kiadás'!E12</f>
        <v>0</v>
      </c>
      <c r="F11" s="341"/>
      <c r="G11" s="341">
        <f>'4.sz.m.ÖNK kiadás'!G12</f>
        <v>0</v>
      </c>
      <c r="H11" s="341">
        <f>'4.sz.m.ÖNK kiadás'!H12</f>
        <v>0</v>
      </c>
      <c r="I11" s="341">
        <f>'4.sz.m.ÖNK kiadás'!I12</f>
        <v>0</v>
      </c>
      <c r="J11" s="341">
        <f>'4.sz.m.ÖNK kiadás'!J12</f>
        <v>0</v>
      </c>
      <c r="K11" s="428">
        <f t="shared" si="2"/>
        <v>0</v>
      </c>
      <c r="L11" s="341">
        <f t="shared" si="2"/>
        <v>0</v>
      </c>
      <c r="M11" s="341">
        <f t="shared" si="3"/>
        <v>0</v>
      </c>
      <c r="N11" s="341">
        <f t="shared" si="4"/>
        <v>0</v>
      </c>
      <c r="O11" s="341">
        <f t="shared" si="5"/>
        <v>0</v>
      </c>
      <c r="P11" s="341">
        <f t="shared" si="6"/>
        <v>0</v>
      </c>
      <c r="Q11" s="428">
        <f>'4.sz.m.ÖNK kiadás'!Q12</f>
        <v>0</v>
      </c>
      <c r="R11" s="428">
        <f>'4.sz.m.ÖNK kiadás'!R12</f>
        <v>0</v>
      </c>
      <c r="S11" s="428">
        <f>'4.sz.m.ÖNK kiadás'!S12</f>
        <v>0</v>
      </c>
      <c r="T11" s="428">
        <f>'4.sz.m.ÖNK kiadás'!T12</f>
        <v>0</v>
      </c>
      <c r="U11" s="341">
        <f>'4.sz.m.ÖNK kiadás'!U12</f>
        <v>0</v>
      </c>
      <c r="V11" s="341">
        <f>'4.sz.m.ÖNK kiadás'!V12</f>
        <v>0</v>
      </c>
      <c r="W11" s="428"/>
      <c r="X11" s="341"/>
      <c r="Y11" s="341"/>
      <c r="Z11" s="341"/>
      <c r="AA11" s="341"/>
      <c r="AB11" s="341"/>
      <c r="AC11" s="341"/>
    </row>
    <row r="12" spans="1:29" s="5" customFormat="1" ht="57.75" customHeight="1">
      <c r="A12" s="125"/>
      <c r="B12" s="134"/>
      <c r="C12" s="134" t="s">
        <v>89</v>
      </c>
      <c r="D12" s="418" t="s">
        <v>287</v>
      </c>
      <c r="E12" s="428">
        <f>'4.sz.m.ÖNK kiadás'!E13</f>
        <v>312000</v>
      </c>
      <c r="F12" s="341">
        <f>'4.sz.m.ÖNK kiadás'!F13</f>
        <v>312000</v>
      </c>
      <c r="G12" s="341">
        <f>'4.sz.m.ÖNK kiadás'!G13</f>
        <v>312000</v>
      </c>
      <c r="H12" s="341">
        <f>'4.sz.m.ÖNK kiadás'!H13</f>
        <v>274825</v>
      </c>
      <c r="I12" s="341">
        <f>'4.sz.m.ÖNK kiadás'!I13</f>
        <v>0</v>
      </c>
      <c r="J12" s="341">
        <f>'4.sz.m.ÖNK kiadás'!J13</f>
        <v>0</v>
      </c>
      <c r="K12" s="428">
        <f t="shared" si="2"/>
        <v>0</v>
      </c>
      <c r="L12" s="341">
        <f t="shared" si="2"/>
        <v>0</v>
      </c>
      <c r="M12" s="341">
        <f t="shared" si="3"/>
        <v>0</v>
      </c>
      <c r="N12" s="341">
        <f t="shared" si="4"/>
        <v>0</v>
      </c>
      <c r="O12" s="341">
        <f t="shared" si="5"/>
        <v>-164825</v>
      </c>
      <c r="P12" s="341">
        <f t="shared" si="6"/>
        <v>0</v>
      </c>
      <c r="Q12" s="428">
        <f>'4.sz.m.ÖNK kiadás'!Q13</f>
        <v>312000</v>
      </c>
      <c r="R12" s="428">
        <f>'4.sz.m.ÖNK kiadás'!R13</f>
        <v>312000</v>
      </c>
      <c r="S12" s="428">
        <f>'4.sz.m.ÖNK kiadás'!S13</f>
        <v>312000</v>
      </c>
      <c r="T12" s="428">
        <f>'4.sz.m.ÖNK kiadás'!T13</f>
        <v>274825</v>
      </c>
      <c r="U12" s="341">
        <f>'4.sz.m.ÖNK kiadás'!U13</f>
        <v>164825</v>
      </c>
      <c r="V12" s="341">
        <f>'4.sz.m.ÖNK kiadás'!V13</f>
        <v>0</v>
      </c>
      <c r="W12" s="428"/>
      <c r="X12" s="341"/>
      <c r="Y12" s="341"/>
      <c r="Z12" s="341"/>
      <c r="AA12" s="341"/>
      <c r="AB12" s="341"/>
      <c r="AC12" s="341"/>
    </row>
    <row r="13" spans="1:29" s="5" customFormat="1" ht="54.75" customHeight="1" thickBot="1">
      <c r="A13" s="153"/>
      <c r="B13" s="154"/>
      <c r="C13" s="134" t="s">
        <v>90</v>
      </c>
      <c r="D13" s="418" t="s">
        <v>288</v>
      </c>
      <c r="E13" s="428">
        <f>'4.sz.m.ÖNK kiadás'!E14</f>
        <v>560974</v>
      </c>
      <c r="F13" s="341">
        <f>'4.sz.m.ÖNK kiadás'!F14</f>
        <v>560974</v>
      </c>
      <c r="G13" s="341">
        <f>'4.sz.m.ÖNK kiadás'!G14</f>
        <v>488351</v>
      </c>
      <c r="H13" s="341">
        <f>'4.sz.m.ÖNK kiadás'!H14</f>
        <v>236706</v>
      </c>
      <c r="I13" s="341">
        <f>'4.sz.m.ÖNK kiadás'!I14</f>
        <v>0</v>
      </c>
      <c r="J13" s="341">
        <f>'4.sz.m.ÖNK kiadás'!J14</f>
        <v>0</v>
      </c>
      <c r="K13" s="428">
        <f t="shared" si="2"/>
        <v>410430</v>
      </c>
      <c r="L13" s="341">
        <f t="shared" si="2"/>
        <v>410430</v>
      </c>
      <c r="M13" s="341">
        <f t="shared" si="3"/>
        <v>337807</v>
      </c>
      <c r="N13" s="341">
        <f t="shared" si="4"/>
        <v>236706</v>
      </c>
      <c r="O13" s="341">
        <f t="shared" si="5"/>
        <v>0</v>
      </c>
      <c r="P13" s="341">
        <f t="shared" si="6"/>
        <v>0</v>
      </c>
      <c r="Q13" s="428">
        <f>'4.sz.m.ÖNK kiadás'!Q14</f>
        <v>150544</v>
      </c>
      <c r="R13" s="428">
        <f>'4.sz.m.ÖNK kiadás'!R14</f>
        <v>150544</v>
      </c>
      <c r="S13" s="428">
        <f>'4.sz.m.ÖNK kiadás'!S14</f>
        <v>150544</v>
      </c>
      <c r="T13" s="428">
        <f>'4.sz.m.ÖNK kiadás'!T14</f>
        <v>0</v>
      </c>
      <c r="U13" s="341">
        <f>'4.sz.m.ÖNK kiadás'!U14</f>
        <v>0</v>
      </c>
      <c r="V13" s="341">
        <f>'4.sz.m.ÖNK kiadás'!V14</f>
        <v>0</v>
      </c>
      <c r="W13" s="428"/>
      <c r="X13" s="341"/>
      <c r="Y13" s="341"/>
      <c r="Z13" s="341"/>
      <c r="AA13" s="341"/>
      <c r="AB13" s="341"/>
      <c r="AC13" s="341"/>
    </row>
    <row r="14" spans="1:29" s="5" customFormat="1" ht="33" customHeight="1" hidden="1">
      <c r="A14" s="125"/>
      <c r="B14" s="134"/>
      <c r="C14" s="134" t="s">
        <v>93</v>
      </c>
      <c r="D14" s="418" t="s">
        <v>95</v>
      </c>
      <c r="E14" s="428"/>
      <c r="F14" s="341"/>
      <c r="G14" s="341"/>
      <c r="H14" s="341"/>
      <c r="I14" s="341"/>
      <c r="J14" s="341"/>
      <c r="K14" s="428"/>
      <c r="L14" s="341"/>
      <c r="M14" s="341"/>
      <c r="N14" s="341"/>
      <c r="O14" s="341"/>
      <c r="P14" s="341"/>
      <c r="Q14" s="428">
        <f>'4.sz.m.ÖNK kiadás'!Q15</f>
        <v>0</v>
      </c>
      <c r="R14" s="428">
        <f>'4.sz.m.ÖNK kiadás'!R15</f>
        <v>0</v>
      </c>
      <c r="S14" s="428">
        <f>'4.sz.m.ÖNK kiadás'!S15</f>
        <v>0</v>
      </c>
      <c r="T14" s="428">
        <f>'4.sz.m.ÖNK kiadás'!T15</f>
        <v>0</v>
      </c>
      <c r="U14" s="341">
        <f>'4.sz.m.ÖNK kiadás'!U15</f>
        <v>0</v>
      </c>
      <c r="V14" s="341">
        <f>'4.sz.m.ÖNK kiadás'!V15</f>
        <v>0</v>
      </c>
      <c r="W14" s="428"/>
      <c r="X14" s="341"/>
      <c r="Y14" s="341"/>
      <c r="Z14" s="341"/>
      <c r="AA14" s="341"/>
      <c r="AB14" s="341"/>
      <c r="AC14" s="341"/>
    </row>
    <row r="15" spans="1:29" s="5" customFormat="1" ht="33" customHeight="1" hidden="1" thickBot="1">
      <c r="A15" s="161"/>
      <c r="B15" s="148"/>
      <c r="C15" s="148" t="s">
        <v>94</v>
      </c>
      <c r="D15" s="421" t="s">
        <v>96</v>
      </c>
      <c r="E15" s="428"/>
      <c r="F15" s="341"/>
      <c r="G15" s="341"/>
      <c r="H15" s="341"/>
      <c r="I15" s="341"/>
      <c r="J15" s="341"/>
      <c r="K15" s="428"/>
      <c r="L15" s="341"/>
      <c r="M15" s="341"/>
      <c r="N15" s="341"/>
      <c r="O15" s="341"/>
      <c r="P15" s="341"/>
      <c r="Q15" s="428">
        <f>'4.sz.m.ÖNK kiadás'!Q16</f>
        <v>0</v>
      </c>
      <c r="R15" s="428">
        <f>'4.sz.m.ÖNK kiadás'!R16</f>
        <v>0</v>
      </c>
      <c r="S15" s="428">
        <f>'4.sz.m.ÖNK kiadás'!S16</f>
        <v>0</v>
      </c>
      <c r="T15" s="428">
        <f>'4.sz.m.ÖNK kiadás'!T16</f>
        <v>0</v>
      </c>
      <c r="U15" s="341">
        <f>'4.sz.m.ÖNK kiadás'!U16</f>
        <v>0</v>
      </c>
      <c r="V15" s="341">
        <f>'4.sz.m.ÖNK kiadás'!V16</f>
        <v>0</v>
      </c>
      <c r="W15" s="428"/>
      <c r="X15" s="341"/>
      <c r="Y15" s="341"/>
      <c r="Z15" s="341"/>
      <c r="AA15" s="341"/>
      <c r="AB15" s="341"/>
      <c r="AC15" s="341"/>
    </row>
    <row r="16" spans="1:29" s="5" customFormat="1" ht="33" customHeight="1" thickBot="1">
      <c r="A16" s="143" t="s">
        <v>26</v>
      </c>
      <c r="B16" s="1293" t="s">
        <v>97</v>
      </c>
      <c r="C16" s="1293"/>
      <c r="D16" s="1293"/>
      <c r="E16" s="429">
        <f aca="true" t="shared" si="8" ref="E16:L16">SUM(E17:E19)</f>
        <v>38982636</v>
      </c>
      <c r="F16" s="96">
        <f t="shared" si="8"/>
        <v>38998399</v>
      </c>
      <c r="G16" s="96">
        <f t="shared" si="8"/>
        <v>40445207</v>
      </c>
      <c r="H16" s="96">
        <f>SUM(H17:H19)</f>
        <v>60600956</v>
      </c>
      <c r="I16" s="96">
        <f t="shared" si="8"/>
        <v>0</v>
      </c>
      <c r="J16" s="96">
        <f t="shared" si="8"/>
        <v>0</v>
      </c>
      <c r="K16" s="429">
        <f t="shared" si="8"/>
        <v>38402636</v>
      </c>
      <c r="L16" s="96">
        <f t="shared" si="8"/>
        <v>38418399</v>
      </c>
      <c r="M16" s="96">
        <f>SUM(M17:M19)</f>
        <v>39750217</v>
      </c>
      <c r="N16" s="96">
        <f>SUM(N17:N19)</f>
        <v>59905966</v>
      </c>
      <c r="O16" s="96">
        <f>SUM(O17:O19)</f>
        <v>1.1905863777124208</v>
      </c>
      <c r="P16" s="96">
        <f>SUM(P17:P19)</f>
        <v>32048314</v>
      </c>
      <c r="Q16" s="429">
        <f aca="true" t="shared" si="9" ref="Q16:Z16">SUM(Q17:Q19)</f>
        <v>580000</v>
      </c>
      <c r="R16" s="429">
        <f>SUM(R17:R19)</f>
        <v>580000</v>
      </c>
      <c r="S16" s="429">
        <f>SUM(S17:S19)</f>
        <v>694990</v>
      </c>
      <c r="T16" s="429">
        <f>SUM(T17:T19)</f>
        <v>694990</v>
      </c>
      <c r="U16" s="96">
        <f>SUM(U17:U19)</f>
        <v>0</v>
      </c>
      <c r="V16" s="96">
        <f>SUM(V17:V19)</f>
        <v>0</v>
      </c>
      <c r="W16" s="429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>SUM(AA17:AA19)</f>
        <v>0</v>
      </c>
      <c r="AB16" s="96">
        <f>SUM(AB17:AB19)</f>
        <v>0</v>
      </c>
      <c r="AC16" s="96">
        <f>SUM(AC17:AC19)</f>
        <v>0</v>
      </c>
    </row>
    <row r="17" spans="1:29" s="5" customFormat="1" ht="33" customHeight="1">
      <c r="A17" s="142"/>
      <c r="B17" s="147" t="s">
        <v>37</v>
      </c>
      <c r="C17" s="1302" t="s">
        <v>98</v>
      </c>
      <c r="D17" s="1302"/>
      <c r="E17" s="428">
        <f>'4.sz.m.ÖNK kiadás'!E18+'üres lap2'!D37+'üres lap3'!D36+'üres lap'!D33</f>
        <v>6295345</v>
      </c>
      <c r="F17" s="341">
        <f>'4.sz.m.ÖNK kiadás'!F18+'üres lap2'!E37+'üres lap3'!E36+'üres lap'!E33</f>
        <v>6295345</v>
      </c>
      <c r="G17" s="341">
        <f>'4.sz.m.ÖNK kiadás'!G18+'üres lap2'!F37+'üres lap3'!F36+'üres lap'!F33</f>
        <v>7495152</v>
      </c>
      <c r="H17" s="341">
        <f>'4.sz.m.ÖNK kiadás'!H18+'üres lap2'!G37+'üres lap3'!G36+'üres lap'!G33</f>
        <v>22650901</v>
      </c>
      <c r="I17" s="341">
        <f>'4.sz.m.ÖNK kiadás'!I18+'üres lap2'!H37+'üres lap3'!H36+'üres lap'!H33</f>
        <v>0</v>
      </c>
      <c r="J17" s="341">
        <f>'4.sz.m.ÖNK kiadás'!J18+'üres lap2'!I37+'üres lap3'!I36+'üres lap'!I33</f>
        <v>0</v>
      </c>
      <c r="K17" s="428">
        <f>'4.sz.m.ÖNK kiadás'!K18+'üres lap2'!J37+'üres lap3'!J36+'üres lap'!J33</f>
        <v>6215345</v>
      </c>
      <c r="L17" s="341">
        <f>'4.sz.m.ÖNK kiadás'!L18+'üres lap2'!K37+'üres lap3'!K36+'üres lap'!K33</f>
        <v>6215345</v>
      </c>
      <c r="M17" s="341">
        <f>'4.sz.m.ÖNK kiadás'!M18+'üres lap2'!L37+'üres lap3'!L36+'üres lap'!L33</f>
        <v>7400162</v>
      </c>
      <c r="N17" s="341">
        <f>'4.sz.m.ÖNK kiadás'!N18+'üres lap2'!M37+'üres lap3'!M36+'üres lap'!M33</f>
        <v>22555911</v>
      </c>
      <c r="O17" s="341">
        <f>'4.sz.m.ÖNK kiadás'!O18+'üres lap2'!N37+'üres lap3'!N36+'üres lap'!N33</f>
        <v>1.1905863777124208</v>
      </c>
      <c r="P17" s="341">
        <f>'4.sz.m.ÖNK kiadás'!P18+'üres lap2'!O37+'üres lap3'!O36+'üres lap'!O33</f>
        <v>350000</v>
      </c>
      <c r="Q17" s="428">
        <f>+'4.sz.m.ÖNK kiadás'!Q18</f>
        <v>80000</v>
      </c>
      <c r="R17" s="428">
        <f>+'4.sz.m.ÖNK kiadás'!R18</f>
        <v>80000</v>
      </c>
      <c r="S17" s="428">
        <f>+'4.sz.m.ÖNK kiadás'!S18</f>
        <v>94990</v>
      </c>
      <c r="T17" s="428">
        <f>+'4.sz.m.ÖNK kiadás'!T18</f>
        <v>94990</v>
      </c>
      <c r="U17" s="341"/>
      <c r="V17" s="341"/>
      <c r="W17" s="428"/>
      <c r="X17" s="341"/>
      <c r="Y17" s="341"/>
      <c r="Z17" s="341"/>
      <c r="AA17" s="341"/>
      <c r="AB17" s="341"/>
      <c r="AC17" s="341"/>
    </row>
    <row r="18" spans="1:29" s="5" customFormat="1" ht="33" customHeight="1">
      <c r="A18" s="125"/>
      <c r="B18" s="134" t="s">
        <v>38</v>
      </c>
      <c r="C18" s="1304" t="s">
        <v>99</v>
      </c>
      <c r="D18" s="1304"/>
      <c r="E18" s="428">
        <f>'4.sz.m.ÖNK kiadás'!E19</f>
        <v>32187291</v>
      </c>
      <c r="F18" s="341">
        <f>'4.sz.m.ÖNK kiadás'!F19</f>
        <v>32203054</v>
      </c>
      <c r="G18" s="341">
        <f>'4.sz.m.ÖNK kiadás'!G19</f>
        <v>32350055</v>
      </c>
      <c r="H18" s="341">
        <f>'4.sz.m.ÖNK kiadás'!H19</f>
        <v>37350055</v>
      </c>
      <c r="I18" s="341">
        <f>'4.sz.m.ÖNK kiadás'!I19</f>
        <v>0</v>
      </c>
      <c r="J18" s="341">
        <f>'4.sz.m.ÖNK kiadás'!J19</f>
        <v>0</v>
      </c>
      <c r="K18" s="428">
        <f>'4.sz.m.ÖNK kiadás'!K19</f>
        <v>32187291</v>
      </c>
      <c r="L18" s="341">
        <f>'4.sz.m.ÖNK kiadás'!L19</f>
        <v>32203054</v>
      </c>
      <c r="M18" s="341">
        <f>'4.sz.m.ÖNK kiadás'!M19</f>
        <v>32350055</v>
      </c>
      <c r="N18" s="341">
        <f>'4.sz.m.ÖNK kiadás'!N19</f>
        <v>37350055</v>
      </c>
      <c r="O18" s="341">
        <f>'4.sz.m.ÖNK kiadás'!O19</f>
        <v>0</v>
      </c>
      <c r="P18" s="341">
        <f>'4.sz.m.ÖNK kiadás'!P19</f>
        <v>31698314</v>
      </c>
      <c r="Q18" s="428"/>
      <c r="R18" s="428"/>
      <c r="S18" s="428"/>
      <c r="T18" s="428"/>
      <c r="U18" s="341"/>
      <c r="V18" s="341"/>
      <c r="W18" s="428"/>
      <c r="X18" s="341"/>
      <c r="Y18" s="341"/>
      <c r="Z18" s="341"/>
      <c r="AA18" s="341"/>
      <c r="AB18" s="341"/>
      <c r="AC18" s="341"/>
    </row>
    <row r="19" spans="1:29" s="5" customFormat="1" ht="33" customHeight="1">
      <c r="A19" s="155"/>
      <c r="B19" s="134" t="s">
        <v>39</v>
      </c>
      <c r="C19" s="1308" t="s">
        <v>100</v>
      </c>
      <c r="D19" s="1308"/>
      <c r="E19" s="428">
        <f>'4.sz.m.ÖNK kiadás'!E20</f>
        <v>500000</v>
      </c>
      <c r="F19" s="341">
        <f>'4.sz.m.ÖNK kiadás'!F20</f>
        <v>500000</v>
      </c>
      <c r="G19" s="341">
        <f>'4.sz.m.ÖNK kiadás'!G20</f>
        <v>600000</v>
      </c>
      <c r="H19" s="341">
        <f>'4.sz.m.ÖNK kiadás'!H20</f>
        <v>600000</v>
      </c>
      <c r="I19" s="341">
        <f>'4.sz.m.ÖNK kiadás'!I20</f>
        <v>0</v>
      </c>
      <c r="J19" s="341">
        <f>'4.sz.m.ÖNK kiadás'!J20</f>
        <v>0</v>
      </c>
      <c r="K19" s="428">
        <f>'4.sz.m.ÖNK kiadás'!K20</f>
        <v>0</v>
      </c>
      <c r="L19" s="341">
        <f>'4.sz.m.ÖNK kiadás'!L20</f>
        <v>0</v>
      </c>
      <c r="M19" s="341">
        <f>'4.sz.m.ÖNK kiadás'!M20</f>
        <v>0</v>
      </c>
      <c r="N19" s="341">
        <f>'4.sz.m.ÖNK kiadás'!N20</f>
        <v>0</v>
      </c>
      <c r="O19" s="341">
        <f>'4.sz.m.ÖNK kiadás'!O20</f>
        <v>0</v>
      </c>
      <c r="P19" s="341">
        <f>'4.sz.m.ÖNK kiadás'!P20</f>
        <v>0</v>
      </c>
      <c r="Q19" s="428">
        <f>'4.sz.m.ÖNK kiadás'!Q20</f>
        <v>500000</v>
      </c>
      <c r="R19" s="428">
        <f>'4.sz.m.ÖNK kiadás'!R20</f>
        <v>500000</v>
      </c>
      <c r="S19" s="428">
        <f>'4.sz.m.ÖNK kiadás'!S20</f>
        <v>600000</v>
      </c>
      <c r="T19" s="428">
        <f>'4.sz.m.ÖNK kiadás'!T20</f>
        <v>600000</v>
      </c>
      <c r="U19" s="341">
        <f>'4.sz.m.ÖNK kiadás'!U20</f>
        <v>0</v>
      </c>
      <c r="V19" s="341">
        <f>'4.sz.m.ÖNK kiadás'!V20</f>
        <v>0</v>
      </c>
      <c r="W19" s="428"/>
      <c r="X19" s="341"/>
      <c r="Y19" s="341"/>
      <c r="Z19" s="341"/>
      <c r="AA19" s="341"/>
      <c r="AB19" s="341"/>
      <c r="AC19" s="341"/>
    </row>
    <row r="20" spans="1:29" s="5" customFormat="1" ht="33" customHeight="1">
      <c r="A20" s="131"/>
      <c r="B20" s="135"/>
      <c r="C20" s="135" t="s">
        <v>101</v>
      </c>
      <c r="D20" s="289" t="s">
        <v>91</v>
      </c>
      <c r="E20" s="428">
        <f>'4.sz.m.ÖNK kiadás'!E21</f>
        <v>500000</v>
      </c>
      <c r="F20" s="341">
        <f>'4.sz.m.ÖNK kiadás'!F21</f>
        <v>500000</v>
      </c>
      <c r="G20" s="341">
        <f>'4.sz.m.ÖNK kiadás'!G21</f>
        <v>600000</v>
      </c>
      <c r="H20" s="341">
        <f>'4.sz.m.ÖNK kiadás'!H21</f>
        <v>600000</v>
      </c>
      <c r="I20" s="341">
        <f>'4.sz.m.ÖNK kiadás'!I21</f>
        <v>0</v>
      </c>
      <c r="J20" s="341">
        <f>'4.sz.m.ÖNK kiadás'!J21</f>
        <v>0</v>
      </c>
      <c r="K20" s="428">
        <f>'4.sz.m.ÖNK kiadás'!K21</f>
        <v>0</v>
      </c>
      <c r="L20" s="341">
        <f>'4.sz.m.ÖNK kiadás'!L21</f>
        <v>0</v>
      </c>
      <c r="M20" s="341">
        <f>'4.sz.m.ÖNK kiadás'!M21</f>
        <v>0</v>
      </c>
      <c r="N20" s="341">
        <f>'4.sz.m.ÖNK kiadás'!N21</f>
        <v>0</v>
      </c>
      <c r="O20" s="341">
        <f>'4.sz.m.ÖNK kiadás'!O21</f>
        <v>0</v>
      </c>
      <c r="P20" s="341">
        <f>'4.sz.m.ÖNK kiadás'!P21</f>
        <v>0</v>
      </c>
      <c r="Q20" s="428">
        <f>'4.sz.m.ÖNK kiadás'!Q21</f>
        <v>500000</v>
      </c>
      <c r="R20" s="428">
        <f>'4.sz.m.ÖNK kiadás'!R21</f>
        <v>500000</v>
      </c>
      <c r="S20" s="428">
        <f>'4.sz.m.ÖNK kiadás'!S21</f>
        <v>600000</v>
      </c>
      <c r="T20" s="428">
        <f>'4.sz.m.ÖNK kiadás'!T21</f>
        <v>600000</v>
      </c>
      <c r="U20" s="341">
        <f>'4.sz.m.ÖNK kiadás'!U21</f>
        <v>0</v>
      </c>
      <c r="V20" s="341">
        <f>'4.sz.m.ÖNK kiadás'!V21</f>
        <v>0</v>
      </c>
      <c r="W20" s="428"/>
      <c r="X20" s="341"/>
      <c r="Y20" s="341"/>
      <c r="Z20" s="341"/>
      <c r="AA20" s="341"/>
      <c r="AB20" s="341"/>
      <c r="AC20" s="341"/>
    </row>
    <row r="21" spans="1:29" s="5" customFormat="1" ht="33" customHeight="1">
      <c r="A21" s="131"/>
      <c r="B21" s="135"/>
      <c r="C21" s="135" t="s">
        <v>102</v>
      </c>
      <c r="D21" s="289" t="s">
        <v>92</v>
      </c>
      <c r="E21" s="428">
        <f>'4.sz.m.ÖNK kiadás'!E22</f>
        <v>0</v>
      </c>
      <c r="F21" s="341">
        <f>'4.sz.m.ÖNK kiadás'!F22</f>
        <v>0</v>
      </c>
      <c r="G21" s="341">
        <f>'4.sz.m.ÖNK kiadás'!G22</f>
        <v>0</v>
      </c>
      <c r="H21" s="341">
        <f>'4.sz.m.ÖNK kiadás'!H22</f>
        <v>0</v>
      </c>
      <c r="I21" s="341">
        <f>'4.sz.m.ÖNK kiadás'!I22</f>
        <v>0</v>
      </c>
      <c r="J21" s="341">
        <f>'4.sz.m.ÖNK kiadás'!J22</f>
        <v>0</v>
      </c>
      <c r="K21" s="428">
        <f>'4.sz.m.ÖNK kiadás'!K22</f>
        <v>0</v>
      </c>
      <c r="L21" s="341">
        <f>'4.sz.m.ÖNK kiadás'!L22</f>
        <v>0</v>
      </c>
      <c r="M21" s="341">
        <f>'4.sz.m.ÖNK kiadás'!M22</f>
        <v>0</v>
      </c>
      <c r="N21" s="341">
        <f>'4.sz.m.ÖNK kiadás'!N22</f>
        <v>0</v>
      </c>
      <c r="O21" s="341">
        <f>'4.sz.m.ÖNK kiadás'!O22</f>
        <v>0</v>
      </c>
      <c r="P21" s="341">
        <f>'4.sz.m.ÖNK kiadás'!P22</f>
        <v>0</v>
      </c>
      <c r="Q21" s="428"/>
      <c r="R21" s="428"/>
      <c r="S21" s="428"/>
      <c r="T21" s="428"/>
      <c r="U21" s="341"/>
      <c r="V21" s="341"/>
      <c r="W21" s="428"/>
      <c r="X21" s="341"/>
      <c r="Y21" s="341"/>
      <c r="Z21" s="341"/>
      <c r="AA21" s="341"/>
      <c r="AB21" s="341"/>
      <c r="AC21" s="341"/>
    </row>
    <row r="22" spans="1:29" s="5" customFormat="1" ht="33" customHeight="1">
      <c r="A22" s="155"/>
      <c r="B22" s="289"/>
      <c r="C22" s="135" t="s">
        <v>103</v>
      </c>
      <c r="D22" s="289" t="s">
        <v>95</v>
      </c>
      <c r="E22" s="428">
        <f>'4.sz.m.ÖNK kiadás'!E23</f>
        <v>0</v>
      </c>
      <c r="F22" s="341">
        <f>'4.sz.m.ÖNK kiadás'!F23</f>
        <v>0</v>
      </c>
      <c r="G22" s="341">
        <f>'4.sz.m.ÖNK kiadás'!G23</f>
        <v>0</v>
      </c>
      <c r="H22" s="341">
        <f>'4.sz.m.ÖNK kiadás'!H23</f>
        <v>0</v>
      </c>
      <c r="I22" s="341">
        <f>'4.sz.m.ÖNK kiadás'!I23</f>
        <v>0</v>
      </c>
      <c r="J22" s="341">
        <f>'4.sz.m.ÖNK kiadás'!J23</f>
        <v>0</v>
      </c>
      <c r="K22" s="428">
        <f>'4.sz.m.ÖNK kiadás'!K23</f>
        <v>0</v>
      </c>
      <c r="L22" s="341">
        <f>'4.sz.m.ÖNK kiadás'!L23</f>
        <v>0</v>
      </c>
      <c r="M22" s="341">
        <f>'4.sz.m.ÖNK kiadás'!M23</f>
        <v>0</v>
      </c>
      <c r="N22" s="341">
        <f>'4.sz.m.ÖNK kiadás'!N23</f>
        <v>0</v>
      </c>
      <c r="O22" s="341">
        <f>'4.sz.m.ÖNK kiadás'!O23</f>
        <v>0</v>
      </c>
      <c r="P22" s="341">
        <f>'4.sz.m.ÖNK kiadás'!P23</f>
        <v>0</v>
      </c>
      <c r="Q22" s="428"/>
      <c r="R22" s="428"/>
      <c r="S22" s="428"/>
      <c r="T22" s="428"/>
      <c r="U22" s="341"/>
      <c r="V22" s="341"/>
      <c r="W22" s="428"/>
      <c r="X22" s="341"/>
      <c r="Y22" s="341"/>
      <c r="Z22" s="341"/>
      <c r="AA22" s="341"/>
      <c r="AB22" s="341"/>
      <c r="AC22" s="341"/>
    </row>
    <row r="23" spans="1:29" s="5" customFormat="1" ht="33" customHeight="1" thickBot="1">
      <c r="A23" s="319"/>
      <c r="B23" s="320"/>
      <c r="C23" s="321" t="s">
        <v>176</v>
      </c>
      <c r="D23" s="320" t="s">
        <v>177</v>
      </c>
      <c r="E23" s="428">
        <f>'4.sz.m.ÖNK kiadás'!E24</f>
        <v>0</v>
      </c>
      <c r="F23" s="341">
        <f>'4.sz.m.ÖNK kiadás'!F24</f>
        <v>0</v>
      </c>
      <c r="G23" s="341">
        <f>'4.sz.m.ÖNK kiadás'!G24</f>
        <v>0</v>
      </c>
      <c r="H23" s="341">
        <f>'4.sz.m.ÖNK kiadás'!H24</f>
        <v>0</v>
      </c>
      <c r="I23" s="341">
        <f>'4.sz.m.ÖNK kiadás'!I24</f>
        <v>0</v>
      </c>
      <c r="J23" s="341">
        <f>'4.sz.m.ÖNK kiadás'!J24</f>
        <v>0</v>
      </c>
      <c r="K23" s="428">
        <f>'4.sz.m.ÖNK kiadás'!K24</f>
        <v>0</v>
      </c>
      <c r="L23" s="341">
        <f>'4.sz.m.ÖNK kiadás'!L24</f>
        <v>0</v>
      </c>
      <c r="M23" s="341">
        <f>'4.sz.m.ÖNK kiadás'!M24</f>
        <v>0</v>
      </c>
      <c r="N23" s="341">
        <f>'4.sz.m.ÖNK kiadás'!N24</f>
        <v>0</v>
      </c>
      <c r="O23" s="341">
        <f>'4.sz.m.ÖNK kiadás'!O24</f>
        <v>0</v>
      </c>
      <c r="P23" s="341">
        <f>'4.sz.m.ÖNK kiadás'!P24</f>
        <v>0</v>
      </c>
      <c r="Q23" s="428"/>
      <c r="R23" s="428"/>
      <c r="S23" s="428"/>
      <c r="T23" s="428"/>
      <c r="U23" s="341"/>
      <c r="V23" s="341"/>
      <c r="W23" s="428"/>
      <c r="X23" s="341"/>
      <c r="Y23" s="341"/>
      <c r="Z23" s="341"/>
      <c r="AA23" s="341"/>
      <c r="AB23" s="341"/>
      <c r="AC23" s="341"/>
    </row>
    <row r="24" spans="1:29" s="5" customFormat="1" ht="33" customHeight="1" thickBot="1">
      <c r="A24" s="143" t="s">
        <v>9</v>
      </c>
      <c r="B24" s="1293" t="s">
        <v>104</v>
      </c>
      <c r="C24" s="1293"/>
      <c r="D24" s="1293"/>
      <c r="E24" s="429">
        <f aca="true" t="shared" si="10" ref="E24:L24">SUM(E25:E27)</f>
        <v>3791378</v>
      </c>
      <c r="F24" s="96">
        <f t="shared" si="10"/>
        <v>4684220</v>
      </c>
      <c r="G24" s="96">
        <f t="shared" si="10"/>
        <v>1953866</v>
      </c>
      <c r="H24" s="96">
        <f>SUM(H25:H27)</f>
        <v>0</v>
      </c>
      <c r="I24" s="96">
        <f t="shared" si="10"/>
        <v>0</v>
      </c>
      <c r="J24" s="96">
        <f t="shared" si="10"/>
        <v>0</v>
      </c>
      <c r="K24" s="429">
        <f t="shared" si="10"/>
        <v>3791378</v>
      </c>
      <c r="L24" s="96">
        <f t="shared" si="10"/>
        <v>4684220</v>
      </c>
      <c r="M24" s="96">
        <f>SUM(M25:M27)</f>
        <v>1953866</v>
      </c>
      <c r="N24" s="96">
        <f>SUM(N25:N27)</f>
        <v>0</v>
      </c>
      <c r="O24" s="96">
        <f>SUM(O25:O27)</f>
        <v>0</v>
      </c>
      <c r="P24" s="96">
        <f>SUM(P25:P27)</f>
        <v>0</v>
      </c>
      <c r="Q24" s="429">
        <f aca="true" t="shared" si="11" ref="Q24:Z24">SUM(Q25:Q27)</f>
        <v>0</v>
      </c>
      <c r="R24" s="429">
        <f>SUM(R25:R27)</f>
        <v>0</v>
      </c>
      <c r="S24" s="429">
        <f>SUM(S25:S27)</f>
        <v>0</v>
      </c>
      <c r="T24" s="429">
        <f>SUM(T25:T27)</f>
        <v>0</v>
      </c>
      <c r="U24" s="96">
        <f>SUM(U25:U27)</f>
        <v>0</v>
      </c>
      <c r="V24" s="96">
        <f>SUM(V25:V27)</f>
        <v>0</v>
      </c>
      <c r="W24" s="429">
        <f t="shared" si="11"/>
        <v>0</v>
      </c>
      <c r="X24" s="96">
        <f t="shared" si="11"/>
        <v>0</v>
      </c>
      <c r="Y24" s="96">
        <f t="shared" si="11"/>
        <v>0</v>
      </c>
      <c r="Z24" s="96">
        <f t="shared" si="11"/>
        <v>0</v>
      </c>
      <c r="AA24" s="96">
        <f>SUM(AA25:AA27)</f>
        <v>0</v>
      </c>
      <c r="AB24" s="96">
        <f>SUM(AB25:AB27)</f>
        <v>0</v>
      </c>
      <c r="AC24" s="96">
        <f>SUM(AC25:AC27)</f>
        <v>0</v>
      </c>
    </row>
    <row r="25" spans="1:29" s="5" customFormat="1" ht="33" customHeight="1">
      <c r="A25" s="142"/>
      <c r="B25" s="147" t="s">
        <v>40</v>
      </c>
      <c r="C25" s="1302" t="s">
        <v>2</v>
      </c>
      <c r="D25" s="1302"/>
      <c r="E25" s="428">
        <f>'4.sz.m.ÖNK kiadás'!E26</f>
        <v>3791378</v>
      </c>
      <c r="F25" s="341">
        <f>'4.sz.m.ÖNK kiadás'!F26</f>
        <v>4684220</v>
      </c>
      <c r="G25" s="341">
        <f>'4.sz.m.ÖNK kiadás'!G26</f>
        <v>1953866</v>
      </c>
      <c r="H25" s="341">
        <f>'4.sz.m.ÖNK kiadás'!H26</f>
        <v>0</v>
      </c>
      <c r="I25" s="341">
        <f>'4.sz.m.ÖNK kiadás'!I26+'üres lap'!H37</f>
        <v>0</v>
      </c>
      <c r="J25" s="341">
        <f>'4.sz.m.ÖNK kiadás'!J26+'üres lap'!I37</f>
        <v>0</v>
      </c>
      <c r="K25" s="428">
        <f>'4.sz.m.ÖNK kiadás'!K26</f>
        <v>3791378</v>
      </c>
      <c r="L25" s="341">
        <f>'4.sz.m.ÖNK kiadás'!L26</f>
        <v>4684220</v>
      </c>
      <c r="M25" s="341">
        <f>'4.sz.m.ÖNK kiadás'!M26</f>
        <v>1953866</v>
      </c>
      <c r="N25" s="341">
        <f>'4.sz.m.ÖNK kiadás'!N26</f>
        <v>0</v>
      </c>
      <c r="O25" s="341">
        <f>'4.sz.m.ÖNK kiadás'!O26</f>
        <v>0</v>
      </c>
      <c r="P25" s="341">
        <f>'4.sz.m.ÖNK kiadás'!P26</f>
        <v>0</v>
      </c>
      <c r="Q25" s="428"/>
      <c r="R25" s="428"/>
      <c r="S25" s="428"/>
      <c r="T25" s="428"/>
      <c r="U25" s="341"/>
      <c r="V25" s="341"/>
      <c r="W25" s="428"/>
      <c r="X25" s="341"/>
      <c r="Y25" s="341"/>
      <c r="Z25" s="341"/>
      <c r="AA25" s="341"/>
      <c r="AB25" s="341"/>
      <c r="AC25" s="341"/>
    </row>
    <row r="26" spans="1:29" s="9" customFormat="1" ht="33" customHeight="1">
      <c r="A26" s="156"/>
      <c r="B26" s="134" t="s">
        <v>41</v>
      </c>
      <c r="C26" s="1305" t="s">
        <v>289</v>
      </c>
      <c r="D26" s="1305"/>
      <c r="E26" s="428"/>
      <c r="F26" s="341"/>
      <c r="G26" s="341"/>
      <c r="H26" s="341"/>
      <c r="I26" s="341"/>
      <c r="J26" s="341"/>
      <c r="K26" s="428"/>
      <c r="L26" s="341"/>
      <c r="M26" s="341"/>
      <c r="N26" s="341"/>
      <c r="O26" s="341"/>
      <c r="P26" s="341"/>
      <c r="Q26" s="428"/>
      <c r="R26" s="428"/>
      <c r="S26" s="428"/>
      <c r="T26" s="428"/>
      <c r="U26" s="341"/>
      <c r="V26" s="341"/>
      <c r="W26" s="428"/>
      <c r="X26" s="341"/>
      <c r="Y26" s="341"/>
      <c r="Z26" s="341"/>
      <c r="AA26" s="341"/>
      <c r="AB26" s="341"/>
      <c r="AC26" s="341"/>
    </row>
    <row r="27" spans="1:29" s="9" customFormat="1" ht="33" customHeight="1" thickBot="1">
      <c r="A27" s="162"/>
      <c r="B27" s="148" t="s">
        <v>72</v>
      </c>
      <c r="C27" s="163" t="s">
        <v>105</v>
      </c>
      <c r="D27" s="163"/>
      <c r="E27" s="428"/>
      <c r="F27" s="341"/>
      <c r="G27" s="341"/>
      <c r="H27" s="341"/>
      <c r="I27" s="341"/>
      <c r="J27" s="341"/>
      <c r="K27" s="428"/>
      <c r="L27" s="341"/>
      <c r="M27" s="341"/>
      <c r="N27" s="341"/>
      <c r="O27" s="341"/>
      <c r="P27" s="341"/>
      <c r="Q27" s="428"/>
      <c r="R27" s="428"/>
      <c r="S27" s="428"/>
      <c r="T27" s="428"/>
      <c r="U27" s="341"/>
      <c r="V27" s="341"/>
      <c r="W27" s="428"/>
      <c r="X27" s="341"/>
      <c r="Y27" s="341"/>
      <c r="Z27" s="341"/>
      <c r="AA27" s="341"/>
      <c r="AB27" s="341"/>
      <c r="AC27" s="341"/>
    </row>
    <row r="28" spans="1:29" s="9" customFormat="1" ht="33" customHeight="1" thickBot="1">
      <c r="A28" s="122" t="s">
        <v>10</v>
      </c>
      <c r="B28" s="149" t="s">
        <v>106</v>
      </c>
      <c r="C28" s="149"/>
      <c r="D28" s="149"/>
      <c r="E28" s="430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0">
        <v>0</v>
      </c>
      <c r="L28" s="431">
        <v>0</v>
      </c>
      <c r="M28" s="431">
        <v>0</v>
      </c>
      <c r="N28" s="431">
        <v>0</v>
      </c>
      <c r="O28" s="431">
        <v>2</v>
      </c>
      <c r="P28" s="431">
        <v>3</v>
      </c>
      <c r="Q28" s="430"/>
      <c r="R28" s="430"/>
      <c r="S28" s="430"/>
      <c r="T28" s="430"/>
      <c r="U28" s="431"/>
      <c r="V28" s="431"/>
      <c r="W28" s="430"/>
      <c r="X28" s="431"/>
      <c r="Y28" s="431"/>
      <c r="Z28" s="431"/>
      <c r="AA28" s="431"/>
      <c r="AB28" s="431"/>
      <c r="AC28" s="431"/>
    </row>
    <row r="29" spans="1:29" s="9" customFormat="1" ht="33" customHeight="1" thickBot="1">
      <c r="A29" s="143" t="s">
        <v>11</v>
      </c>
      <c r="B29" s="1266" t="s">
        <v>107</v>
      </c>
      <c r="C29" s="1266"/>
      <c r="D29" s="1266"/>
      <c r="E29" s="427">
        <f>E5+E16+E24+E28</f>
        <v>66477164</v>
      </c>
      <c r="F29" s="339">
        <f aca="true" t="shared" si="12" ref="F29:AC29">F5+F16+F24+F28</f>
        <v>67385769</v>
      </c>
      <c r="G29" s="339">
        <f t="shared" si="12"/>
        <v>66458210</v>
      </c>
      <c r="H29" s="339">
        <f>H5+H16+H24+H28</f>
        <v>87662596</v>
      </c>
      <c r="I29" s="339">
        <f t="shared" si="12"/>
        <v>0</v>
      </c>
      <c r="J29" s="339">
        <f t="shared" si="12"/>
        <v>0</v>
      </c>
      <c r="K29" s="427">
        <f>K5+K16+K24+K28</f>
        <v>58904620</v>
      </c>
      <c r="L29" s="339">
        <f t="shared" si="12"/>
        <v>59813225</v>
      </c>
      <c r="M29" s="339">
        <f>M5+M16+M24+M28</f>
        <v>58770676</v>
      </c>
      <c r="N29" s="339">
        <f>N5+N16+N24+N28</f>
        <v>80162781</v>
      </c>
      <c r="O29" s="339">
        <f>O5+O16+O24+O28</f>
        <v>-164822.7329498639</v>
      </c>
      <c r="P29" s="339">
        <f>P5+P16+P24+P28</f>
        <v>30714317</v>
      </c>
      <c r="Q29" s="427">
        <f t="shared" si="12"/>
        <v>7572544</v>
      </c>
      <c r="R29" s="427">
        <f>R5+R16+R24+R28</f>
        <v>7572544</v>
      </c>
      <c r="S29" s="427">
        <f>S5+S16+S24+S28</f>
        <v>7687534</v>
      </c>
      <c r="T29" s="427">
        <f>T5+T16+T24+T28</f>
        <v>7499815</v>
      </c>
      <c r="U29" s="339">
        <f t="shared" si="12"/>
        <v>164825.9235362416</v>
      </c>
      <c r="V29" s="339">
        <f t="shared" si="12"/>
        <v>1334000</v>
      </c>
      <c r="W29" s="427">
        <f t="shared" si="12"/>
        <v>0</v>
      </c>
      <c r="X29" s="339">
        <f t="shared" si="12"/>
        <v>0</v>
      </c>
      <c r="Y29" s="339">
        <f t="shared" si="12"/>
        <v>0</v>
      </c>
      <c r="Z29" s="339">
        <f t="shared" si="12"/>
        <v>0</v>
      </c>
      <c r="AA29" s="339">
        <f t="shared" si="12"/>
        <v>0</v>
      </c>
      <c r="AB29" s="339">
        <f t="shared" si="12"/>
        <v>0</v>
      </c>
      <c r="AC29" s="339">
        <f t="shared" si="12"/>
        <v>0</v>
      </c>
    </row>
    <row r="30" spans="1:29" s="9" customFormat="1" ht="33" customHeight="1" thickBot="1">
      <c r="A30" s="120" t="s">
        <v>12</v>
      </c>
      <c r="B30" s="1306" t="s">
        <v>178</v>
      </c>
      <c r="C30" s="1306"/>
      <c r="D30" s="1306"/>
      <c r="E30" s="432">
        <f>E31+E32</f>
        <v>650615</v>
      </c>
      <c r="F30" s="146">
        <f>'4.sz.m.ÖNK kiadás'!F32</f>
        <v>650615</v>
      </c>
      <c r="G30" s="146">
        <f>'4.sz.m.ÖNK kiadás'!G32</f>
        <v>650615</v>
      </c>
      <c r="H30" s="146">
        <f>'4.sz.m.ÖNK kiadás'!H32</f>
        <v>650615</v>
      </c>
      <c r="I30" s="146">
        <f>'4.sz.m.ÖNK kiadás'!I32</f>
        <v>0</v>
      </c>
      <c r="J30" s="146">
        <f>'4.sz.m.ÖNK kiadás'!J32</f>
        <v>0</v>
      </c>
      <c r="K30" s="432">
        <f>'4.sz.m.ÖNK kiadás'!K32</f>
        <v>650615</v>
      </c>
      <c r="L30" s="146">
        <f>'4.sz.m.ÖNK kiadás'!L32</f>
        <v>650615</v>
      </c>
      <c r="M30" s="146">
        <f>'4.sz.m.ÖNK kiadás'!M32</f>
        <v>650615</v>
      </c>
      <c r="N30" s="146">
        <f>'4.sz.m.ÖNK kiadás'!N32</f>
        <v>650615</v>
      </c>
      <c r="O30" s="146">
        <f>'4.sz.m.ÖNK kiadás'!O32</f>
        <v>6</v>
      </c>
      <c r="P30" s="146">
        <f>'4.sz.m.ÖNK kiadás'!P32</f>
        <v>8</v>
      </c>
      <c r="Q30" s="432"/>
      <c r="R30" s="432"/>
      <c r="S30" s="432"/>
      <c r="T30" s="432"/>
      <c r="U30" s="146"/>
      <c r="V30" s="146"/>
      <c r="W30" s="432"/>
      <c r="X30" s="146"/>
      <c r="Y30" s="146"/>
      <c r="Z30" s="146"/>
      <c r="AA30" s="146"/>
      <c r="AB30" s="146"/>
      <c r="AC30" s="146"/>
    </row>
    <row r="31" spans="1:29" s="5" customFormat="1" ht="33" customHeight="1">
      <c r="A31" s="165"/>
      <c r="B31" s="147" t="s">
        <v>44</v>
      </c>
      <c r="C31" s="1263" t="s">
        <v>291</v>
      </c>
      <c r="D31" s="1263"/>
      <c r="E31" s="428"/>
      <c r="F31" s="341"/>
      <c r="G31" s="341"/>
      <c r="H31" s="341"/>
      <c r="I31" s="341"/>
      <c r="J31" s="341"/>
      <c r="K31" s="428"/>
      <c r="L31" s="341"/>
      <c r="M31" s="341"/>
      <c r="N31" s="341"/>
      <c r="O31" s="341"/>
      <c r="P31" s="341"/>
      <c r="Q31" s="428"/>
      <c r="R31" s="428"/>
      <c r="S31" s="428"/>
      <c r="T31" s="428"/>
      <c r="U31" s="341"/>
      <c r="V31" s="341"/>
      <c r="W31" s="428"/>
      <c r="X31" s="341"/>
      <c r="Y31" s="341"/>
      <c r="Z31" s="341"/>
      <c r="AA31" s="341"/>
      <c r="AB31" s="341"/>
      <c r="AC31" s="341"/>
    </row>
    <row r="32" spans="1:29" s="5" customFormat="1" ht="33" customHeight="1" thickBot="1">
      <c r="A32" s="161"/>
      <c r="B32" s="148" t="s">
        <v>338</v>
      </c>
      <c r="C32" s="1312" t="s">
        <v>388</v>
      </c>
      <c r="D32" s="1312"/>
      <c r="E32" s="1026">
        <f>'4.sz.m.ÖNK kiadás'!E34</f>
        <v>650615</v>
      </c>
      <c r="F32" s="1026">
        <f>'4.sz.m.ÖNK kiadás'!F34</f>
        <v>650615</v>
      </c>
      <c r="G32" s="1026">
        <f>'4.sz.m.ÖNK kiadás'!G34</f>
        <v>650615</v>
      </c>
      <c r="H32" s="1026">
        <f>'4.sz.m.ÖNK kiadás'!H34</f>
        <v>650615</v>
      </c>
      <c r="I32" s="1026">
        <f>'4.sz.m.ÖNK kiadás'!I34</f>
        <v>0</v>
      </c>
      <c r="J32" s="1026">
        <f>'4.sz.m.ÖNK kiadás'!J34</f>
        <v>0</v>
      </c>
      <c r="K32" s="1026">
        <f>'4.sz.m.ÖNK kiadás'!K34</f>
        <v>650615</v>
      </c>
      <c r="L32" s="1026">
        <f>'4.sz.m.ÖNK kiadás'!L34</f>
        <v>650615</v>
      </c>
      <c r="M32" s="1026">
        <f>'4.sz.m.ÖNK kiadás'!M34</f>
        <v>650615</v>
      </c>
      <c r="N32" s="1026">
        <f>'4.sz.m.ÖNK kiadás'!N34</f>
        <v>650615</v>
      </c>
      <c r="O32" s="1026">
        <f>'4.sz.m.ÖNK kiadás'!O34</f>
        <v>0</v>
      </c>
      <c r="P32" s="1026">
        <f>'4.sz.m.ÖNK kiadás'!P34</f>
        <v>0</v>
      </c>
      <c r="Q32" s="433"/>
      <c r="R32" s="433"/>
      <c r="S32" s="433"/>
      <c r="T32" s="433"/>
      <c r="U32" s="164"/>
      <c r="V32" s="164"/>
      <c r="W32" s="433"/>
      <c r="X32" s="164"/>
      <c r="Y32" s="164"/>
      <c r="Z32" s="164"/>
      <c r="AA32" s="164"/>
      <c r="AB32" s="164"/>
      <c r="AC32" s="164"/>
    </row>
    <row r="33" spans="1:29" s="5" customFormat="1" ht="33" customHeight="1" thickBot="1">
      <c r="A33" s="454" t="s">
        <v>13</v>
      </c>
      <c r="B33" s="1311" t="s">
        <v>202</v>
      </c>
      <c r="C33" s="1311"/>
      <c r="D33" s="1311"/>
      <c r="E33" s="455">
        <f>E29+E30</f>
        <v>67127779</v>
      </c>
      <c r="F33" s="456">
        <f aca="true" t="shared" si="13" ref="F33:L33">F29+F30</f>
        <v>68036384</v>
      </c>
      <c r="G33" s="456">
        <f t="shared" si="13"/>
        <v>67108825</v>
      </c>
      <c r="H33" s="456">
        <f>H29+H30</f>
        <v>88313211</v>
      </c>
      <c r="I33" s="456">
        <f t="shared" si="13"/>
        <v>0</v>
      </c>
      <c r="J33" s="456">
        <f t="shared" si="13"/>
        <v>0</v>
      </c>
      <c r="K33" s="455">
        <f t="shared" si="13"/>
        <v>59555235</v>
      </c>
      <c r="L33" s="456">
        <f t="shared" si="13"/>
        <v>60463840</v>
      </c>
      <c r="M33" s="456">
        <f>M29+M30</f>
        <v>59421291</v>
      </c>
      <c r="N33" s="456">
        <f>N29+N30</f>
        <v>80813396</v>
      </c>
      <c r="O33" s="456">
        <f>O29+O30</f>
        <v>-164816.7329498639</v>
      </c>
      <c r="P33" s="456">
        <f>P29+P30</f>
        <v>30714325</v>
      </c>
      <c r="Q33" s="455">
        <f aca="true" t="shared" si="14" ref="Q33:Z33">Q29+Q30</f>
        <v>7572544</v>
      </c>
      <c r="R33" s="455">
        <f>R29+R30</f>
        <v>7572544</v>
      </c>
      <c r="S33" s="455">
        <f>S29+S30</f>
        <v>7687534</v>
      </c>
      <c r="T33" s="455">
        <f>T29+T30</f>
        <v>7499815</v>
      </c>
      <c r="U33" s="456">
        <f>U29+U30</f>
        <v>164825.9235362416</v>
      </c>
      <c r="V33" s="456">
        <f>V29+V30</f>
        <v>1334000</v>
      </c>
      <c r="W33" s="455">
        <f t="shared" si="14"/>
        <v>0</v>
      </c>
      <c r="X33" s="456">
        <f t="shared" si="14"/>
        <v>0</v>
      </c>
      <c r="Y33" s="456">
        <f t="shared" si="14"/>
        <v>0</v>
      </c>
      <c r="Z33" s="456">
        <f t="shared" si="14"/>
        <v>0</v>
      </c>
      <c r="AA33" s="456">
        <f>AA29+AA30</f>
        <v>0</v>
      </c>
      <c r="AB33" s="456">
        <f>AB29+AB30</f>
        <v>0</v>
      </c>
      <c r="AC33" s="456">
        <f>AC29+AC30</f>
        <v>0</v>
      </c>
    </row>
    <row r="34" spans="1:29" s="5" customFormat="1" ht="33" customHeight="1" hidden="1" thickBot="1">
      <c r="A34" s="1309" t="s">
        <v>203</v>
      </c>
      <c r="B34" s="1310"/>
      <c r="C34" s="1310"/>
      <c r="D34" s="1310"/>
      <c r="E34" s="559"/>
      <c r="F34" s="457"/>
      <c r="G34" s="457"/>
      <c r="H34" s="457"/>
      <c r="I34" s="164"/>
      <c r="J34" s="164"/>
      <c r="K34" s="559"/>
      <c r="L34" s="457"/>
      <c r="M34" s="457"/>
      <c r="N34" s="457"/>
      <c r="O34" s="457"/>
      <c r="P34" s="457"/>
      <c r="Q34" s="559"/>
      <c r="R34" s="559"/>
      <c r="S34" s="559"/>
      <c r="T34" s="559"/>
      <c r="U34" s="164"/>
      <c r="V34" s="164"/>
      <c r="W34" s="559"/>
      <c r="X34" s="457"/>
      <c r="Y34" s="457"/>
      <c r="Z34" s="457"/>
      <c r="AA34" s="164"/>
      <c r="AB34" s="164"/>
      <c r="AC34" s="164"/>
    </row>
    <row r="35" spans="1:29" s="5" customFormat="1" ht="33" customHeight="1" thickBot="1">
      <c r="A35" s="1265" t="s">
        <v>109</v>
      </c>
      <c r="B35" s="1266"/>
      <c r="C35" s="1266"/>
      <c r="D35" s="1266"/>
      <c r="E35" s="429">
        <f aca="true" t="shared" si="15" ref="E35:J35">E33+E34</f>
        <v>67127779</v>
      </c>
      <c r="F35" s="96">
        <f t="shared" si="15"/>
        <v>68036384</v>
      </c>
      <c r="G35" s="96">
        <f t="shared" si="15"/>
        <v>67108825</v>
      </c>
      <c r="H35" s="96">
        <f>H33+H34</f>
        <v>88313211</v>
      </c>
      <c r="I35" s="96">
        <f t="shared" si="15"/>
        <v>0</v>
      </c>
      <c r="J35" s="96">
        <f t="shared" si="15"/>
        <v>0</v>
      </c>
      <c r="K35" s="429">
        <f aca="true" t="shared" si="16" ref="K35:AC35">K33+K34</f>
        <v>59555235</v>
      </c>
      <c r="L35" s="96">
        <f t="shared" si="16"/>
        <v>60463840</v>
      </c>
      <c r="M35" s="96">
        <f>M33+M34</f>
        <v>59421291</v>
      </c>
      <c r="N35" s="96">
        <f>N33+N34</f>
        <v>80813396</v>
      </c>
      <c r="O35" s="96">
        <f>O33+O34</f>
        <v>-164816.7329498639</v>
      </c>
      <c r="P35" s="96">
        <f>P33+P34</f>
        <v>30714325</v>
      </c>
      <c r="Q35" s="429">
        <f t="shared" si="16"/>
        <v>7572544</v>
      </c>
      <c r="R35" s="429">
        <f>R33+R34</f>
        <v>7572544</v>
      </c>
      <c r="S35" s="429">
        <f>S33+S34</f>
        <v>7687534</v>
      </c>
      <c r="T35" s="429">
        <f>T33+T34</f>
        <v>7499815</v>
      </c>
      <c r="U35" s="96">
        <f t="shared" si="16"/>
        <v>164825.9235362416</v>
      </c>
      <c r="V35" s="96">
        <f t="shared" si="16"/>
        <v>1334000</v>
      </c>
      <c r="W35" s="429">
        <f t="shared" si="16"/>
        <v>0</v>
      </c>
      <c r="X35" s="96">
        <f t="shared" si="16"/>
        <v>0</v>
      </c>
      <c r="Y35" s="96">
        <f t="shared" si="16"/>
        <v>0</v>
      </c>
      <c r="Z35" s="96">
        <f t="shared" si="16"/>
        <v>0</v>
      </c>
      <c r="AA35" s="96">
        <f t="shared" si="16"/>
        <v>0</v>
      </c>
      <c r="AB35" s="96">
        <f t="shared" si="16"/>
        <v>0</v>
      </c>
      <c r="AC35" s="96">
        <f t="shared" si="16"/>
        <v>0</v>
      </c>
    </row>
    <row r="36" spans="1:28" s="5" customFormat="1" ht="19.5" customHeight="1">
      <c r="A36" s="79"/>
      <c r="B36" s="150"/>
      <c r="C36" s="79"/>
      <c r="D36" s="79"/>
      <c r="E36" s="6"/>
      <c r="F36" s="6"/>
      <c r="G36" s="6"/>
      <c r="H36" s="6"/>
      <c r="I36" s="6"/>
      <c r="J36" s="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561"/>
      <c r="X36" s="561"/>
      <c r="Y36" s="561"/>
      <c r="Z36" s="561"/>
      <c r="AA36" s="561"/>
      <c r="AB36" s="561"/>
    </row>
    <row r="37" spans="1:28" s="5" customFormat="1" ht="19.5" customHeight="1">
      <c r="A37" s="79"/>
      <c r="B37" s="150"/>
      <c r="C37" s="79"/>
      <c r="D37" s="79"/>
      <c r="E37" s="6"/>
      <c r="F37" s="6"/>
      <c r="G37" s="6"/>
      <c r="H37" s="6"/>
      <c r="I37" s="6"/>
      <c r="J37" s="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560"/>
      <c r="X37" s="560"/>
      <c r="Y37" s="560"/>
      <c r="Z37" s="560"/>
      <c r="AA37" s="560"/>
      <c r="AB37" s="560"/>
    </row>
    <row r="38" spans="1:28" s="5" customFormat="1" ht="19.5" customHeight="1">
      <c r="A38" s="79"/>
      <c r="B38" s="150"/>
      <c r="C38" s="1303" t="s">
        <v>50</v>
      </c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350"/>
      <c r="S38" s="350"/>
      <c r="T38" s="350"/>
      <c r="U38" s="350"/>
      <c r="V38" s="350"/>
      <c r="W38" s="562"/>
      <c r="X38" s="562"/>
      <c r="Y38" s="562"/>
      <c r="Z38" s="562"/>
      <c r="AA38" s="562"/>
      <c r="AB38" s="563"/>
    </row>
    <row r="39" spans="1:28" s="5" customFormat="1" ht="19.5" customHeight="1" thickBot="1">
      <c r="A39" s="297" t="s">
        <v>51</v>
      </c>
      <c r="B39" s="297"/>
      <c r="E39" s="274"/>
      <c r="F39" s="274"/>
      <c r="G39" s="274"/>
      <c r="H39" s="274"/>
      <c r="I39" s="274"/>
      <c r="J39" s="274"/>
      <c r="K39" s="275"/>
      <c r="L39" s="275"/>
      <c r="M39" s="275"/>
      <c r="N39" s="275"/>
      <c r="O39" s="275"/>
      <c r="P39" s="275"/>
      <c r="Q39" s="276">
        <v>0</v>
      </c>
      <c r="R39" s="276"/>
      <c r="S39" s="276"/>
      <c r="T39" s="276"/>
      <c r="U39" s="276"/>
      <c r="V39" s="276"/>
      <c r="W39" s="564"/>
      <c r="X39" s="564"/>
      <c r="Y39" s="564"/>
      <c r="Z39" s="564"/>
      <c r="AA39" s="564"/>
      <c r="AB39" s="565"/>
    </row>
    <row r="40" spans="1:29" ht="52.5" customHeight="1" thickBot="1">
      <c r="A40" s="277">
        <v>1</v>
      </c>
      <c r="B40" s="1313" t="s">
        <v>114</v>
      </c>
      <c r="C40" s="1314"/>
      <c r="D40" s="1315"/>
      <c r="E40" s="296">
        <f>'1.sz.m-önk.össze.bev'!E55-'1 .sz.m.önk.össz.kiad.'!E29</f>
        <v>-37837649</v>
      </c>
      <c r="F40" s="296">
        <f>'1.sz.m-önk.össze.bev'!F55-'1 .sz.m.önk.össz.kiad.'!F29</f>
        <v>-37837649</v>
      </c>
      <c r="G40" s="296">
        <f>'1.sz.m-önk.össze.bev'!G55-'1 .sz.m.önk.össz.kiad.'!G29</f>
        <v>-36137649</v>
      </c>
      <c r="H40" s="296">
        <f>'1.sz.m-önk.össze.bev'!H55-'1 .sz.m.önk.össz.kiad.'!H29</f>
        <v>-36796953</v>
      </c>
      <c r="I40" s="296">
        <f>'1.sz.m-önk.össze.bev'!I55-'1 .sz.m.önk.össz.kiad.'!I29</f>
        <v>0</v>
      </c>
      <c r="J40" s="296">
        <f>'1.sz.m-önk.össze.bev'!J55-'1 .sz.m.önk.össz.kiad.'!J29</f>
        <v>0</v>
      </c>
      <c r="K40" s="296">
        <f>'1.sz.m-önk.össze.bev'!K55-'1 .sz.m.önk.össz.kiad.'!K29</f>
        <v>-37837649</v>
      </c>
      <c r="L40" s="296">
        <f>'1.sz.m-önk.össze.bev'!L55-'1 .sz.m.önk.össz.kiad.'!L29</f>
        <v>-37837649</v>
      </c>
      <c r="M40" s="296">
        <f>'1.sz.m-önk.össze.bev'!M55-'1 .sz.m.önk.össz.kiad.'!M29</f>
        <v>-36137649</v>
      </c>
      <c r="N40" s="296">
        <f>'1.sz.m-önk.össze.bev'!N55-'1 .sz.m.önk.össz.kiad.'!N29</f>
        <v>-36796953</v>
      </c>
      <c r="O40" s="296">
        <f>'1.sz.m-önk.össze.bev'!O55-'1 .sz.m.önk.össz.kiad.'!O29</f>
        <v>164822.7329498639</v>
      </c>
      <c r="P40" s="296">
        <f>'1.sz.m-önk.össze.bev'!P55-'1 .sz.m.önk.össz.kiad.'!P29</f>
        <v>-30714317</v>
      </c>
      <c r="Q40" s="296">
        <f>'1.sz.m-önk.össze.bev'!Q55-'1 .sz.m.önk.össz.kiad.'!Q29</f>
        <v>0</v>
      </c>
      <c r="R40" s="296">
        <f>'1.sz.m-önk.össze.bev'!R55-'1 .sz.m.önk.össz.kiad.'!R29</f>
        <v>0</v>
      </c>
      <c r="S40" s="296">
        <f>'1.sz.m-önk.össze.bev'!S55-'1 .sz.m.önk.össz.kiad.'!S29</f>
        <v>0</v>
      </c>
      <c r="T40" s="296">
        <f>'1.sz.m-önk.össze.bev'!T55-'1 .sz.m.önk.össz.kiad.'!T29</f>
        <v>0</v>
      </c>
      <c r="U40" s="296">
        <f>'1.sz.m-önk.össze.bev'!U55-'1 .sz.m.önk.össz.kiad.'!U29</f>
        <v>6.00000000037835</v>
      </c>
      <c r="V40" s="296">
        <f>'1.sz.m-önk.össze.bev'!V55-'1 .sz.m.önk.össz.kiad.'!V29</f>
        <v>8</v>
      </c>
      <c r="W40" s="296">
        <f>'1.sz.m-önk.össze.bev'!W55-'1 .sz.m.önk.össz.kiad.'!W29</f>
        <v>0</v>
      </c>
      <c r="X40" s="296">
        <f>'1.sz.m-önk.össze.bev'!X55-'1 .sz.m.önk.össz.kiad.'!X29</f>
        <v>0</v>
      </c>
      <c r="Y40" s="296">
        <f>'1.sz.m-önk.össze.bev'!Y55-'1 .sz.m.önk.össz.kiad.'!Y29</f>
        <v>0</v>
      </c>
      <c r="Z40" s="296">
        <f>'1.sz.m-önk.össze.bev'!Z55-'1 .sz.m.önk.össz.kiad.'!Z29</f>
        <v>0</v>
      </c>
      <c r="AA40" s="296" t="e">
        <f>#REF!-'1 .sz.m.önk.össz.kiad.'!AA29</f>
        <v>#REF!</v>
      </c>
      <c r="AB40" s="296" t="e">
        <f>#REF!-'1 .sz.m.önk.össz.kiad.'!AB29</f>
        <v>#REF!</v>
      </c>
      <c r="AC40" s="296" t="e">
        <f>#REF!-'1 .sz.m.önk.össz.kiad.'!AC29</f>
        <v>#REF!</v>
      </c>
    </row>
    <row r="41" spans="1:22" ht="15.75">
      <c r="A41" s="152"/>
      <c r="B41" s="78"/>
      <c r="C41" s="274"/>
      <c r="D41" s="274"/>
      <c r="E41" s="278"/>
      <c r="F41" s="278"/>
      <c r="G41" s="278"/>
      <c r="H41" s="278"/>
      <c r="I41" s="278"/>
      <c r="J41" s="278"/>
      <c r="K41" s="275"/>
      <c r="L41" s="275"/>
      <c r="M41" s="275"/>
      <c r="N41" s="275"/>
      <c r="O41" s="275"/>
      <c r="P41" s="275"/>
      <c r="Q41" s="276">
        <v>0</v>
      </c>
      <c r="R41" s="276"/>
      <c r="S41" s="276"/>
      <c r="T41" s="276"/>
      <c r="U41" s="276"/>
      <c r="V41" s="276"/>
    </row>
    <row r="42" spans="1:22" ht="15.75" customHeight="1">
      <c r="A42" s="152"/>
      <c r="B42" s="78"/>
      <c r="C42" s="1288" t="s">
        <v>115</v>
      </c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348"/>
      <c r="S42" s="348"/>
      <c r="T42" s="348"/>
      <c r="U42" s="348"/>
      <c r="V42" s="348"/>
    </row>
    <row r="43" spans="1:22" ht="16.5" thickBot="1">
      <c r="A43" s="297" t="s">
        <v>116</v>
      </c>
      <c r="B43" s="78"/>
      <c r="C43" s="1307"/>
      <c r="D43" s="1307"/>
      <c r="E43" s="274"/>
      <c r="F43" s="274"/>
      <c r="G43" s="274"/>
      <c r="H43" s="274"/>
      <c r="I43" s="274"/>
      <c r="J43" s="274"/>
      <c r="K43" s="275"/>
      <c r="L43" s="275"/>
      <c r="M43" s="275"/>
      <c r="N43" s="275"/>
      <c r="O43" s="275"/>
      <c r="P43" s="275"/>
      <c r="Q43" s="276">
        <v>0</v>
      </c>
      <c r="R43" s="276"/>
      <c r="S43" s="276"/>
      <c r="T43" s="276"/>
      <c r="U43" s="276"/>
      <c r="V43" s="276"/>
    </row>
    <row r="44" spans="1:29" ht="27.75" customHeight="1">
      <c r="A44" s="291" t="s">
        <v>25</v>
      </c>
      <c r="B44" s="1299" t="s">
        <v>486</v>
      </c>
      <c r="C44" s="1300"/>
      <c r="D44" s="1301"/>
      <c r="E44" s="311">
        <f>'2.sz.m.összehasonlító'!B16</f>
        <v>2192893</v>
      </c>
      <c r="F44" s="311">
        <f>'2.sz.m.összehasonlító'!C16</f>
        <v>2192893</v>
      </c>
      <c r="G44" s="311">
        <f>'2.sz.m.összehasonlító'!D16</f>
        <v>2192893</v>
      </c>
      <c r="H44" s="311">
        <f>'2.sz.m.összehasonlító'!E16</f>
        <v>2193149</v>
      </c>
      <c r="I44" s="311">
        <f>'1.sz.m-önk.össze.bev'!I59</f>
        <v>0</v>
      </c>
      <c r="J44" s="311">
        <f>'1.sz.m-önk.össze.bev'!J59</f>
        <v>0</v>
      </c>
      <c r="K44" s="311">
        <f>'2.sz.m.összehasonlító'!B16-Q44</f>
        <v>2192893</v>
      </c>
      <c r="L44" s="311">
        <f>'2.sz.m.összehasonlító'!C16-R44</f>
        <v>2192893</v>
      </c>
      <c r="M44" s="311">
        <f>'2.sz.m.összehasonlító'!D16-S44</f>
        <v>2192893</v>
      </c>
      <c r="N44" s="311">
        <f>'2.sz.m.összehasonlító'!E16-T44</f>
        <v>2193149</v>
      </c>
      <c r="O44" s="311">
        <f>'1.sz.m-önk.össze.bev'!O59</f>
        <v>0</v>
      </c>
      <c r="P44" s="311">
        <f>'1.sz.m-önk.össze.bev'!P59</f>
        <v>0</v>
      </c>
      <c r="Q44" s="311">
        <f>'1.sz.m-önk.össze.bev'!Q59</f>
        <v>0</v>
      </c>
      <c r="R44" s="311">
        <f>'1.sz.m-önk.össze.bev'!R59</f>
        <v>0</v>
      </c>
      <c r="S44" s="311">
        <f>'1.sz.m-önk.össze.bev'!S59</f>
        <v>0</v>
      </c>
      <c r="T44" s="311">
        <f>'1.sz.m-önk.össze.bev'!T59</f>
        <v>0</v>
      </c>
      <c r="U44" s="311">
        <f>'1.sz.m-önk.össze.bev'!U59</f>
        <v>0</v>
      </c>
      <c r="V44" s="311">
        <f>'1.sz.m-önk.össze.bev'!V59</f>
        <v>0</v>
      </c>
      <c r="W44" s="311">
        <f>'1.sz.m-önk.össze.bev'!W59</f>
        <v>0</v>
      </c>
      <c r="X44" s="311">
        <f>'1.sz.m-önk.össze.bev'!X59</f>
        <v>0</v>
      </c>
      <c r="Y44" s="311">
        <f>'1.sz.m-önk.össze.bev'!Y59</f>
        <v>0</v>
      </c>
      <c r="Z44" s="311">
        <f>'1.sz.m-önk.össze.bev'!Z59</f>
        <v>0</v>
      </c>
      <c r="AA44" s="311" t="e">
        <f>#REF!</f>
        <v>#REF!</v>
      </c>
      <c r="AB44" s="311" t="e">
        <f>#REF!</f>
        <v>#REF!</v>
      </c>
      <c r="AC44" s="311" t="e">
        <f>#REF!</f>
        <v>#REF!</v>
      </c>
    </row>
    <row r="45" spans="1:29" ht="27.75" customHeight="1">
      <c r="A45" s="292" t="s">
        <v>26</v>
      </c>
      <c r="B45" s="1279" t="s">
        <v>487</v>
      </c>
      <c r="C45" s="1280"/>
      <c r="D45" s="1281"/>
      <c r="E45" s="312">
        <f>'2.sz.m.összehasonlító'!B27</f>
        <v>34595371</v>
      </c>
      <c r="F45" s="312">
        <f>'2.sz.m.összehasonlító'!C27</f>
        <v>34595371</v>
      </c>
      <c r="G45" s="312">
        <f>'2.sz.m.összehasonlító'!D27</f>
        <v>34595371</v>
      </c>
      <c r="H45" s="312">
        <f>'2.sz.m.összehasonlító'!E27</f>
        <v>34595371</v>
      </c>
      <c r="I45" s="312"/>
      <c r="J45" s="312"/>
      <c r="K45" s="312">
        <f>'2.sz.m.összehasonlító'!B27</f>
        <v>34595371</v>
      </c>
      <c r="L45" s="312">
        <f>'2.sz.m.összehasonlító'!C27</f>
        <v>34595371</v>
      </c>
      <c r="M45" s="312">
        <f>'2.sz.m.összehasonlító'!D27</f>
        <v>34595371</v>
      </c>
      <c r="N45" s="312">
        <f>'2.sz.m.összehasonlító'!E27</f>
        <v>34595371</v>
      </c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</row>
    <row r="46" spans="1:29" ht="27.75" customHeight="1" thickBot="1">
      <c r="A46" s="293" t="s">
        <v>9</v>
      </c>
      <c r="B46" s="1296" t="s">
        <v>488</v>
      </c>
      <c r="C46" s="1297"/>
      <c r="D46" s="1298"/>
      <c r="E46" s="310">
        <f>E44+E45</f>
        <v>36788264</v>
      </c>
      <c r="F46" s="310">
        <f aca="true" t="shared" si="17" ref="F46:T46">F44+F45</f>
        <v>36788264</v>
      </c>
      <c r="G46" s="310">
        <f>G44+G45</f>
        <v>36788264</v>
      </c>
      <c r="H46" s="310">
        <f>H44+H45</f>
        <v>36788520</v>
      </c>
      <c r="I46" s="310">
        <f t="shared" si="17"/>
        <v>0</v>
      </c>
      <c r="J46" s="310">
        <f t="shared" si="17"/>
        <v>0</v>
      </c>
      <c r="K46" s="310">
        <f>K44+K45</f>
        <v>36788264</v>
      </c>
      <c r="L46" s="310">
        <f t="shared" si="17"/>
        <v>36788264</v>
      </c>
      <c r="M46" s="310">
        <f>M44+M45</f>
        <v>36788264</v>
      </c>
      <c r="N46" s="310">
        <f>N44+N45</f>
        <v>36788520</v>
      </c>
      <c r="O46" s="310">
        <f t="shared" si="17"/>
        <v>0</v>
      </c>
      <c r="P46" s="310">
        <f t="shared" si="17"/>
        <v>0</v>
      </c>
      <c r="Q46" s="310">
        <f>Q44+Q45</f>
        <v>0</v>
      </c>
      <c r="R46" s="310">
        <f t="shared" si="17"/>
        <v>0</v>
      </c>
      <c r="S46" s="310">
        <f>S44+S45</f>
        <v>0</v>
      </c>
      <c r="T46" s="310">
        <f t="shared" si="17"/>
        <v>0</v>
      </c>
      <c r="U46" s="310">
        <f aca="true" t="shared" si="18" ref="U46:Z46">U44+U45</f>
        <v>0</v>
      </c>
      <c r="V46" s="310">
        <f t="shared" si="18"/>
        <v>0</v>
      </c>
      <c r="W46" s="310">
        <f t="shared" si="18"/>
        <v>0</v>
      </c>
      <c r="X46" s="310">
        <f t="shared" si="18"/>
        <v>0</v>
      </c>
      <c r="Y46" s="310">
        <f t="shared" si="18"/>
        <v>0</v>
      </c>
      <c r="Z46" s="310">
        <f t="shared" si="18"/>
        <v>0</v>
      </c>
      <c r="AA46" s="310" t="e">
        <f>AA44+AA45</f>
        <v>#REF!</v>
      </c>
      <c r="AB46" s="310" t="e">
        <f>AB44+AB45</f>
        <v>#REF!</v>
      </c>
      <c r="AC46" s="310" t="e">
        <f>AC44+AC45</f>
        <v>#REF!</v>
      </c>
    </row>
    <row r="47" spans="1:23" ht="15.75">
      <c r="A47" s="152"/>
      <c r="B47" s="78"/>
      <c r="C47" s="279"/>
      <c r="D47" s="280"/>
      <c r="E47" s="281"/>
      <c r="F47" s="281"/>
      <c r="G47" s="281"/>
      <c r="H47" s="281"/>
      <c r="I47" s="281"/>
      <c r="J47" s="281"/>
      <c r="K47" s="275"/>
      <c r="L47" s="275"/>
      <c r="M47" s="275"/>
      <c r="N47" s="275"/>
      <c r="O47" s="275"/>
      <c r="P47" s="275"/>
      <c r="Q47" s="276"/>
      <c r="R47" s="276"/>
      <c r="S47" s="276"/>
      <c r="T47" s="276"/>
      <c r="U47" s="276"/>
      <c r="V47" s="276"/>
      <c r="W47" s="1"/>
    </row>
    <row r="48" spans="1:22" ht="15.75" customHeight="1">
      <c r="A48" s="152"/>
      <c r="B48" s="78"/>
      <c r="C48" s="1288" t="s">
        <v>117</v>
      </c>
      <c r="D48" s="1288"/>
      <c r="E48" s="1288"/>
      <c r="F48" s="1288"/>
      <c r="G48" s="1288"/>
      <c r="H48" s="1288"/>
      <c r="I48" s="1288"/>
      <c r="J48" s="1288"/>
      <c r="K48" s="1288"/>
      <c r="L48" s="1288"/>
      <c r="M48" s="1288"/>
      <c r="N48" s="1288"/>
      <c r="O48" s="1288"/>
      <c r="P48" s="1288"/>
      <c r="Q48" s="1288"/>
      <c r="R48" s="348"/>
      <c r="S48" s="348"/>
      <c r="T48" s="348"/>
      <c r="U48" s="348"/>
      <c r="V48" s="348"/>
    </row>
    <row r="49" spans="1:22" ht="16.5" thickBot="1">
      <c r="A49" s="297" t="s">
        <v>118</v>
      </c>
      <c r="B49" s="297"/>
      <c r="C49" s="1295"/>
      <c r="D49" s="1295"/>
      <c r="E49" s="274"/>
      <c r="F49" s="274"/>
      <c r="G49" s="274"/>
      <c r="H49" s="274"/>
      <c r="I49" s="274"/>
      <c r="J49" s="274"/>
      <c r="K49" s="275"/>
      <c r="L49" s="275"/>
      <c r="M49" s="275"/>
      <c r="N49" s="275"/>
      <c r="O49" s="275"/>
      <c r="P49" s="275"/>
      <c r="Q49" s="276">
        <v>0</v>
      </c>
      <c r="R49" s="276"/>
      <c r="S49" s="276"/>
      <c r="T49" s="276"/>
      <c r="U49" s="276"/>
      <c r="V49" s="276"/>
    </row>
    <row r="50" spans="1:29" ht="27.75" customHeight="1">
      <c r="A50" s="291" t="s">
        <v>25</v>
      </c>
      <c r="B50" s="1299" t="s">
        <v>489</v>
      </c>
      <c r="C50" s="1300"/>
      <c r="D50" s="1301"/>
      <c r="E50" s="298">
        <v>0</v>
      </c>
      <c r="F50" s="298">
        <v>0</v>
      </c>
      <c r="G50" s="298">
        <v>0</v>
      </c>
      <c r="H50" s="298">
        <v>0</v>
      </c>
      <c r="I50" s="298">
        <v>0</v>
      </c>
      <c r="J50" s="298">
        <v>0</v>
      </c>
      <c r="K50" s="298">
        <v>0</v>
      </c>
      <c r="L50" s="298">
        <v>0</v>
      </c>
      <c r="M50" s="298">
        <v>0</v>
      </c>
      <c r="N50" s="298">
        <v>0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v>0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8">
        <v>0</v>
      </c>
      <c r="AB50" s="298">
        <v>0</v>
      </c>
      <c r="AC50" s="298">
        <v>0</v>
      </c>
    </row>
    <row r="51" spans="1:29" ht="27.75" customHeight="1">
      <c r="A51" s="292" t="s">
        <v>26</v>
      </c>
      <c r="B51" s="1279" t="s">
        <v>490</v>
      </c>
      <c r="C51" s="1280"/>
      <c r="D51" s="1281"/>
      <c r="E51" s="299">
        <f>'1.sz.m-önk.össze.bev'!E57</f>
        <v>1700000</v>
      </c>
      <c r="F51" s="299">
        <f>'1.sz.m-önk.össze.bev'!F57</f>
        <v>1700000</v>
      </c>
      <c r="G51" s="299">
        <f>'1.sz.m-önk.össze.bev'!G57</f>
        <v>0</v>
      </c>
      <c r="H51" s="299">
        <f>'1.sz.m-önk.össze.bev'!H57</f>
        <v>0</v>
      </c>
      <c r="I51" s="299">
        <f>'1.sz.m-önk.össze.bev'!I57</f>
        <v>0</v>
      </c>
      <c r="J51" s="299">
        <f>'1.sz.m-önk.össze.bev'!J57</f>
        <v>0</v>
      </c>
      <c r="K51" s="299">
        <f>'1.sz.m-önk.össze.bev'!K57</f>
        <v>1700000</v>
      </c>
      <c r="L51" s="299">
        <f>'1.sz.m-önk.össze.bev'!L57</f>
        <v>1700000</v>
      </c>
      <c r="M51" s="299">
        <f>'1.sz.m-önk.össze.bev'!M57</f>
        <v>0</v>
      </c>
      <c r="N51" s="299">
        <f>'1.sz.m-önk.össze.bev'!N57</f>
        <v>0</v>
      </c>
      <c r="O51" s="299">
        <f>'1.sz.m-önk.össze.bev'!O57</f>
        <v>0</v>
      </c>
      <c r="P51" s="299">
        <f>'1.sz.m-önk.össze.bev'!P57</f>
        <v>0</v>
      </c>
      <c r="Q51" s="299">
        <f>'1.sz.m-önk.össze.bev'!Q57</f>
        <v>0</v>
      </c>
      <c r="R51" s="299">
        <f>'1.sz.m-önk.össze.bev'!R57</f>
        <v>0</v>
      </c>
      <c r="S51" s="299">
        <f>'1.sz.m-önk.össze.bev'!S57</f>
        <v>0</v>
      </c>
      <c r="T51" s="299">
        <f>'1.sz.m-önk.össze.bev'!T57</f>
        <v>0</v>
      </c>
      <c r="U51" s="299">
        <f>'1.sz.m-önk.össze.bev'!U57</f>
        <v>0</v>
      </c>
      <c r="V51" s="299">
        <f>'1.sz.m-önk.össze.bev'!V57</f>
        <v>0</v>
      </c>
      <c r="W51" s="299">
        <f>'1.sz.m-önk.össze.bev'!W57</f>
        <v>0</v>
      </c>
      <c r="X51" s="299">
        <f>'1.sz.m-önk.össze.bev'!X57</f>
        <v>0</v>
      </c>
      <c r="Y51" s="299">
        <f>'1.sz.m-önk.össze.bev'!Y57</f>
        <v>0</v>
      </c>
      <c r="Z51" s="299">
        <f>'1.sz.m-önk.össze.bev'!Z57</f>
        <v>0</v>
      </c>
      <c r="AA51" s="299">
        <f>'1.sz.m-önk.össze.bev'!AA57</f>
        <v>0</v>
      </c>
      <c r="AB51" s="299">
        <f>'1.sz.m-önk.össze.bev'!AB57</f>
        <v>0</v>
      </c>
      <c r="AC51" s="299">
        <f>'1.sz.m-önk.össze.bev'!AC57</f>
        <v>0</v>
      </c>
    </row>
    <row r="52" spans="1:29" ht="27.75" customHeight="1" thickBot="1">
      <c r="A52" s="293" t="s">
        <v>9</v>
      </c>
      <c r="B52" s="1282" t="s">
        <v>491</v>
      </c>
      <c r="C52" s="1283"/>
      <c r="D52" s="1284"/>
      <c r="E52" s="300">
        <f aca="true" t="shared" si="19" ref="E52:O52">E50+E51</f>
        <v>1700000</v>
      </c>
      <c r="F52" s="300">
        <f t="shared" si="19"/>
        <v>1700000</v>
      </c>
      <c r="G52" s="300">
        <f t="shared" si="19"/>
        <v>0</v>
      </c>
      <c r="H52" s="300">
        <f t="shared" si="19"/>
        <v>0</v>
      </c>
      <c r="I52" s="300">
        <f t="shared" si="19"/>
        <v>0</v>
      </c>
      <c r="J52" s="300">
        <f t="shared" si="19"/>
        <v>0</v>
      </c>
      <c r="K52" s="300">
        <f t="shared" si="19"/>
        <v>1700000</v>
      </c>
      <c r="L52" s="300">
        <f t="shared" si="19"/>
        <v>1700000</v>
      </c>
      <c r="M52" s="300">
        <f t="shared" si="19"/>
        <v>0</v>
      </c>
      <c r="N52" s="300">
        <f t="shared" si="19"/>
        <v>0</v>
      </c>
      <c r="O52" s="300">
        <f t="shared" si="19"/>
        <v>0</v>
      </c>
      <c r="P52" s="300">
        <v>5</v>
      </c>
      <c r="Q52" s="300">
        <f>Q50+Q51</f>
        <v>0</v>
      </c>
      <c r="R52" s="300">
        <v>0</v>
      </c>
      <c r="S52" s="300">
        <f>S50+S51</f>
        <v>0</v>
      </c>
      <c r="T52" s="300">
        <v>0</v>
      </c>
      <c r="U52" s="300">
        <f>U50+U51</f>
        <v>0</v>
      </c>
      <c r="V52" s="300">
        <v>8</v>
      </c>
      <c r="W52" s="300">
        <f>W50+W51</f>
        <v>0</v>
      </c>
      <c r="X52" s="300">
        <v>0</v>
      </c>
      <c r="Y52" s="300">
        <f>Y50+Y51</f>
        <v>0</v>
      </c>
      <c r="Z52" s="300">
        <v>0</v>
      </c>
      <c r="AA52" s="300">
        <f>AA50+AA51</f>
        <v>0</v>
      </c>
      <c r="AB52" s="300">
        <v>11</v>
      </c>
      <c r="AC52" s="300">
        <f>AC50+AC51</f>
        <v>0</v>
      </c>
    </row>
    <row r="53" spans="1:27" ht="15.75">
      <c r="A53" s="152"/>
      <c r="B53" s="78"/>
      <c r="C53" s="279"/>
      <c r="D53" s="280"/>
      <c r="E53" s="281"/>
      <c r="F53" s="281"/>
      <c r="G53" s="281"/>
      <c r="H53" s="281"/>
      <c r="I53" s="281"/>
      <c r="J53" s="281"/>
      <c r="K53" s="275"/>
      <c r="L53" s="275"/>
      <c r="M53" s="275"/>
      <c r="N53" s="275"/>
      <c r="O53" s="275"/>
      <c r="P53" s="275"/>
      <c r="Q53" s="276"/>
      <c r="R53" s="276"/>
      <c r="S53" s="276"/>
      <c r="T53" s="276"/>
      <c r="U53" s="276"/>
      <c r="V53" s="276"/>
      <c r="AA53" s="98"/>
    </row>
    <row r="54" spans="1:23" ht="15.75" customHeight="1">
      <c r="A54" s="152"/>
      <c r="B54" s="78"/>
      <c r="C54" s="1287" t="s">
        <v>52</v>
      </c>
      <c r="D54" s="1287"/>
      <c r="E54" s="1287"/>
      <c r="F54" s="1287"/>
      <c r="G54" s="1287"/>
      <c r="H54" s="1287"/>
      <c r="I54" s="1287"/>
      <c r="J54" s="1287"/>
      <c r="K54" s="1287"/>
      <c r="L54" s="1287"/>
      <c r="M54" s="1287"/>
      <c r="N54" s="1287"/>
      <c r="O54" s="1287"/>
      <c r="P54" s="1287"/>
      <c r="Q54" s="1288"/>
      <c r="R54" s="348"/>
      <c r="S54" s="348"/>
      <c r="T54" s="348"/>
      <c r="U54" s="348"/>
      <c r="V54" s="348"/>
      <c r="W54" s="167"/>
    </row>
    <row r="55" spans="1:22" ht="15.75">
      <c r="A55" s="152"/>
      <c r="B55" s="78"/>
      <c r="C55" s="282"/>
      <c r="D55" s="282"/>
      <c r="E55" s="282"/>
      <c r="F55" s="282"/>
      <c r="G55" s="282"/>
      <c r="H55" s="282"/>
      <c r="I55" s="282"/>
      <c r="J55" s="282"/>
      <c r="K55" s="283"/>
      <c r="L55" s="283"/>
      <c r="M55" s="283"/>
      <c r="N55" s="283"/>
      <c r="O55" s="283"/>
      <c r="P55" s="283"/>
      <c r="Q55" s="284"/>
      <c r="R55" s="284"/>
      <c r="S55" s="284"/>
      <c r="T55" s="284"/>
      <c r="U55" s="284"/>
      <c r="V55" s="284"/>
    </row>
    <row r="56" spans="1:22" ht="16.5" thickBot="1">
      <c r="A56" s="297" t="s">
        <v>160</v>
      </c>
      <c r="C56" s="1289"/>
      <c r="D56" s="1289"/>
      <c r="E56" s="282"/>
      <c r="F56" s="282"/>
      <c r="G56" s="282"/>
      <c r="H56" s="282"/>
      <c r="I56" s="282"/>
      <c r="J56" s="282"/>
      <c r="K56" s="283"/>
      <c r="L56" s="283"/>
      <c r="M56" s="283"/>
      <c r="N56" s="283"/>
      <c r="O56" s="283"/>
      <c r="P56" s="283"/>
      <c r="Q56" s="284"/>
      <c r="R56" s="284"/>
      <c r="S56" s="284"/>
      <c r="T56" s="284"/>
      <c r="U56" s="284"/>
      <c r="V56" s="284"/>
    </row>
    <row r="57" spans="1:29" ht="27" customHeight="1">
      <c r="A57" s="304" t="s">
        <v>25</v>
      </c>
      <c r="B57" s="1285" t="s">
        <v>119</v>
      </c>
      <c r="C57" s="1285"/>
      <c r="D57" s="1285"/>
      <c r="E57" s="305">
        <f>E58-E61</f>
        <v>36137649</v>
      </c>
      <c r="F57" s="305">
        <f aca="true" t="shared" si="20" ref="F57:AC57">F58-F61</f>
        <v>37837649</v>
      </c>
      <c r="G57" s="305">
        <f>G58-G61</f>
        <v>36137649</v>
      </c>
      <c r="H57" s="305">
        <f>H58-H61</f>
        <v>36796953</v>
      </c>
      <c r="I57" s="305">
        <f t="shared" si="20"/>
        <v>0</v>
      </c>
      <c r="J57" s="305">
        <f t="shared" si="20"/>
        <v>0</v>
      </c>
      <c r="K57" s="305">
        <f>K58-K61</f>
        <v>37837649</v>
      </c>
      <c r="L57" s="305">
        <f t="shared" si="20"/>
        <v>37837649</v>
      </c>
      <c r="M57" s="305">
        <f>M58-M61</f>
        <v>36137649</v>
      </c>
      <c r="N57" s="305">
        <f>N58-N61</f>
        <v>36796953</v>
      </c>
      <c r="O57" s="305">
        <f t="shared" si="20"/>
        <v>-6</v>
      </c>
      <c r="P57" s="305">
        <f t="shared" si="20"/>
        <v>-8</v>
      </c>
      <c r="Q57" s="305">
        <f t="shared" si="20"/>
        <v>0</v>
      </c>
      <c r="R57" s="305">
        <f t="shared" si="20"/>
        <v>0</v>
      </c>
      <c r="S57" s="305">
        <f>S58-S61</f>
        <v>0</v>
      </c>
      <c r="T57" s="305">
        <f t="shared" si="20"/>
        <v>0</v>
      </c>
      <c r="U57" s="305">
        <f t="shared" si="20"/>
        <v>0</v>
      </c>
      <c r="V57" s="305">
        <f t="shared" si="20"/>
        <v>0</v>
      </c>
      <c r="W57" s="305">
        <f t="shared" si="20"/>
        <v>0</v>
      </c>
      <c r="X57" s="305">
        <f t="shared" si="20"/>
        <v>0</v>
      </c>
      <c r="Y57" s="305">
        <f t="shared" si="20"/>
        <v>0</v>
      </c>
      <c r="Z57" s="305">
        <f t="shared" si="20"/>
        <v>0</v>
      </c>
      <c r="AA57" s="305">
        <f t="shared" si="20"/>
        <v>0</v>
      </c>
      <c r="AB57" s="305">
        <f t="shared" si="20"/>
        <v>0</v>
      </c>
      <c r="AC57" s="305">
        <f t="shared" si="20"/>
        <v>0</v>
      </c>
    </row>
    <row r="58" spans="1:29" ht="27" customHeight="1">
      <c r="A58" s="301" t="s">
        <v>120</v>
      </c>
      <c r="B58" s="1286" t="s">
        <v>121</v>
      </c>
      <c r="C58" s="1286"/>
      <c r="D58" s="1286"/>
      <c r="E58" s="306">
        <f>SUM(E59:E60)</f>
        <v>36788264</v>
      </c>
      <c r="F58" s="306">
        <f>'1.sz.m-önk.össze.bev'!F56</f>
        <v>38488264</v>
      </c>
      <c r="G58" s="306">
        <f>'1.sz.m-önk.össze.bev'!G56</f>
        <v>36788264</v>
      </c>
      <c r="H58" s="306">
        <f>'1.sz.m-önk.össze.bev'!H56</f>
        <v>37447568</v>
      </c>
      <c r="I58" s="306">
        <f>'1.sz.m-önk.össze.bev'!I56</f>
        <v>0</v>
      </c>
      <c r="J58" s="306">
        <f>'1.sz.m-önk.össze.bev'!J56</f>
        <v>0</v>
      </c>
      <c r="K58" s="306">
        <f>'1.sz.m-önk.össze.bev'!K56</f>
        <v>38488264</v>
      </c>
      <c r="L58" s="306">
        <f>'1.sz.m-önk.össze.bev'!L56</f>
        <v>38488264</v>
      </c>
      <c r="M58" s="306">
        <f>'1.sz.m-önk.össze.bev'!M56</f>
        <v>36788264</v>
      </c>
      <c r="N58" s="306">
        <f>'1.sz.m-önk.össze.bev'!N56</f>
        <v>37447568</v>
      </c>
      <c r="O58" s="306">
        <f>'1.sz.m-önk.össze.bev'!O56</f>
        <v>0</v>
      </c>
      <c r="P58" s="306">
        <f>'1.sz.m-önk.össze.bev'!P56</f>
        <v>0</v>
      </c>
      <c r="Q58" s="306">
        <f>'1.sz.m-önk.össze.bev'!Q56</f>
        <v>0</v>
      </c>
      <c r="R58" s="306">
        <f>'1.sz.m-önk.össze.bev'!R56</f>
        <v>0</v>
      </c>
      <c r="S58" s="306">
        <f>'1.sz.m-önk.össze.bev'!S56</f>
        <v>0</v>
      </c>
      <c r="T58" s="306">
        <f>'1.sz.m-önk.össze.bev'!T56</f>
        <v>0</v>
      </c>
      <c r="U58" s="306">
        <f>'1.sz.m-önk.össze.bev'!U56</f>
        <v>0</v>
      </c>
      <c r="V58" s="306">
        <f>'1.sz.m-önk.össze.bev'!V56</f>
        <v>0</v>
      </c>
      <c r="W58" s="306">
        <f>'1.sz.m-önk.össze.bev'!W56</f>
        <v>0</v>
      </c>
      <c r="X58" s="306">
        <f>'1.sz.m-önk.össze.bev'!X56</f>
        <v>0</v>
      </c>
      <c r="Y58" s="306">
        <f>'1.sz.m-önk.össze.bev'!Y56</f>
        <v>0</v>
      </c>
      <c r="Z58" s="306">
        <f>'1.sz.m-önk.össze.bev'!Z56</f>
        <v>0</v>
      </c>
      <c r="AA58" s="306">
        <f>'1.sz.m-önk.össze.bev'!AA56</f>
        <v>0</v>
      </c>
      <c r="AB58" s="306">
        <f>'1.sz.m-önk.össze.bev'!AB56</f>
        <v>0</v>
      </c>
      <c r="AC58" s="306">
        <f>'1.sz.m-önk.össze.bev'!AC56</f>
        <v>0</v>
      </c>
    </row>
    <row r="59" spans="1:29" ht="27" customHeight="1">
      <c r="A59" s="301" t="s">
        <v>122</v>
      </c>
      <c r="B59" s="1277" t="s">
        <v>167</v>
      </c>
      <c r="C59" s="1277"/>
      <c r="D59" s="1277"/>
      <c r="E59" s="306">
        <f>'2.sz.m.összehasonlító'!B16</f>
        <v>2192893</v>
      </c>
      <c r="F59" s="306">
        <f>'2.sz.m.összehasonlító'!C16</f>
        <v>2192893</v>
      </c>
      <c r="G59" s="306">
        <f>'2.sz.m.összehasonlító'!D16</f>
        <v>2192893</v>
      </c>
      <c r="H59" s="306">
        <f>'2.sz.m.összehasonlító'!E16</f>
        <v>2193149</v>
      </c>
      <c r="I59" s="306">
        <f>'1.sz.m-önk.össze.bev'!I59</f>
        <v>0</v>
      </c>
      <c r="J59" s="306">
        <f>'1.sz.m-önk.össze.bev'!J59</f>
        <v>0</v>
      </c>
      <c r="K59" s="306">
        <f>'2.sz.m.összehasonlító'!B16-'1 .sz.m.önk.össz.kiad.'!Q58</f>
        <v>2192893</v>
      </c>
      <c r="L59" s="306">
        <f>'2.sz.m.összehasonlító'!C16-'1 .sz.m.önk.össz.kiad.'!R58</f>
        <v>2192893</v>
      </c>
      <c r="M59" s="306">
        <f>'2.sz.m.összehasonlító'!D16-'1 .sz.m.önk.össz.kiad.'!S58</f>
        <v>2192893</v>
      </c>
      <c r="N59" s="306">
        <f>'2.sz.m.összehasonlító'!E16-'1 .sz.m.önk.össz.kiad.'!T58</f>
        <v>2193149</v>
      </c>
      <c r="O59" s="306">
        <f>'1.sz.m-önk.össze.bev'!O59</f>
        <v>0</v>
      </c>
      <c r="P59" s="306">
        <f>'1.sz.m-önk.össze.bev'!P59</f>
        <v>0</v>
      </c>
      <c r="Q59" s="306">
        <f>'1.sz.m-önk.össze.bev'!Q59</f>
        <v>0</v>
      </c>
      <c r="R59" s="306">
        <f>'1.sz.m-önk.össze.bev'!R59</f>
        <v>0</v>
      </c>
      <c r="S59" s="306">
        <f>'1.sz.m-önk.össze.bev'!S59</f>
        <v>0</v>
      </c>
      <c r="T59" s="306">
        <f>'1.sz.m-önk.össze.bev'!T59</f>
        <v>0</v>
      </c>
      <c r="U59" s="306">
        <f>'1.sz.m-önk.össze.bev'!U59</f>
        <v>0</v>
      </c>
      <c r="V59" s="306">
        <f>'1.sz.m-önk.össze.bev'!V59</f>
        <v>0</v>
      </c>
      <c r="W59" s="306">
        <f>'1.sz.m-önk.össze.bev'!W59</f>
        <v>0</v>
      </c>
      <c r="X59" s="306">
        <f>'1.sz.m-önk.össze.bev'!X59</f>
        <v>0</v>
      </c>
      <c r="Y59" s="306">
        <f>'1.sz.m-önk.össze.bev'!Y59</f>
        <v>0</v>
      </c>
      <c r="Z59" s="306">
        <f>'1.sz.m-önk.össze.bev'!Z59</f>
        <v>0</v>
      </c>
      <c r="AA59" s="306">
        <f>'1.sz.m-önk.össze.bev'!AA59</f>
        <v>0</v>
      </c>
      <c r="AB59" s="306">
        <f>'1.sz.m-önk.össze.bev'!AB59</f>
        <v>0</v>
      </c>
      <c r="AC59" s="306">
        <f>'1.sz.m-önk.össze.bev'!AC59</f>
        <v>0</v>
      </c>
    </row>
    <row r="60" spans="1:29" ht="27" customHeight="1">
      <c r="A60" s="302" t="s">
        <v>123</v>
      </c>
      <c r="B60" s="1277" t="s">
        <v>168</v>
      </c>
      <c r="C60" s="1277"/>
      <c r="D60" s="1277"/>
      <c r="E60" s="306">
        <f>'2.sz.m.összehasonlító'!B27</f>
        <v>34595371</v>
      </c>
      <c r="F60" s="306">
        <f>'2.sz.m.összehasonlító'!C27</f>
        <v>34595371</v>
      </c>
      <c r="G60" s="306">
        <f>'2.sz.m.összehasonlító'!D27</f>
        <v>34595371</v>
      </c>
      <c r="H60" s="306">
        <f>'2.sz.m.összehasonlító'!E27</f>
        <v>34595371</v>
      </c>
      <c r="I60" s="306">
        <f>'2.sz.m.összehasonlító'!F27</f>
        <v>0</v>
      </c>
      <c r="J60" s="306">
        <f>'2.sz.m.összehasonlító'!G27</f>
        <v>0</v>
      </c>
      <c r="K60" s="306">
        <f>'2.sz.m.összehasonlító'!B27</f>
        <v>34595371</v>
      </c>
      <c r="L60" s="306">
        <f>'2.sz.m.összehasonlító'!C27</f>
        <v>34595371</v>
      </c>
      <c r="M60" s="306">
        <f>'2.sz.m.összehasonlító'!D27</f>
        <v>34595371</v>
      </c>
      <c r="N60" s="306">
        <f>'2.sz.m.összehasonlító'!E27</f>
        <v>34595371</v>
      </c>
      <c r="O60" s="306">
        <f>'1.sz.m-önk.össze.bev'!O57</f>
        <v>0</v>
      </c>
      <c r="P60" s="306">
        <f>'1.sz.m-önk.össze.bev'!P57</f>
        <v>0</v>
      </c>
      <c r="Q60" s="306">
        <f>'1.sz.m-önk.össze.bev'!Q57</f>
        <v>0</v>
      </c>
      <c r="R60" s="306">
        <f>'1.sz.m-önk.össze.bev'!R57</f>
        <v>0</v>
      </c>
      <c r="S60" s="306">
        <f>'1.sz.m-önk.össze.bev'!S57</f>
        <v>0</v>
      </c>
      <c r="T60" s="306">
        <f>'1.sz.m-önk.össze.bev'!T57</f>
        <v>0</v>
      </c>
      <c r="U60" s="306">
        <f>'1.sz.m-önk.össze.bev'!U57</f>
        <v>0</v>
      </c>
      <c r="V60" s="306">
        <f>'1.sz.m-önk.össze.bev'!V57</f>
        <v>0</v>
      </c>
      <c r="W60" s="306">
        <f>'1.sz.m-önk.össze.bev'!W57</f>
        <v>0</v>
      </c>
      <c r="X60" s="306">
        <f>'1.sz.m-önk.össze.bev'!X57</f>
        <v>0</v>
      </c>
      <c r="Y60" s="306">
        <f>'1.sz.m-önk.össze.bev'!Y57</f>
        <v>0</v>
      </c>
      <c r="Z60" s="306">
        <f>'1.sz.m-önk.össze.bev'!Z57</f>
        <v>0</v>
      </c>
      <c r="AA60" s="306">
        <f>'1.sz.m-önk.össze.bev'!AA57</f>
        <v>0</v>
      </c>
      <c r="AB60" s="306">
        <f>'1.sz.m-önk.össze.bev'!AB57</f>
        <v>0</v>
      </c>
      <c r="AC60" s="306">
        <f>'1.sz.m-önk.össze.bev'!AC57</f>
        <v>0</v>
      </c>
    </row>
    <row r="61" spans="1:29" ht="27" customHeight="1">
      <c r="A61" s="303" t="s">
        <v>124</v>
      </c>
      <c r="B61" s="1286" t="s">
        <v>125</v>
      </c>
      <c r="C61" s="1286"/>
      <c r="D61" s="1286"/>
      <c r="E61" s="307">
        <f>E30</f>
        <v>650615</v>
      </c>
      <c r="F61" s="307">
        <f aca="true" t="shared" si="21" ref="F61:AC61">F30</f>
        <v>650615</v>
      </c>
      <c r="G61" s="307">
        <f>G30</f>
        <v>650615</v>
      </c>
      <c r="H61" s="307">
        <f>H30</f>
        <v>650615</v>
      </c>
      <c r="I61" s="307">
        <f>I30</f>
        <v>0</v>
      </c>
      <c r="J61" s="307">
        <f>J30</f>
        <v>0</v>
      </c>
      <c r="K61" s="307">
        <f>K30</f>
        <v>650615</v>
      </c>
      <c r="L61" s="307">
        <f t="shared" si="21"/>
        <v>650615</v>
      </c>
      <c r="M61" s="307">
        <f>M30</f>
        <v>650615</v>
      </c>
      <c r="N61" s="307">
        <f>N30</f>
        <v>650615</v>
      </c>
      <c r="O61" s="307">
        <f t="shared" si="21"/>
        <v>6</v>
      </c>
      <c r="P61" s="307">
        <f t="shared" si="21"/>
        <v>8</v>
      </c>
      <c r="Q61" s="307">
        <f t="shared" si="21"/>
        <v>0</v>
      </c>
      <c r="R61" s="307">
        <f t="shared" si="21"/>
        <v>0</v>
      </c>
      <c r="S61" s="307">
        <f>S30</f>
        <v>0</v>
      </c>
      <c r="T61" s="307">
        <f t="shared" si="21"/>
        <v>0</v>
      </c>
      <c r="U61" s="307">
        <f t="shared" si="21"/>
        <v>0</v>
      </c>
      <c r="V61" s="307">
        <f t="shared" si="21"/>
        <v>0</v>
      </c>
      <c r="W61" s="307">
        <f t="shared" si="21"/>
        <v>0</v>
      </c>
      <c r="X61" s="307">
        <f t="shared" si="21"/>
        <v>0</v>
      </c>
      <c r="Y61" s="307">
        <f t="shared" si="21"/>
        <v>0</v>
      </c>
      <c r="Z61" s="307">
        <f t="shared" si="21"/>
        <v>0</v>
      </c>
      <c r="AA61" s="307">
        <f t="shared" si="21"/>
        <v>0</v>
      </c>
      <c r="AB61" s="307">
        <f t="shared" si="21"/>
        <v>0</v>
      </c>
      <c r="AC61" s="307">
        <f t="shared" si="21"/>
        <v>0</v>
      </c>
    </row>
    <row r="62" spans="1:29" ht="27" customHeight="1">
      <c r="A62" s="301" t="s">
        <v>126</v>
      </c>
      <c r="B62" s="1277" t="s">
        <v>169</v>
      </c>
      <c r="C62" s="1277"/>
      <c r="D62" s="1277"/>
      <c r="E62" s="306">
        <f aca="true" t="shared" si="22" ref="E62:M62">E61</f>
        <v>650615</v>
      </c>
      <c r="F62" s="306">
        <f t="shared" si="22"/>
        <v>650615</v>
      </c>
      <c r="G62" s="306">
        <f t="shared" si="22"/>
        <v>650615</v>
      </c>
      <c r="H62" s="306">
        <f>H61</f>
        <v>650615</v>
      </c>
      <c r="I62" s="306">
        <f t="shared" si="22"/>
        <v>0</v>
      </c>
      <c r="J62" s="306">
        <f t="shared" si="22"/>
        <v>0</v>
      </c>
      <c r="K62" s="306">
        <f t="shared" si="22"/>
        <v>650615</v>
      </c>
      <c r="L62" s="306">
        <f t="shared" si="22"/>
        <v>650615</v>
      </c>
      <c r="M62" s="306">
        <f t="shared" si="22"/>
        <v>650615</v>
      </c>
      <c r="N62" s="306">
        <f>N61</f>
        <v>650615</v>
      </c>
      <c r="O62" s="306">
        <v>0</v>
      </c>
      <c r="P62" s="306">
        <v>0</v>
      </c>
      <c r="Q62" s="306">
        <v>0</v>
      </c>
      <c r="R62" s="306">
        <v>0</v>
      </c>
      <c r="S62" s="306">
        <v>0</v>
      </c>
      <c r="T62" s="306">
        <v>0</v>
      </c>
      <c r="U62" s="306">
        <v>0</v>
      </c>
      <c r="V62" s="306">
        <v>0</v>
      </c>
      <c r="W62" s="306">
        <v>0</v>
      </c>
      <c r="X62" s="306">
        <v>0</v>
      </c>
      <c r="Y62" s="306">
        <v>0</v>
      </c>
      <c r="Z62" s="306">
        <v>0</v>
      </c>
      <c r="AA62" s="306">
        <v>0</v>
      </c>
      <c r="AB62" s="306">
        <v>0</v>
      </c>
      <c r="AC62" s="306">
        <v>0</v>
      </c>
    </row>
    <row r="63" spans="1:29" ht="27" customHeight="1" thickBot="1">
      <c r="A63" s="308" t="s">
        <v>127</v>
      </c>
      <c r="B63" s="1278" t="s">
        <v>170</v>
      </c>
      <c r="C63" s="1278"/>
      <c r="D63" s="1278"/>
      <c r="E63" s="309">
        <v>0</v>
      </c>
      <c r="F63" s="309">
        <v>0</v>
      </c>
      <c r="G63" s="309">
        <v>0</v>
      </c>
      <c r="H63" s="309">
        <v>0</v>
      </c>
      <c r="I63" s="309">
        <v>0</v>
      </c>
      <c r="J63" s="309">
        <v>0</v>
      </c>
      <c r="K63" s="309">
        <v>0</v>
      </c>
      <c r="L63" s="309">
        <v>0</v>
      </c>
      <c r="M63" s="309">
        <v>0</v>
      </c>
      <c r="N63" s="309">
        <v>0</v>
      </c>
      <c r="O63" s="309">
        <v>0</v>
      </c>
      <c r="P63" s="309">
        <v>0</v>
      </c>
      <c r="Q63" s="309">
        <v>0</v>
      </c>
      <c r="R63" s="309">
        <v>0</v>
      </c>
      <c r="S63" s="309">
        <v>0</v>
      </c>
      <c r="T63" s="309">
        <v>0</v>
      </c>
      <c r="U63" s="309">
        <v>0</v>
      </c>
      <c r="V63" s="309">
        <v>0</v>
      </c>
      <c r="W63" s="309">
        <v>0</v>
      </c>
      <c r="X63" s="309">
        <v>0</v>
      </c>
      <c r="Y63" s="309">
        <v>0</v>
      </c>
      <c r="Z63" s="309">
        <v>0</v>
      </c>
      <c r="AA63" s="309">
        <v>0</v>
      </c>
      <c r="AB63" s="309">
        <v>0</v>
      </c>
      <c r="AC63" s="309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2020.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C67" sqref="C67"/>
    </sheetView>
  </sheetViews>
  <sheetFormatPr defaultColWidth="9.140625" defaultRowHeight="12.75"/>
  <cols>
    <col min="1" max="1" width="4.28125" style="256" hidden="1" customWidth="1"/>
    <col min="2" max="2" width="4.7109375" style="186" hidden="1" customWidth="1"/>
    <col min="3" max="3" width="45.421875" style="186" hidden="1" customWidth="1"/>
    <col min="4" max="4" width="15.00390625" style="186" hidden="1" customWidth="1"/>
    <col min="5" max="9" width="8.28125" style="186" hidden="1" customWidth="1"/>
    <col min="10" max="10" width="15.421875" style="186" hidden="1" customWidth="1"/>
    <col min="11" max="15" width="8.28125" style="186" hidden="1" customWidth="1"/>
    <col min="16" max="16" width="14.140625" style="186" hidden="1" customWidth="1"/>
    <col min="17" max="17" width="6.57421875" style="186" hidden="1" customWidth="1"/>
    <col min="18" max="18" width="6.7109375" style="186" hidden="1" customWidth="1"/>
    <col min="19" max="19" width="10.00390625" style="186" hidden="1" customWidth="1"/>
    <col min="20" max="23" width="0" style="186" hidden="1" customWidth="1"/>
    <col min="24" max="16384" width="9.140625" style="186" customWidth="1"/>
  </cols>
  <sheetData>
    <row r="1" spans="1:16" s="178" customFormat="1" ht="21" customHeight="1">
      <c r="A1" s="174"/>
      <c r="B1" s="175"/>
      <c r="C1" s="176"/>
      <c r="D1" s="177"/>
      <c r="E1" s="177"/>
      <c r="F1" s="177"/>
      <c r="G1" s="177"/>
      <c r="H1" s="177"/>
      <c r="I1" s="177"/>
      <c r="J1" s="1509"/>
      <c r="K1" s="1509"/>
      <c r="L1" s="1509"/>
      <c r="M1" s="1509"/>
      <c r="N1" s="1509"/>
      <c r="O1" s="1509"/>
      <c r="P1" s="1509"/>
    </row>
    <row r="2" spans="1:9" s="178" customFormat="1" ht="21" customHeight="1">
      <c r="A2" s="294"/>
      <c r="B2" s="175"/>
      <c r="C2" s="180"/>
      <c r="D2" s="179"/>
      <c r="E2" s="179"/>
      <c r="F2" s="179"/>
      <c r="G2" s="179"/>
      <c r="H2" s="179"/>
      <c r="I2" s="179"/>
    </row>
    <row r="3" spans="1:16" s="181" customFormat="1" ht="25.5" customHeight="1">
      <c r="A3" s="1508"/>
      <c r="B3" s="1508"/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</row>
    <row r="4" spans="1:16" s="184" customFormat="1" ht="15.75" customHeight="1" thickBot="1">
      <c r="A4" s="182"/>
      <c r="B4" s="182"/>
      <c r="C4" s="182"/>
      <c r="P4" s="183"/>
    </row>
    <row r="5" spans="1:21" ht="36.75" customHeight="1" thickBot="1">
      <c r="A5" s="1506"/>
      <c r="B5" s="1507"/>
      <c r="C5" s="185"/>
      <c r="D5" s="1517"/>
      <c r="E5" s="1518"/>
      <c r="F5" s="1518"/>
      <c r="G5" s="1518"/>
      <c r="H5" s="1518"/>
      <c r="I5" s="1518"/>
      <c r="J5" s="1519"/>
      <c r="K5" s="1520"/>
      <c r="L5" s="1520"/>
      <c r="M5" s="1520"/>
      <c r="N5" s="1520"/>
      <c r="O5" s="1517"/>
      <c r="P5" s="1519"/>
      <c r="Q5" s="1520"/>
      <c r="R5" s="1520"/>
      <c r="S5" s="1520"/>
      <c r="T5" s="1520"/>
      <c r="U5" s="1521"/>
    </row>
    <row r="6" spans="1:22" ht="13.5" thickBot="1">
      <c r="A6" s="360"/>
      <c r="B6" s="361"/>
      <c r="C6" s="185"/>
      <c r="D6" s="185"/>
      <c r="E6" s="185"/>
      <c r="F6" s="185"/>
      <c r="G6" s="185"/>
      <c r="H6" s="185"/>
      <c r="I6" s="586"/>
      <c r="J6" s="618"/>
      <c r="K6" s="185"/>
      <c r="L6" s="185"/>
      <c r="M6" s="185"/>
      <c r="N6" s="185"/>
      <c r="O6" s="590"/>
      <c r="P6" s="618"/>
      <c r="Q6" s="185"/>
      <c r="R6" s="185"/>
      <c r="S6" s="185"/>
      <c r="T6" s="185"/>
      <c r="U6" s="586"/>
      <c r="V6" s="185"/>
    </row>
    <row r="7" spans="1:22" s="190" customFormat="1" ht="12.75" customHeight="1" thickBot="1">
      <c r="A7" s="187"/>
      <c r="B7" s="188"/>
      <c r="C7" s="188"/>
      <c r="D7" s="188"/>
      <c r="E7" s="188"/>
      <c r="F7" s="188"/>
      <c r="G7" s="188"/>
      <c r="H7" s="188"/>
      <c r="I7" s="189"/>
      <c r="J7" s="187"/>
      <c r="K7" s="188"/>
      <c r="L7" s="188"/>
      <c r="M7" s="188"/>
      <c r="N7" s="188"/>
      <c r="O7" s="353"/>
      <c r="P7" s="187"/>
      <c r="Q7" s="188"/>
      <c r="R7" s="188"/>
      <c r="S7" s="188"/>
      <c r="T7" s="188"/>
      <c r="U7" s="189"/>
      <c r="V7" s="188"/>
    </row>
    <row r="8" spans="1:22" s="190" customFormat="1" ht="15.75" customHeight="1" thickBot="1">
      <c r="A8" s="191"/>
      <c r="B8" s="192"/>
      <c r="C8" s="192"/>
      <c r="D8" s="329"/>
      <c r="E8" s="258"/>
      <c r="F8" s="258"/>
      <c r="G8" s="258"/>
      <c r="H8" s="258"/>
      <c r="I8" s="330"/>
      <c r="J8" s="594"/>
      <c r="K8" s="258"/>
      <c r="L8" s="258"/>
      <c r="M8" s="258"/>
      <c r="N8" s="258"/>
      <c r="O8" s="354"/>
      <c r="P8" s="594"/>
      <c r="Q8" s="258"/>
      <c r="R8" s="258"/>
      <c r="S8" s="258"/>
      <c r="T8" s="258"/>
      <c r="U8" s="330"/>
      <c r="V8" s="258"/>
    </row>
    <row r="9" spans="1:22" s="196" customFormat="1" ht="12" customHeight="1" thickBot="1">
      <c r="A9" s="187"/>
      <c r="B9" s="193"/>
      <c r="C9" s="194"/>
      <c r="D9" s="259"/>
      <c r="E9" s="259"/>
      <c r="F9" s="259"/>
      <c r="G9" s="259"/>
      <c r="H9" s="259"/>
      <c r="I9" s="195"/>
      <c r="J9" s="595"/>
      <c r="K9" s="259"/>
      <c r="L9" s="259"/>
      <c r="M9" s="259"/>
      <c r="N9" s="259"/>
      <c r="O9" s="195"/>
      <c r="P9" s="595"/>
      <c r="Q9" s="259"/>
      <c r="R9" s="259"/>
      <c r="S9" s="259"/>
      <c r="T9" s="259"/>
      <c r="U9" s="195"/>
      <c r="V9" s="259"/>
    </row>
    <row r="10" spans="1:22" s="202" customFormat="1" ht="12" customHeight="1" hidden="1" thickBot="1">
      <c r="A10" s="203"/>
      <c r="B10" s="204"/>
      <c r="C10" s="205"/>
      <c r="D10" s="270"/>
      <c r="E10" s="270"/>
      <c r="F10" s="270"/>
      <c r="G10" s="270"/>
      <c r="H10" s="270"/>
      <c r="I10" s="331"/>
      <c r="J10" s="596"/>
      <c r="K10" s="270"/>
      <c r="L10" s="270"/>
      <c r="M10" s="270"/>
      <c r="N10" s="270"/>
      <c r="O10" s="331"/>
      <c r="P10" s="596"/>
      <c r="Q10" s="270"/>
      <c r="R10" s="270"/>
      <c r="S10" s="270"/>
      <c r="T10" s="270"/>
      <c r="U10" s="331"/>
      <c r="V10" s="270"/>
    </row>
    <row r="11" spans="1:22" s="196" customFormat="1" ht="12" customHeight="1" thickBot="1">
      <c r="A11" s="187"/>
      <c r="B11" s="193"/>
      <c r="C11" s="194"/>
      <c r="D11" s="259"/>
      <c r="E11" s="259"/>
      <c r="F11" s="259"/>
      <c r="G11" s="259"/>
      <c r="H11" s="259"/>
      <c r="I11" s="195"/>
      <c r="J11" s="595"/>
      <c r="K11" s="259"/>
      <c r="L11" s="259"/>
      <c r="M11" s="259"/>
      <c r="N11" s="259"/>
      <c r="O11" s="195"/>
      <c r="P11" s="595"/>
      <c r="Q11" s="259"/>
      <c r="R11" s="259"/>
      <c r="S11" s="259"/>
      <c r="T11" s="259"/>
      <c r="U11" s="195"/>
      <c r="V11" s="259"/>
    </row>
    <row r="12" spans="1:22" s="202" customFormat="1" ht="12" customHeight="1">
      <c r="A12" s="199"/>
      <c r="B12" s="198"/>
      <c r="C12" s="206"/>
      <c r="D12" s="260"/>
      <c r="E12" s="260"/>
      <c r="F12" s="260"/>
      <c r="G12" s="260"/>
      <c r="H12" s="260"/>
      <c r="I12" s="201"/>
      <c r="J12" s="597"/>
      <c r="K12" s="260"/>
      <c r="L12" s="260"/>
      <c r="M12" s="260"/>
      <c r="N12" s="260"/>
      <c r="O12" s="201"/>
      <c r="P12" s="597"/>
      <c r="Q12" s="260"/>
      <c r="R12" s="260"/>
      <c r="S12" s="260"/>
      <c r="T12" s="260"/>
      <c r="U12" s="201"/>
      <c r="V12" s="260"/>
    </row>
    <row r="13" spans="1:22" s="202" customFormat="1" ht="12" customHeight="1">
      <c r="A13" s="199"/>
      <c r="B13" s="198"/>
      <c r="C13" s="200"/>
      <c r="D13" s="260"/>
      <c r="E13" s="260"/>
      <c r="F13" s="260"/>
      <c r="G13" s="260"/>
      <c r="H13" s="260"/>
      <c r="I13" s="201"/>
      <c r="J13" s="597"/>
      <c r="K13" s="260"/>
      <c r="L13" s="260"/>
      <c r="M13" s="260"/>
      <c r="N13" s="260"/>
      <c r="O13" s="201"/>
      <c r="P13" s="597"/>
      <c r="Q13" s="260"/>
      <c r="R13" s="260"/>
      <c r="S13" s="260"/>
      <c r="T13" s="260"/>
      <c r="U13" s="201"/>
      <c r="V13" s="260"/>
    </row>
    <row r="14" spans="1:22" s="202" customFormat="1" ht="12" customHeight="1">
      <c r="A14" s="199"/>
      <c r="B14" s="198"/>
      <c r="C14" s="200"/>
      <c r="D14" s="260"/>
      <c r="E14" s="260"/>
      <c r="F14" s="260"/>
      <c r="G14" s="260"/>
      <c r="H14" s="260"/>
      <c r="I14" s="201"/>
      <c r="J14" s="597"/>
      <c r="K14" s="260"/>
      <c r="L14" s="260"/>
      <c r="M14" s="260"/>
      <c r="N14" s="260"/>
      <c r="O14" s="201"/>
      <c r="P14" s="597"/>
      <c r="Q14" s="260"/>
      <c r="R14" s="260"/>
      <c r="S14" s="260"/>
      <c r="T14" s="260"/>
      <c r="U14" s="201"/>
      <c r="V14" s="260"/>
    </row>
    <row r="15" spans="1:22" s="202" customFormat="1" ht="12" customHeight="1" thickBot="1">
      <c r="A15" s="199"/>
      <c r="B15" s="198"/>
      <c r="C15" s="200"/>
      <c r="D15" s="260"/>
      <c r="E15" s="260"/>
      <c r="F15" s="260"/>
      <c r="G15" s="260"/>
      <c r="H15" s="260"/>
      <c r="I15" s="201"/>
      <c r="J15" s="597"/>
      <c r="K15" s="260"/>
      <c r="L15" s="260"/>
      <c r="M15" s="260"/>
      <c r="N15" s="260"/>
      <c r="O15" s="201"/>
      <c r="P15" s="597"/>
      <c r="Q15" s="260"/>
      <c r="R15" s="260"/>
      <c r="S15" s="260"/>
      <c r="T15" s="260"/>
      <c r="U15" s="201"/>
      <c r="V15" s="260"/>
    </row>
    <row r="16" spans="1:22" s="202" customFormat="1" ht="12" customHeight="1" thickBot="1">
      <c r="A16" s="207"/>
      <c r="B16" s="208"/>
      <c r="C16" s="208"/>
      <c r="D16" s="259"/>
      <c r="E16" s="259"/>
      <c r="F16" s="259"/>
      <c r="G16" s="259"/>
      <c r="H16" s="259"/>
      <c r="I16" s="195"/>
      <c r="J16" s="595"/>
      <c r="K16" s="259"/>
      <c r="L16" s="259"/>
      <c r="M16" s="259"/>
      <c r="N16" s="259"/>
      <c r="O16" s="195"/>
      <c r="P16" s="595"/>
      <c r="Q16" s="259"/>
      <c r="R16" s="259"/>
      <c r="S16" s="259"/>
      <c r="T16" s="259"/>
      <c r="U16" s="195"/>
      <c r="V16" s="259"/>
    </row>
    <row r="17" spans="1:22" s="196" customFormat="1" ht="12" customHeight="1">
      <c r="A17" s="209"/>
      <c r="B17" s="210"/>
      <c r="C17" s="211"/>
      <c r="D17" s="261"/>
      <c r="E17" s="261"/>
      <c r="F17" s="261"/>
      <c r="G17" s="261"/>
      <c r="H17" s="261"/>
      <c r="I17" s="212"/>
      <c r="J17" s="598"/>
      <c r="K17" s="261"/>
      <c r="L17" s="261"/>
      <c r="M17" s="261"/>
      <c r="N17" s="261"/>
      <c r="O17" s="212"/>
      <c r="P17" s="598"/>
      <c r="Q17" s="261"/>
      <c r="R17" s="261"/>
      <c r="S17" s="261"/>
      <c r="T17" s="261"/>
      <c r="U17" s="212"/>
      <c r="V17" s="261"/>
    </row>
    <row r="18" spans="1:22" s="196" customFormat="1" ht="12" customHeight="1" thickBot="1">
      <c r="A18" s="213"/>
      <c r="B18" s="214"/>
      <c r="C18" s="215"/>
      <c r="D18" s="262"/>
      <c r="E18" s="262"/>
      <c r="F18" s="262"/>
      <c r="G18" s="262"/>
      <c r="H18" s="262"/>
      <c r="I18" s="216"/>
      <c r="J18" s="599"/>
      <c r="K18" s="262"/>
      <c r="L18" s="262"/>
      <c r="M18" s="262"/>
      <c r="N18" s="262"/>
      <c r="O18" s="216"/>
      <c r="P18" s="599"/>
      <c r="Q18" s="262"/>
      <c r="R18" s="262"/>
      <c r="S18" s="262"/>
      <c r="T18" s="262"/>
      <c r="U18" s="216"/>
      <c r="V18" s="262"/>
    </row>
    <row r="19" spans="1:22" s="196" customFormat="1" ht="12" customHeight="1" hidden="1" thickBot="1">
      <c r="A19" s="207"/>
      <c r="B19" s="193"/>
      <c r="D19" s="263"/>
      <c r="E19" s="263"/>
      <c r="F19" s="263"/>
      <c r="G19" s="263"/>
      <c r="H19" s="263"/>
      <c r="I19" s="217"/>
      <c r="J19" s="600"/>
      <c r="K19" s="263"/>
      <c r="L19" s="263"/>
      <c r="M19" s="263"/>
      <c r="N19" s="263"/>
      <c r="O19" s="217"/>
      <c r="P19" s="600"/>
      <c r="Q19" s="263"/>
      <c r="R19" s="263"/>
      <c r="S19" s="263"/>
      <c r="T19" s="263"/>
      <c r="U19" s="217"/>
      <c r="V19" s="263"/>
    </row>
    <row r="20" spans="1:22" s="196" customFormat="1" ht="12" customHeight="1" thickBot="1">
      <c r="A20" s="187"/>
      <c r="B20" s="218"/>
      <c r="C20" s="208"/>
      <c r="D20" s="325"/>
      <c r="E20" s="259"/>
      <c r="F20" s="259"/>
      <c r="G20" s="259"/>
      <c r="H20" s="259"/>
      <c r="I20" s="195"/>
      <c r="J20" s="595"/>
      <c r="K20" s="259"/>
      <c r="L20" s="259"/>
      <c r="M20" s="259"/>
      <c r="N20" s="259"/>
      <c r="O20" s="587"/>
      <c r="P20" s="595"/>
      <c r="Q20" s="259"/>
      <c r="R20" s="259"/>
      <c r="S20" s="259"/>
      <c r="T20" s="259"/>
      <c r="U20" s="195"/>
      <c r="V20" s="259"/>
    </row>
    <row r="21" spans="1:22" s="202" customFormat="1" ht="12" customHeight="1" thickBot="1">
      <c r="A21" s="219"/>
      <c r="B21" s="220"/>
      <c r="C21" s="221"/>
      <c r="D21" s="326"/>
      <c r="E21" s="264"/>
      <c r="F21" s="264"/>
      <c r="G21" s="264"/>
      <c r="H21" s="264"/>
      <c r="I21" s="752"/>
      <c r="J21" s="601"/>
      <c r="K21" s="264"/>
      <c r="L21" s="264"/>
      <c r="M21" s="264"/>
      <c r="N21" s="264"/>
      <c r="O21" s="588"/>
      <c r="P21" s="595"/>
      <c r="Q21" s="259"/>
      <c r="R21" s="259"/>
      <c r="S21" s="259"/>
      <c r="T21" s="259"/>
      <c r="U21" s="195"/>
      <c r="V21" s="259"/>
    </row>
    <row r="22" spans="1:22" s="202" customFormat="1" ht="15" customHeight="1" thickBot="1">
      <c r="A22" s="197"/>
      <c r="B22" s="222"/>
      <c r="C22" s="211"/>
      <c r="D22" s="261"/>
      <c r="E22" s="261"/>
      <c r="F22" s="261"/>
      <c r="G22" s="261"/>
      <c r="H22" s="261"/>
      <c r="I22" s="212"/>
      <c r="J22" s="598"/>
      <c r="K22" s="261"/>
      <c r="L22" s="261"/>
      <c r="M22" s="261"/>
      <c r="N22" s="261"/>
      <c r="O22" s="212"/>
      <c r="P22" s="604"/>
      <c r="Q22" s="605"/>
      <c r="R22" s="605"/>
      <c r="S22" s="605"/>
      <c r="T22" s="605"/>
      <c r="U22" s="327"/>
      <c r="V22" s="605"/>
    </row>
    <row r="23" spans="1:22" s="202" customFormat="1" ht="15" customHeight="1">
      <c r="A23" s="880"/>
      <c r="B23" s="881"/>
      <c r="C23" s="631"/>
      <c r="D23" s="883"/>
      <c r="E23" s="883"/>
      <c r="F23" s="883"/>
      <c r="G23" s="883"/>
      <c r="H23" s="883"/>
      <c r="I23" s="888"/>
      <c r="J23" s="882"/>
      <c r="K23" s="883"/>
      <c r="L23" s="883"/>
      <c r="M23" s="883"/>
      <c r="N23" s="883"/>
      <c r="O23" s="888"/>
      <c r="P23" s="884"/>
      <c r="Q23" s="885"/>
      <c r="R23" s="885"/>
      <c r="S23" s="885"/>
      <c r="T23" s="885"/>
      <c r="U23" s="886"/>
      <c r="V23" s="885"/>
    </row>
    <row r="24" spans="1:22" s="202" customFormat="1" ht="15" customHeight="1" thickBot="1">
      <c r="A24" s="223"/>
      <c r="B24" s="224"/>
      <c r="C24" s="225"/>
      <c r="D24" s="265"/>
      <c r="E24" s="265"/>
      <c r="F24" s="265"/>
      <c r="G24" s="265"/>
      <c r="H24" s="265"/>
      <c r="I24" s="226"/>
      <c r="J24" s="602"/>
      <c r="K24" s="265"/>
      <c r="L24" s="265"/>
      <c r="M24" s="265"/>
      <c r="N24" s="265"/>
      <c r="O24" s="226"/>
      <c r="P24" s="602"/>
      <c r="Q24" s="265"/>
      <c r="R24" s="265"/>
      <c r="S24" s="265"/>
      <c r="T24" s="265"/>
      <c r="U24" s="226"/>
      <c r="V24" s="265"/>
    </row>
    <row r="25" spans="1:22" ht="13.5" hidden="1" thickBot="1">
      <c r="A25" s="227"/>
      <c r="B25" s="228"/>
      <c r="C25" s="229"/>
      <c r="D25" s="322"/>
      <c r="E25" s="263"/>
      <c r="F25" s="263"/>
      <c r="G25" s="263"/>
      <c r="H25" s="263"/>
      <c r="I25" s="217"/>
      <c r="J25" s="600"/>
      <c r="K25" s="263"/>
      <c r="L25" s="263"/>
      <c r="M25" s="263"/>
      <c r="N25" s="263"/>
      <c r="O25" s="589"/>
      <c r="P25" s="600"/>
      <c r="Q25" s="263"/>
      <c r="R25" s="263"/>
      <c r="S25" s="263"/>
      <c r="T25" s="263"/>
      <c r="U25" s="217"/>
      <c r="V25" s="263"/>
    </row>
    <row r="26" spans="1:22" s="190" customFormat="1" ht="16.5" customHeight="1" thickBot="1">
      <c r="A26" s="227"/>
      <c r="B26" s="230"/>
      <c r="C26" s="231"/>
      <c r="D26" s="328"/>
      <c r="E26" s="266"/>
      <c r="F26" s="266"/>
      <c r="G26" s="266"/>
      <c r="H26" s="266"/>
      <c r="I26" s="250"/>
      <c r="J26" s="603"/>
      <c r="K26" s="266"/>
      <c r="L26" s="266"/>
      <c r="M26" s="266"/>
      <c r="N26" s="266"/>
      <c r="O26" s="232"/>
      <c r="P26" s="603"/>
      <c r="Q26" s="266"/>
      <c r="R26" s="266"/>
      <c r="S26" s="266"/>
      <c r="T26" s="266"/>
      <c r="U26" s="250"/>
      <c r="V26" s="266"/>
    </row>
    <row r="27" spans="1:16" s="236" customFormat="1" ht="12" customHeight="1">
      <c r="A27" s="233"/>
      <c r="B27" s="233"/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16" ht="12" customHeight="1" thickBot="1">
      <c r="A28" s="237"/>
      <c r="B28" s="238"/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21" ht="12" customHeight="1" thickBot="1">
      <c r="A29" s="240"/>
      <c r="B29" s="241"/>
      <c r="C29" s="242"/>
      <c r="D29" s="257"/>
      <c r="E29" s="257"/>
      <c r="F29" s="257"/>
      <c r="G29" s="257"/>
      <c r="H29" s="257"/>
      <c r="I29" s="257"/>
      <c r="J29" s="266"/>
      <c r="K29" s="257"/>
      <c r="L29" s="257"/>
      <c r="M29" s="257"/>
      <c r="N29" s="257"/>
      <c r="O29" s="257"/>
      <c r="P29" s="603"/>
      <c r="Q29" s="266"/>
      <c r="R29" s="266"/>
      <c r="S29" s="266"/>
      <c r="T29" s="250"/>
      <c r="U29" s="232"/>
    </row>
    <row r="30" spans="1:22" ht="12" customHeight="1" thickBot="1">
      <c r="A30" s="207"/>
      <c r="B30" s="243"/>
      <c r="C30" s="606"/>
      <c r="D30" s="595"/>
      <c r="E30" s="259"/>
      <c r="F30" s="259"/>
      <c r="G30" s="259"/>
      <c r="H30" s="259"/>
      <c r="I30" s="195"/>
      <c r="J30" s="259"/>
      <c r="K30" s="259"/>
      <c r="L30" s="259"/>
      <c r="M30" s="259"/>
      <c r="N30" s="259"/>
      <c r="O30" s="259"/>
      <c r="P30" s="595"/>
      <c r="Q30" s="259"/>
      <c r="R30" s="259"/>
      <c r="S30" s="259"/>
      <c r="T30" s="195"/>
      <c r="U30" s="619"/>
      <c r="V30" s="195"/>
    </row>
    <row r="31" spans="1:22" ht="12" customHeight="1">
      <c r="A31" s="244"/>
      <c r="B31" s="245"/>
      <c r="C31" s="607"/>
      <c r="D31" s="613"/>
      <c r="E31" s="268"/>
      <c r="F31" s="268"/>
      <c r="G31" s="268"/>
      <c r="H31" s="268"/>
      <c r="I31" s="614"/>
      <c r="J31" s="268"/>
      <c r="K31" s="268"/>
      <c r="L31" s="268"/>
      <c r="M31" s="268"/>
      <c r="N31" s="268"/>
      <c r="O31" s="268"/>
      <c r="P31" s="597"/>
      <c r="Q31" s="260"/>
      <c r="R31" s="260"/>
      <c r="S31" s="260"/>
      <c r="T31" s="201"/>
      <c r="U31" s="620"/>
      <c r="V31" s="201"/>
    </row>
    <row r="32" spans="1:22" ht="12" customHeight="1">
      <c r="A32" s="246"/>
      <c r="B32" s="247"/>
      <c r="C32" s="608"/>
      <c r="D32" s="615"/>
      <c r="E32" s="269"/>
      <c r="F32" s="269"/>
      <c r="G32" s="269"/>
      <c r="H32" s="269"/>
      <c r="I32" s="248"/>
      <c r="J32" s="269"/>
      <c r="K32" s="269"/>
      <c r="L32" s="269"/>
      <c r="M32" s="269"/>
      <c r="N32" s="269"/>
      <c r="O32" s="269"/>
      <c r="P32" s="597"/>
      <c r="Q32" s="260"/>
      <c r="R32" s="260"/>
      <c r="S32" s="260"/>
      <c r="T32" s="201"/>
      <c r="U32" s="620"/>
      <c r="V32" s="201"/>
    </row>
    <row r="33" spans="1:22" ht="12" customHeight="1">
      <c r="A33" s="246"/>
      <c r="B33" s="247"/>
      <c r="C33" s="608"/>
      <c r="D33" s="615"/>
      <c r="E33" s="269"/>
      <c r="F33" s="269"/>
      <c r="G33" s="269"/>
      <c r="H33" s="269"/>
      <c r="I33" s="248"/>
      <c r="J33" s="269"/>
      <c r="K33" s="269"/>
      <c r="L33" s="269"/>
      <c r="M33" s="269"/>
      <c r="N33" s="269"/>
      <c r="O33" s="269"/>
      <c r="P33" s="597"/>
      <c r="Q33" s="260"/>
      <c r="R33" s="260"/>
      <c r="S33" s="260"/>
      <c r="T33" s="201"/>
      <c r="U33" s="620"/>
      <c r="V33" s="201"/>
    </row>
    <row r="34" spans="1:22" s="236" customFormat="1" ht="12" customHeight="1">
      <c r="A34" s="246"/>
      <c r="B34" s="247"/>
      <c r="C34" s="608"/>
      <c r="D34" s="615"/>
      <c r="E34" s="269"/>
      <c r="F34" s="269"/>
      <c r="G34" s="269"/>
      <c r="H34" s="269"/>
      <c r="I34" s="248"/>
      <c r="J34" s="269"/>
      <c r="K34" s="269"/>
      <c r="L34" s="269"/>
      <c r="M34" s="269"/>
      <c r="N34" s="269"/>
      <c r="O34" s="269"/>
      <c r="P34" s="597"/>
      <c r="Q34" s="260"/>
      <c r="R34" s="260"/>
      <c r="S34" s="260"/>
      <c r="T34" s="201"/>
      <c r="U34" s="621"/>
      <c r="V34" s="201"/>
    </row>
    <row r="35" spans="1:22" ht="12" customHeight="1" thickBot="1">
      <c r="A35" s="246"/>
      <c r="B35" s="247"/>
      <c r="C35" s="608"/>
      <c r="D35" s="615"/>
      <c r="E35" s="269"/>
      <c r="F35" s="269"/>
      <c r="G35" s="269"/>
      <c r="H35" s="269"/>
      <c r="I35" s="248"/>
      <c r="J35" s="269"/>
      <c r="K35" s="269"/>
      <c r="L35" s="269"/>
      <c r="M35" s="269"/>
      <c r="N35" s="269"/>
      <c r="O35" s="269"/>
      <c r="P35" s="615"/>
      <c r="Q35" s="269"/>
      <c r="R35" s="269"/>
      <c r="S35" s="269"/>
      <c r="T35" s="248"/>
      <c r="U35" s="622"/>
      <c r="V35" s="248"/>
    </row>
    <row r="36" spans="1:22" ht="12" customHeight="1" thickBot="1">
      <c r="A36" s="207"/>
      <c r="B36" s="243"/>
      <c r="C36" s="606"/>
      <c r="D36" s="595"/>
      <c r="E36" s="259"/>
      <c r="F36" s="259"/>
      <c r="G36" s="259"/>
      <c r="H36" s="259"/>
      <c r="I36" s="195"/>
      <c r="J36" s="259"/>
      <c r="K36" s="259"/>
      <c r="L36" s="259"/>
      <c r="M36" s="259"/>
      <c r="N36" s="259"/>
      <c r="O36" s="259"/>
      <c r="P36" s="595"/>
      <c r="Q36" s="259"/>
      <c r="R36" s="259"/>
      <c r="S36" s="259"/>
      <c r="T36" s="195"/>
      <c r="U36" s="587"/>
      <c r="V36" s="195"/>
    </row>
    <row r="37" spans="1:22" ht="12" customHeight="1">
      <c r="A37" s="244"/>
      <c r="B37" s="245"/>
      <c r="C37" s="607"/>
      <c r="D37" s="613"/>
      <c r="E37" s="268"/>
      <c r="F37" s="268"/>
      <c r="G37" s="268"/>
      <c r="H37" s="268"/>
      <c r="I37" s="614"/>
      <c r="J37" s="268"/>
      <c r="K37" s="268"/>
      <c r="L37" s="268"/>
      <c r="M37" s="268"/>
      <c r="N37" s="268"/>
      <c r="O37" s="268"/>
      <c r="P37" s="597"/>
      <c r="Q37" s="260"/>
      <c r="R37" s="260"/>
      <c r="S37" s="260"/>
      <c r="T37" s="201"/>
      <c r="U37" s="621"/>
      <c r="V37" s="201"/>
    </row>
    <row r="38" spans="1:22" ht="12" customHeight="1">
      <c r="A38" s="246"/>
      <c r="B38" s="247"/>
      <c r="C38" s="608"/>
      <c r="D38" s="615"/>
      <c r="E38" s="269"/>
      <c r="F38" s="269"/>
      <c r="G38" s="269"/>
      <c r="H38" s="269"/>
      <c r="I38" s="248"/>
      <c r="J38" s="269"/>
      <c r="K38" s="269"/>
      <c r="L38" s="269"/>
      <c r="M38" s="269"/>
      <c r="N38" s="269"/>
      <c r="O38" s="269"/>
      <c r="P38" s="615"/>
      <c r="Q38" s="269"/>
      <c r="R38" s="269"/>
      <c r="S38" s="269"/>
      <c r="T38" s="248"/>
      <c r="U38" s="622"/>
      <c r="V38" s="248"/>
    </row>
    <row r="39" spans="1:22" ht="15" customHeight="1">
      <c r="A39" s="246"/>
      <c r="B39" s="247"/>
      <c r="C39" s="608"/>
      <c r="D39" s="615"/>
      <c r="E39" s="269"/>
      <c r="F39" s="269"/>
      <c r="G39" s="269"/>
      <c r="H39" s="269"/>
      <c r="I39" s="248"/>
      <c r="J39" s="269"/>
      <c r="K39" s="269"/>
      <c r="L39" s="269"/>
      <c r="M39" s="269"/>
      <c r="N39" s="269"/>
      <c r="O39" s="269"/>
      <c r="P39" s="615"/>
      <c r="Q39" s="269"/>
      <c r="R39" s="269"/>
      <c r="S39" s="269"/>
      <c r="T39" s="248"/>
      <c r="U39" s="622"/>
      <c r="V39" s="248"/>
    </row>
    <row r="40" spans="1:22" ht="13.5" thickBot="1">
      <c r="A40" s="246"/>
      <c r="B40" s="247"/>
      <c r="C40" s="608"/>
      <c r="D40" s="615"/>
      <c r="E40" s="269"/>
      <c r="F40" s="269"/>
      <c r="G40" s="269"/>
      <c r="H40" s="269"/>
      <c r="I40" s="248"/>
      <c r="J40" s="269"/>
      <c r="K40" s="269"/>
      <c r="L40" s="269"/>
      <c r="M40" s="269"/>
      <c r="N40" s="269"/>
      <c r="O40" s="269"/>
      <c r="P40" s="615"/>
      <c r="Q40" s="269"/>
      <c r="R40" s="269"/>
      <c r="S40" s="269"/>
      <c r="T40" s="248"/>
      <c r="U40" s="622"/>
      <c r="V40" s="248"/>
    </row>
    <row r="41" spans="1:22" ht="15" customHeight="1" hidden="1" thickBot="1">
      <c r="A41" s="207"/>
      <c r="B41" s="243"/>
      <c r="C41" s="609"/>
      <c r="D41" s="600"/>
      <c r="E41" s="263"/>
      <c r="F41" s="263"/>
      <c r="G41" s="263"/>
      <c r="H41" s="263"/>
      <c r="I41" s="217"/>
      <c r="J41" s="263"/>
      <c r="K41" s="263"/>
      <c r="L41" s="263"/>
      <c r="M41" s="263"/>
      <c r="N41" s="263"/>
      <c r="O41" s="263"/>
      <c r="P41" s="600"/>
      <c r="Q41" s="263"/>
      <c r="R41" s="263"/>
      <c r="S41" s="263"/>
      <c r="T41" s="217"/>
      <c r="U41" s="589"/>
      <c r="V41" s="217"/>
    </row>
    <row r="42" spans="1:22" ht="14.25" customHeight="1" hidden="1" thickBot="1">
      <c r="A42" s="227"/>
      <c r="B42" s="228"/>
      <c r="C42" s="610"/>
      <c r="D42" s="600"/>
      <c r="E42" s="263"/>
      <c r="F42" s="263"/>
      <c r="G42" s="263"/>
      <c r="H42" s="263"/>
      <c r="I42" s="217"/>
      <c r="J42" s="263"/>
      <c r="K42" s="263"/>
      <c r="L42" s="263"/>
      <c r="M42" s="263"/>
      <c r="N42" s="263"/>
      <c r="O42" s="263"/>
      <c r="P42" s="600"/>
      <c r="Q42" s="263"/>
      <c r="R42" s="263"/>
      <c r="S42" s="263"/>
      <c r="T42" s="217"/>
      <c r="U42" s="589"/>
      <c r="V42" s="217"/>
    </row>
    <row r="43" spans="1:22" ht="13.5" thickBot="1">
      <c r="A43" s="207"/>
      <c r="B43" s="249"/>
      <c r="C43" s="611"/>
      <c r="D43" s="603"/>
      <c r="E43" s="266"/>
      <c r="F43" s="266"/>
      <c r="G43" s="266"/>
      <c r="H43" s="266"/>
      <c r="I43" s="250"/>
      <c r="J43" s="267"/>
      <c r="K43" s="267"/>
      <c r="L43" s="267"/>
      <c r="M43" s="267"/>
      <c r="N43" s="267"/>
      <c r="O43" s="267"/>
      <c r="P43" s="603"/>
      <c r="Q43" s="266"/>
      <c r="R43" s="266"/>
      <c r="S43" s="266"/>
      <c r="T43" s="250"/>
      <c r="U43" s="623"/>
      <c r="V43" s="250"/>
    </row>
    <row r="44" spans="1:22" ht="13.5" thickBot="1">
      <c r="A44" s="251"/>
      <c r="B44" s="252"/>
      <c r="C44" s="252"/>
      <c r="D44" s="624"/>
      <c r="E44" s="625"/>
      <c r="F44" s="625"/>
      <c r="G44" s="625"/>
      <c r="H44" s="625"/>
      <c r="I44" s="753"/>
      <c r="J44" s="253"/>
      <c r="K44" s="253"/>
      <c r="L44" s="253"/>
      <c r="M44" s="253"/>
      <c r="N44" s="253"/>
      <c r="O44" s="253"/>
      <c r="P44" s="624"/>
      <c r="Q44" s="625"/>
      <c r="R44" s="625"/>
      <c r="S44" s="626"/>
      <c r="T44" s="627"/>
      <c r="V44" s="627"/>
    </row>
    <row r="45" spans="1:22" ht="13.5" thickBot="1">
      <c r="A45" s="254"/>
      <c r="B45" s="255"/>
      <c r="C45" s="612"/>
      <c r="D45" s="628"/>
      <c r="E45" s="272"/>
      <c r="F45" s="272"/>
      <c r="G45" s="272"/>
      <c r="H45" s="272"/>
      <c r="I45" s="616"/>
      <c r="J45" s="272"/>
      <c r="K45" s="272"/>
      <c r="L45" s="272"/>
      <c r="M45" s="272"/>
      <c r="N45" s="272"/>
      <c r="O45" s="272"/>
      <c r="P45" s="628"/>
      <c r="Q45" s="272"/>
      <c r="R45" s="272"/>
      <c r="S45" s="272"/>
      <c r="T45" s="616"/>
      <c r="U45" s="271"/>
      <c r="V45" s="616"/>
    </row>
    <row r="46" spans="1:22" ht="13.5" thickBot="1">
      <c r="A46" s="254"/>
      <c r="B46" s="255"/>
      <c r="C46" s="612"/>
      <c r="D46" s="628"/>
      <c r="E46" s="272"/>
      <c r="F46" s="272"/>
      <c r="G46" s="272"/>
      <c r="H46" s="272"/>
      <c r="I46" s="616"/>
      <c r="J46" s="272"/>
      <c r="K46" s="272"/>
      <c r="L46" s="272"/>
      <c r="M46" s="272"/>
      <c r="N46" s="272"/>
      <c r="O46" s="272"/>
      <c r="P46" s="628"/>
      <c r="Q46" s="272"/>
      <c r="R46" s="272"/>
      <c r="S46" s="272"/>
      <c r="T46" s="616"/>
      <c r="U46" s="271"/>
      <c r="V46" s="616"/>
    </row>
    <row r="47" spans="6:15" ht="12.75">
      <c r="F47" s="273"/>
      <c r="G47" s="273"/>
      <c r="H47" s="273"/>
      <c r="I47" s="273"/>
      <c r="L47" s="273"/>
      <c r="M47" s="273"/>
      <c r="N47" s="273"/>
      <c r="O47" s="273"/>
    </row>
    <row r="48" spans="1:15" ht="12.75">
      <c r="A48" s="1510"/>
      <c r="B48" s="1510"/>
      <c r="C48" s="1510"/>
      <c r="L48" s="273"/>
      <c r="M48" s="273"/>
      <c r="N48" s="273"/>
      <c r="O48" s="273"/>
    </row>
    <row r="49" spans="4:9" ht="12.75">
      <c r="D49" s="273"/>
      <c r="E49" s="273"/>
      <c r="F49" s="273"/>
      <c r="G49" s="273"/>
      <c r="H49" s="273"/>
      <c r="I49" s="273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C67" sqref="C67"/>
    </sheetView>
  </sheetViews>
  <sheetFormatPr defaultColWidth="9.140625" defaultRowHeight="12.75"/>
  <cols>
    <col min="1" max="1" width="8.28125" style="380" hidden="1" customWidth="1"/>
    <col min="2" max="2" width="8.28125" style="374" hidden="1" customWidth="1"/>
    <col min="3" max="3" width="52.00390625" style="374" hidden="1" customWidth="1"/>
    <col min="4" max="4" width="19.28125" style="374" hidden="1" customWidth="1"/>
    <col min="5" max="8" width="8.28125" style="374" hidden="1" customWidth="1"/>
    <col min="9" max="9" width="9.7109375" style="374" hidden="1" customWidth="1"/>
    <col min="10" max="10" width="17.421875" style="374" hidden="1" customWidth="1"/>
    <col min="11" max="14" width="8.28125" style="374" hidden="1" customWidth="1"/>
    <col min="15" max="15" width="8.421875" style="374" hidden="1" customWidth="1"/>
    <col min="16" max="16" width="16.140625" style="374" hidden="1" customWidth="1"/>
    <col min="17" max="17" width="6.28125" style="374" hidden="1" customWidth="1"/>
    <col min="18" max="18" width="7.140625" style="374" hidden="1" customWidth="1"/>
    <col min="19" max="19" width="8.57421875" style="374" hidden="1" customWidth="1"/>
    <col min="20" max="16384" width="9.140625" style="374" customWidth="1"/>
  </cols>
  <sheetData>
    <row r="1" spans="1:16" s="178" customFormat="1" ht="21" customHeight="1">
      <c r="A1" s="174"/>
      <c r="B1" s="175"/>
      <c r="C1" s="176"/>
      <c r="D1" s="177"/>
      <c r="E1" s="177"/>
      <c r="F1" s="177"/>
      <c r="G1" s="177"/>
      <c r="H1" s="177"/>
      <c r="I1" s="177"/>
      <c r="J1" s="1509"/>
      <c r="K1" s="1509"/>
      <c r="L1" s="1509"/>
      <c r="M1" s="1509"/>
      <c r="N1" s="1509"/>
      <c r="O1" s="1509"/>
      <c r="P1" s="1509"/>
    </row>
    <row r="2" spans="1:9" s="178" customFormat="1" ht="21" customHeight="1">
      <c r="A2" s="294"/>
      <c r="B2" s="175"/>
      <c r="C2" s="180"/>
      <c r="D2" s="179"/>
      <c r="E2" s="179"/>
      <c r="F2" s="179"/>
      <c r="G2" s="179"/>
      <c r="H2" s="179"/>
      <c r="I2" s="179"/>
    </row>
    <row r="3" spans="1:16" s="181" customFormat="1" ht="25.5" customHeight="1">
      <c r="A3" s="1508"/>
      <c r="B3" s="1508"/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</row>
    <row r="4" spans="1:16" s="184" customFormat="1" ht="15.75" customHeight="1" thickBot="1">
      <c r="A4" s="182"/>
      <c r="B4" s="182"/>
      <c r="C4" s="182"/>
      <c r="P4" s="183"/>
    </row>
    <row r="5" spans="1:18" s="184" customFormat="1" ht="41.25" customHeight="1" thickBot="1">
      <c r="A5" s="182"/>
      <c r="B5" s="182"/>
      <c r="C5" s="182"/>
      <c r="D5" s="1514"/>
      <c r="E5" s="1515"/>
      <c r="F5" s="1515"/>
      <c r="G5" s="1515"/>
      <c r="H5" s="1515"/>
      <c r="I5" s="1516"/>
      <c r="J5" s="1514"/>
      <c r="K5" s="1515"/>
      <c r="L5" s="1515"/>
      <c r="M5" s="1515"/>
      <c r="N5" s="1515"/>
      <c r="O5" s="1516"/>
      <c r="P5" s="1511"/>
      <c r="Q5" s="1512"/>
      <c r="R5" s="1513"/>
    </row>
    <row r="6" spans="1:19" ht="13.5" thickBot="1">
      <c r="A6" s="1506"/>
      <c r="B6" s="1507"/>
      <c r="C6" s="629"/>
      <c r="D6" s="618"/>
      <c r="E6" s="185"/>
      <c r="F6" s="185"/>
      <c r="G6" s="185"/>
      <c r="H6" s="185"/>
      <c r="I6" s="185"/>
      <c r="J6" s="618"/>
      <c r="K6" s="185"/>
      <c r="L6" s="185"/>
      <c r="M6" s="185"/>
      <c r="N6" s="185"/>
      <c r="O6" s="185"/>
      <c r="P6" s="618"/>
      <c r="Q6" s="185"/>
      <c r="R6" s="185"/>
      <c r="S6" s="585"/>
    </row>
    <row r="7" spans="1:19" s="190" customFormat="1" ht="12.75" customHeight="1" thickBot="1">
      <c r="A7" s="187"/>
      <c r="B7" s="188"/>
      <c r="C7" s="353"/>
      <c r="D7" s="187"/>
      <c r="E7" s="188"/>
      <c r="F7" s="188"/>
      <c r="G7" s="188"/>
      <c r="H7" s="188"/>
      <c r="I7" s="188"/>
      <c r="J7" s="187"/>
      <c r="K7" s="188"/>
      <c r="L7" s="188"/>
      <c r="M7" s="188"/>
      <c r="N7" s="188"/>
      <c r="O7" s="189"/>
      <c r="P7" s="187"/>
      <c r="Q7" s="188"/>
      <c r="R7" s="189"/>
      <c r="S7" s="636"/>
    </row>
    <row r="8" spans="1:19" s="190" customFormat="1" ht="15.75" customHeight="1" thickBot="1">
      <c r="A8" s="191"/>
      <c r="B8" s="192"/>
      <c r="C8" s="192"/>
      <c r="D8" s="594"/>
      <c r="E8" s="645"/>
      <c r="F8" s="645"/>
      <c r="G8" s="645"/>
      <c r="H8" s="645"/>
      <c r="I8" s="645"/>
      <c r="J8" s="647"/>
      <c r="K8" s="323"/>
      <c r="L8" s="323"/>
      <c r="M8" s="323"/>
      <c r="N8" s="323"/>
      <c r="O8" s="324"/>
      <c r="P8" s="647"/>
      <c r="Q8" s="323"/>
      <c r="R8" s="324"/>
      <c r="S8" s="637"/>
    </row>
    <row r="9" spans="1:19" s="196" customFormat="1" ht="12" customHeight="1" thickBot="1">
      <c r="A9" s="187"/>
      <c r="B9" s="193"/>
      <c r="C9" s="630"/>
      <c r="D9" s="595"/>
      <c r="E9" s="259"/>
      <c r="F9" s="259"/>
      <c r="G9" s="259"/>
      <c r="H9" s="259"/>
      <c r="I9" s="259"/>
      <c r="J9" s="595"/>
      <c r="K9" s="259"/>
      <c r="L9" s="259"/>
      <c r="M9" s="259"/>
      <c r="N9" s="259"/>
      <c r="O9" s="259"/>
      <c r="P9" s="595"/>
      <c r="Q9" s="259"/>
      <c r="R9" s="195"/>
      <c r="S9" s="587"/>
    </row>
    <row r="10" spans="1:19" s="196" customFormat="1" ht="12" customHeight="1" thickBot="1">
      <c r="A10" s="187"/>
      <c r="B10" s="193"/>
      <c r="C10" s="630"/>
      <c r="D10" s="595"/>
      <c r="E10" s="259"/>
      <c r="F10" s="259"/>
      <c r="G10" s="259"/>
      <c r="H10" s="259"/>
      <c r="I10" s="259"/>
      <c r="J10" s="595"/>
      <c r="K10" s="259"/>
      <c r="L10" s="259"/>
      <c r="M10" s="259"/>
      <c r="N10" s="259"/>
      <c r="O10" s="259"/>
      <c r="P10" s="595"/>
      <c r="Q10" s="259"/>
      <c r="R10" s="195"/>
      <c r="S10" s="587"/>
    </row>
    <row r="11" spans="1:19" s="202" customFormat="1" ht="12" customHeight="1">
      <c r="A11" s="199"/>
      <c r="B11" s="198"/>
      <c r="C11" s="607"/>
      <c r="D11" s="597"/>
      <c r="E11" s="260"/>
      <c r="F11" s="260"/>
      <c r="G11" s="260"/>
      <c r="H11" s="260"/>
      <c r="I11" s="260"/>
      <c r="J11" s="597"/>
      <c r="K11" s="260"/>
      <c r="L11" s="260"/>
      <c r="M11" s="260"/>
      <c r="N11" s="260"/>
      <c r="O11" s="260"/>
      <c r="P11" s="597"/>
      <c r="Q11" s="260"/>
      <c r="R11" s="201"/>
      <c r="S11" s="621"/>
    </row>
    <row r="12" spans="1:19" s="202" customFormat="1" ht="12" customHeight="1">
      <c r="A12" s="199"/>
      <c r="B12" s="198"/>
      <c r="C12" s="608"/>
      <c r="D12" s="597"/>
      <c r="E12" s="260"/>
      <c r="F12" s="260"/>
      <c r="G12" s="260"/>
      <c r="H12" s="260"/>
      <c r="I12" s="260"/>
      <c r="J12" s="597"/>
      <c r="K12" s="260"/>
      <c r="L12" s="260"/>
      <c r="M12" s="260"/>
      <c r="N12" s="260"/>
      <c r="O12" s="260"/>
      <c r="P12" s="597"/>
      <c r="Q12" s="260"/>
      <c r="R12" s="201"/>
      <c r="S12" s="621"/>
    </row>
    <row r="13" spans="1:19" s="202" customFormat="1" ht="12" customHeight="1">
      <c r="A13" s="199"/>
      <c r="B13" s="198"/>
      <c r="C13" s="608"/>
      <c r="D13" s="597"/>
      <c r="E13" s="260"/>
      <c r="F13" s="260"/>
      <c r="G13" s="260"/>
      <c r="H13" s="260"/>
      <c r="I13" s="260"/>
      <c r="J13" s="597"/>
      <c r="K13" s="260"/>
      <c r="L13" s="260"/>
      <c r="M13" s="260"/>
      <c r="N13" s="260"/>
      <c r="O13" s="260"/>
      <c r="P13" s="597"/>
      <c r="Q13" s="260"/>
      <c r="R13" s="201"/>
      <c r="S13" s="621"/>
    </row>
    <row r="14" spans="1:19" s="202" customFormat="1" ht="12" customHeight="1" thickBot="1">
      <c r="A14" s="199"/>
      <c r="B14" s="198"/>
      <c r="C14" s="608"/>
      <c r="D14" s="597"/>
      <c r="E14" s="260"/>
      <c r="F14" s="260"/>
      <c r="G14" s="260"/>
      <c r="H14" s="260"/>
      <c r="I14" s="260"/>
      <c r="J14" s="597"/>
      <c r="K14" s="260"/>
      <c r="L14" s="260"/>
      <c r="M14" s="260"/>
      <c r="N14" s="260"/>
      <c r="O14" s="260"/>
      <c r="P14" s="597"/>
      <c r="Q14" s="260"/>
      <c r="R14" s="201"/>
      <c r="S14" s="621"/>
    </row>
    <row r="15" spans="1:19" s="202" customFormat="1" ht="12" customHeight="1" thickBot="1">
      <c r="A15" s="207"/>
      <c r="B15" s="208"/>
      <c r="C15" s="606"/>
      <c r="D15" s="595"/>
      <c r="E15" s="259"/>
      <c r="F15" s="259"/>
      <c r="G15" s="259"/>
      <c r="H15" s="259"/>
      <c r="I15" s="259"/>
      <c r="J15" s="595"/>
      <c r="K15" s="259"/>
      <c r="L15" s="259"/>
      <c r="M15" s="259"/>
      <c r="N15" s="259"/>
      <c r="O15" s="259"/>
      <c r="P15" s="595"/>
      <c r="Q15" s="259"/>
      <c r="R15" s="195"/>
      <c r="S15" s="587"/>
    </row>
    <row r="16" spans="1:19" s="196" customFormat="1" ht="12" customHeight="1">
      <c r="A16" s="209"/>
      <c r="B16" s="210"/>
      <c r="C16" s="631"/>
      <c r="D16" s="598"/>
      <c r="E16" s="261"/>
      <c r="F16" s="261"/>
      <c r="G16" s="261"/>
      <c r="H16" s="261"/>
      <c r="I16" s="261"/>
      <c r="J16" s="598"/>
      <c r="K16" s="261"/>
      <c r="L16" s="261"/>
      <c r="M16" s="261"/>
      <c r="N16" s="261"/>
      <c r="O16" s="261"/>
      <c r="P16" s="598"/>
      <c r="Q16" s="261"/>
      <c r="R16" s="212"/>
      <c r="S16" s="638"/>
    </row>
    <row r="17" spans="1:19" s="196" customFormat="1" ht="12" customHeight="1" thickBot="1">
      <c r="A17" s="213"/>
      <c r="B17" s="214"/>
      <c r="C17" s="632"/>
      <c r="D17" s="599"/>
      <c r="E17" s="262"/>
      <c r="F17" s="262"/>
      <c r="G17" s="262"/>
      <c r="H17" s="262"/>
      <c r="I17" s="262"/>
      <c r="J17" s="599"/>
      <c r="K17" s="262"/>
      <c r="L17" s="262"/>
      <c r="M17" s="262"/>
      <c r="N17" s="262"/>
      <c r="O17" s="262"/>
      <c r="P17" s="599"/>
      <c r="Q17" s="262"/>
      <c r="R17" s="216"/>
      <c r="S17" s="639"/>
    </row>
    <row r="18" spans="1:19" s="196" customFormat="1" ht="12" customHeight="1" thickBot="1">
      <c r="A18" s="207"/>
      <c r="B18" s="193"/>
      <c r="D18" s="600"/>
      <c r="E18" s="263"/>
      <c r="F18" s="263"/>
      <c r="G18" s="263"/>
      <c r="H18" s="263"/>
      <c r="I18" s="263"/>
      <c r="J18" s="600"/>
      <c r="K18" s="263"/>
      <c r="L18" s="263"/>
      <c r="M18" s="263"/>
      <c r="N18" s="263"/>
      <c r="O18" s="263"/>
      <c r="P18" s="600"/>
      <c r="Q18" s="263"/>
      <c r="R18" s="217"/>
      <c r="S18" s="589"/>
    </row>
    <row r="19" spans="1:19" s="196" customFormat="1" ht="12" customHeight="1" thickBot="1">
      <c r="A19" s="187"/>
      <c r="B19" s="218"/>
      <c r="C19" s="606"/>
      <c r="D19" s="595"/>
      <c r="E19" s="259"/>
      <c r="F19" s="259"/>
      <c r="G19" s="259"/>
      <c r="H19" s="259"/>
      <c r="I19" s="259"/>
      <c r="J19" s="595"/>
      <c r="K19" s="259"/>
      <c r="L19" s="259"/>
      <c r="M19" s="259"/>
      <c r="N19" s="259"/>
      <c r="O19" s="259"/>
      <c r="P19" s="595"/>
      <c r="Q19" s="259"/>
      <c r="R19" s="195"/>
      <c r="S19" s="587"/>
    </row>
    <row r="20" spans="1:19" s="202" customFormat="1" ht="12" customHeight="1" thickBot="1">
      <c r="A20" s="219"/>
      <c r="B20" s="220"/>
      <c r="C20" s="633"/>
      <c r="D20" s="601"/>
      <c r="E20" s="264"/>
      <c r="F20" s="264"/>
      <c r="G20" s="264"/>
      <c r="H20" s="264"/>
      <c r="I20" s="264"/>
      <c r="J20" s="601"/>
      <c r="K20" s="264"/>
      <c r="L20" s="264"/>
      <c r="M20" s="264"/>
      <c r="N20" s="264"/>
      <c r="O20" s="264"/>
      <c r="P20" s="595"/>
      <c r="Q20" s="259"/>
      <c r="R20" s="195"/>
      <c r="S20" s="587"/>
    </row>
    <row r="21" spans="1:19" s="202" customFormat="1" ht="15" customHeight="1" thickBot="1">
      <c r="A21" s="197"/>
      <c r="B21" s="222"/>
      <c r="C21" s="631"/>
      <c r="D21" s="598"/>
      <c r="E21" s="261"/>
      <c r="F21" s="261"/>
      <c r="G21" s="261"/>
      <c r="H21" s="261"/>
      <c r="I21" s="261"/>
      <c r="J21" s="598"/>
      <c r="K21" s="261"/>
      <c r="L21" s="261"/>
      <c r="M21" s="261"/>
      <c r="N21" s="261"/>
      <c r="O21" s="261"/>
      <c r="P21" s="604"/>
      <c r="Q21" s="605"/>
      <c r="R21" s="327"/>
      <c r="S21" s="640"/>
    </row>
    <row r="22" spans="1:19" s="202" customFormat="1" ht="15" customHeight="1">
      <c r="A22" s="880"/>
      <c r="B22" s="881"/>
      <c r="C22" s="631"/>
      <c r="D22" s="882"/>
      <c r="E22" s="883"/>
      <c r="F22" s="883"/>
      <c r="G22" s="883"/>
      <c r="H22" s="883"/>
      <c r="I22" s="883"/>
      <c r="J22" s="882"/>
      <c r="K22" s="883"/>
      <c r="L22" s="883"/>
      <c r="M22" s="883"/>
      <c r="N22" s="883"/>
      <c r="O22" s="883"/>
      <c r="P22" s="884"/>
      <c r="Q22" s="885"/>
      <c r="R22" s="886"/>
      <c r="S22" s="887"/>
    </row>
    <row r="23" spans="1:19" s="202" customFormat="1" ht="15" customHeight="1" thickBot="1">
      <c r="A23" s="223"/>
      <c r="B23" s="224"/>
      <c r="C23" s="634"/>
      <c r="D23" s="602"/>
      <c r="E23" s="265"/>
      <c r="F23" s="265"/>
      <c r="G23" s="265"/>
      <c r="H23" s="265"/>
      <c r="I23" s="265"/>
      <c r="J23" s="602"/>
      <c r="K23" s="265"/>
      <c r="L23" s="265"/>
      <c r="M23" s="265"/>
      <c r="N23" s="265"/>
      <c r="O23" s="265"/>
      <c r="P23" s="602"/>
      <c r="Q23" s="265"/>
      <c r="R23" s="226"/>
      <c r="S23" s="641"/>
    </row>
    <row r="24" spans="1:19" ht="13.5" hidden="1" thickBot="1">
      <c r="A24" s="227"/>
      <c r="B24" s="375"/>
      <c r="C24" s="610"/>
      <c r="D24" s="600"/>
      <c r="E24" s="263"/>
      <c r="F24" s="263"/>
      <c r="G24" s="263"/>
      <c r="H24" s="263"/>
      <c r="I24" s="263"/>
      <c r="J24" s="600"/>
      <c r="K24" s="263"/>
      <c r="L24" s="263"/>
      <c r="M24" s="263"/>
      <c r="N24" s="263"/>
      <c r="O24" s="263"/>
      <c r="P24" s="600"/>
      <c r="Q24" s="263"/>
      <c r="R24" s="217"/>
      <c r="S24" s="589"/>
    </row>
    <row r="25" spans="1:19" s="190" customFormat="1" ht="16.5" customHeight="1" thickBot="1">
      <c r="A25" s="227"/>
      <c r="B25" s="376"/>
      <c r="C25" s="635"/>
      <c r="D25" s="603"/>
      <c r="E25" s="266"/>
      <c r="F25" s="266"/>
      <c r="G25" s="266"/>
      <c r="H25" s="266"/>
      <c r="I25" s="266"/>
      <c r="J25" s="603"/>
      <c r="K25" s="266"/>
      <c r="L25" s="266"/>
      <c r="M25" s="266"/>
      <c r="N25" s="266"/>
      <c r="O25" s="266"/>
      <c r="P25" s="603"/>
      <c r="Q25" s="266"/>
      <c r="R25" s="250"/>
      <c r="S25" s="232"/>
    </row>
    <row r="26" spans="1:18" s="236" customFormat="1" ht="12" customHeight="1">
      <c r="A26" s="233"/>
      <c r="B26" s="233"/>
      <c r="C26" s="234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</row>
    <row r="27" spans="1:18" ht="12" customHeight="1" thickBot="1">
      <c r="A27" s="237"/>
      <c r="B27" s="238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</row>
    <row r="28" spans="1:19" ht="12" customHeight="1" thickBot="1">
      <c r="A28" s="240"/>
      <c r="B28" s="241"/>
      <c r="C28" s="242"/>
      <c r="D28" s="603"/>
      <c r="E28" s="266"/>
      <c r="F28" s="266"/>
      <c r="G28" s="266"/>
      <c r="H28" s="266"/>
      <c r="I28" s="250"/>
      <c r="J28" s="603"/>
      <c r="K28" s="266"/>
      <c r="L28" s="266"/>
      <c r="M28" s="266"/>
      <c r="N28" s="266"/>
      <c r="O28" s="250"/>
      <c r="P28" s="603"/>
      <c r="Q28" s="266"/>
      <c r="R28" s="250"/>
      <c r="S28" s="232"/>
    </row>
    <row r="29" spans="1:19" ht="12" customHeight="1" thickBot="1">
      <c r="A29" s="207"/>
      <c r="B29" s="243"/>
      <c r="C29" s="606"/>
      <c r="D29" s="595"/>
      <c r="E29" s="259"/>
      <c r="F29" s="259"/>
      <c r="G29" s="259"/>
      <c r="H29" s="259"/>
      <c r="I29" s="195"/>
      <c r="J29" s="595"/>
      <c r="K29" s="259"/>
      <c r="L29" s="259"/>
      <c r="M29" s="259"/>
      <c r="N29" s="259"/>
      <c r="O29" s="195"/>
      <c r="P29" s="595"/>
      <c r="Q29" s="259"/>
      <c r="R29" s="195"/>
      <c r="S29" s="587"/>
    </row>
    <row r="30" spans="1:19" ht="12" customHeight="1">
      <c r="A30" s="244"/>
      <c r="B30" s="245"/>
      <c r="C30" s="607"/>
      <c r="D30" s="613"/>
      <c r="E30" s="268"/>
      <c r="F30" s="268"/>
      <c r="G30" s="268"/>
      <c r="H30" s="268"/>
      <c r="I30" s="614"/>
      <c r="J30" s="613"/>
      <c r="K30" s="268"/>
      <c r="L30" s="268"/>
      <c r="M30" s="268"/>
      <c r="N30" s="268"/>
      <c r="O30" s="614"/>
      <c r="P30" s="597"/>
      <c r="Q30" s="260"/>
      <c r="R30" s="201"/>
      <c r="S30" s="621"/>
    </row>
    <row r="31" spans="1:19" ht="12" customHeight="1">
      <c r="A31" s="246"/>
      <c r="B31" s="247"/>
      <c r="C31" s="608"/>
      <c r="D31" s="615"/>
      <c r="E31" s="269"/>
      <c r="F31" s="269"/>
      <c r="G31" s="269"/>
      <c r="H31" s="269"/>
      <c r="I31" s="248"/>
      <c r="J31" s="615"/>
      <c r="K31" s="269"/>
      <c r="L31" s="269"/>
      <c r="M31" s="269"/>
      <c r="N31" s="269"/>
      <c r="O31" s="248"/>
      <c r="P31" s="597"/>
      <c r="Q31" s="260"/>
      <c r="R31" s="201"/>
      <c r="S31" s="621"/>
    </row>
    <row r="32" spans="1:19" ht="12" customHeight="1">
      <c r="A32" s="246"/>
      <c r="B32" s="247"/>
      <c r="C32" s="608"/>
      <c r="D32" s="615"/>
      <c r="E32" s="269"/>
      <c r="F32" s="269"/>
      <c r="G32" s="269"/>
      <c r="H32" s="269"/>
      <c r="I32" s="248"/>
      <c r="J32" s="615"/>
      <c r="K32" s="269"/>
      <c r="L32" s="269"/>
      <c r="M32" s="269"/>
      <c r="N32" s="269"/>
      <c r="O32" s="248"/>
      <c r="P32" s="597"/>
      <c r="Q32" s="260"/>
      <c r="R32" s="201"/>
      <c r="S32" s="621"/>
    </row>
    <row r="33" spans="1:19" s="236" customFormat="1" ht="12" customHeight="1">
      <c r="A33" s="246"/>
      <c r="B33" s="247"/>
      <c r="C33" s="608"/>
      <c r="D33" s="615"/>
      <c r="E33" s="269"/>
      <c r="F33" s="269"/>
      <c r="G33" s="269"/>
      <c r="H33" s="269"/>
      <c r="I33" s="248"/>
      <c r="J33" s="615"/>
      <c r="K33" s="269"/>
      <c r="L33" s="269"/>
      <c r="M33" s="269"/>
      <c r="N33" s="269"/>
      <c r="O33" s="248"/>
      <c r="P33" s="597"/>
      <c r="Q33" s="260"/>
      <c r="R33" s="201"/>
      <c r="S33" s="621"/>
    </row>
    <row r="34" spans="1:19" ht="12" customHeight="1" thickBot="1">
      <c r="A34" s="246"/>
      <c r="B34" s="247"/>
      <c r="C34" s="608"/>
      <c r="D34" s="615"/>
      <c r="E34" s="269"/>
      <c r="F34" s="269"/>
      <c r="G34" s="269"/>
      <c r="H34" s="269"/>
      <c r="I34" s="248"/>
      <c r="J34" s="615"/>
      <c r="K34" s="269"/>
      <c r="L34" s="269"/>
      <c r="M34" s="269"/>
      <c r="N34" s="269"/>
      <c r="O34" s="248"/>
      <c r="P34" s="615"/>
      <c r="Q34" s="269"/>
      <c r="R34" s="248"/>
      <c r="S34" s="622"/>
    </row>
    <row r="35" spans="1:19" ht="12" customHeight="1" thickBot="1">
      <c r="A35" s="207"/>
      <c r="B35" s="243"/>
      <c r="C35" s="606"/>
      <c r="D35" s="595"/>
      <c r="E35" s="259"/>
      <c r="F35" s="259"/>
      <c r="G35" s="259"/>
      <c r="H35" s="259"/>
      <c r="I35" s="195"/>
      <c r="J35" s="595"/>
      <c r="K35" s="259"/>
      <c r="L35" s="259"/>
      <c r="M35" s="259"/>
      <c r="N35" s="259"/>
      <c r="O35" s="195"/>
      <c r="P35" s="595"/>
      <c r="Q35" s="259"/>
      <c r="R35" s="195"/>
      <c r="S35" s="587"/>
    </row>
    <row r="36" spans="1:19" ht="12" customHeight="1">
      <c r="A36" s="244"/>
      <c r="B36" s="245"/>
      <c r="C36" s="607"/>
      <c r="D36" s="613"/>
      <c r="E36" s="268"/>
      <c r="F36" s="268"/>
      <c r="G36" s="268"/>
      <c r="H36" s="268"/>
      <c r="I36" s="614"/>
      <c r="J36" s="613"/>
      <c r="K36" s="268"/>
      <c r="L36" s="268"/>
      <c r="M36" s="268"/>
      <c r="N36" s="268"/>
      <c r="O36" s="614"/>
      <c r="P36" s="597"/>
      <c r="Q36" s="260"/>
      <c r="R36" s="201"/>
      <c r="S36" s="621"/>
    </row>
    <row r="37" spans="1:19" ht="12" customHeight="1">
      <c r="A37" s="246"/>
      <c r="B37" s="247"/>
      <c r="C37" s="608"/>
      <c r="D37" s="615"/>
      <c r="E37" s="269"/>
      <c r="F37" s="269"/>
      <c r="G37" s="269"/>
      <c r="H37" s="269"/>
      <c r="I37" s="248"/>
      <c r="J37" s="615"/>
      <c r="K37" s="269"/>
      <c r="L37" s="269"/>
      <c r="M37" s="269"/>
      <c r="N37" s="269"/>
      <c r="O37" s="248"/>
      <c r="P37" s="615"/>
      <c r="Q37" s="269"/>
      <c r="R37" s="248"/>
      <c r="S37" s="622"/>
    </row>
    <row r="38" spans="1:19" ht="15" customHeight="1">
      <c r="A38" s="246"/>
      <c r="B38" s="247"/>
      <c r="C38" s="608"/>
      <c r="D38" s="615"/>
      <c r="E38" s="269"/>
      <c r="F38" s="269"/>
      <c r="G38" s="269"/>
      <c r="H38" s="269"/>
      <c r="I38" s="248"/>
      <c r="J38" s="615"/>
      <c r="K38" s="269"/>
      <c r="L38" s="269"/>
      <c r="M38" s="269"/>
      <c r="N38" s="269"/>
      <c r="O38" s="248"/>
      <c r="P38" s="615"/>
      <c r="Q38" s="269"/>
      <c r="R38" s="248"/>
      <c r="S38" s="622"/>
    </row>
    <row r="39" spans="1:19" ht="13.5" thickBot="1">
      <c r="A39" s="246"/>
      <c r="B39" s="247"/>
      <c r="C39" s="608"/>
      <c r="D39" s="615"/>
      <c r="E39" s="269"/>
      <c r="F39" s="269"/>
      <c r="G39" s="269"/>
      <c r="H39" s="269"/>
      <c r="I39" s="248"/>
      <c r="J39" s="615"/>
      <c r="K39" s="269"/>
      <c r="L39" s="269"/>
      <c r="M39" s="269"/>
      <c r="N39" s="269"/>
      <c r="O39" s="248"/>
      <c r="P39" s="615"/>
      <c r="Q39" s="269"/>
      <c r="R39" s="248"/>
      <c r="S39" s="622"/>
    </row>
    <row r="40" spans="1:19" ht="15" customHeight="1" hidden="1" thickBot="1">
      <c r="A40" s="207"/>
      <c r="B40" s="243"/>
      <c r="C40" s="609"/>
      <c r="D40" s="600"/>
      <c r="E40" s="263"/>
      <c r="F40" s="263"/>
      <c r="G40" s="263"/>
      <c r="H40" s="263"/>
      <c r="I40" s="217"/>
      <c r="J40" s="600"/>
      <c r="K40" s="263"/>
      <c r="L40" s="263"/>
      <c r="M40" s="263"/>
      <c r="N40" s="263"/>
      <c r="O40" s="217"/>
      <c r="P40" s="600"/>
      <c r="Q40" s="263"/>
      <c r="R40" s="217"/>
      <c r="S40" s="589"/>
    </row>
    <row r="41" spans="1:19" ht="14.25" customHeight="1" hidden="1" thickBot="1">
      <c r="A41" s="227"/>
      <c r="B41" s="375"/>
      <c r="C41" s="610"/>
      <c r="D41" s="600"/>
      <c r="E41" s="263"/>
      <c r="F41" s="263"/>
      <c r="G41" s="263"/>
      <c r="H41" s="263"/>
      <c r="I41" s="217"/>
      <c r="J41" s="600"/>
      <c r="K41" s="263"/>
      <c r="L41" s="263"/>
      <c r="M41" s="263"/>
      <c r="N41" s="263"/>
      <c r="O41" s="217"/>
      <c r="P41" s="600"/>
      <c r="Q41" s="263"/>
      <c r="R41" s="217"/>
      <c r="S41" s="589"/>
    </row>
    <row r="42" spans="1:19" ht="13.5" thickBot="1">
      <c r="A42" s="207"/>
      <c r="B42" s="249"/>
      <c r="C42" s="611"/>
      <c r="D42" s="603"/>
      <c r="E42" s="266"/>
      <c r="F42" s="266"/>
      <c r="G42" s="266"/>
      <c r="H42" s="266"/>
      <c r="I42" s="250"/>
      <c r="J42" s="603"/>
      <c r="K42" s="266"/>
      <c r="L42" s="266"/>
      <c r="M42" s="266"/>
      <c r="N42" s="266"/>
      <c r="O42" s="250"/>
      <c r="P42" s="603"/>
      <c r="Q42" s="266"/>
      <c r="R42" s="250"/>
      <c r="S42" s="232"/>
    </row>
    <row r="43" spans="1:19" ht="13.5" thickBot="1">
      <c r="A43" s="377"/>
      <c r="B43" s="378"/>
      <c r="C43" s="378"/>
      <c r="D43" s="648"/>
      <c r="E43" s="649"/>
      <c r="F43" s="649"/>
      <c r="G43" s="649"/>
      <c r="H43" s="649"/>
      <c r="I43" s="650"/>
      <c r="J43" s="648"/>
      <c r="K43" s="649"/>
      <c r="L43" s="649"/>
      <c r="M43" s="649"/>
      <c r="N43" s="649"/>
      <c r="O43" s="650"/>
      <c r="P43" s="648"/>
      <c r="Q43" s="649"/>
      <c r="R43" s="650"/>
      <c r="S43" s="379"/>
    </row>
    <row r="44" spans="1:19" ht="13.5" thickBot="1">
      <c r="A44" s="254"/>
      <c r="B44" s="255"/>
      <c r="C44" s="612"/>
      <c r="D44" s="628"/>
      <c r="E44" s="272"/>
      <c r="F44" s="272"/>
      <c r="G44" s="272"/>
      <c r="H44" s="272"/>
      <c r="I44" s="616"/>
      <c r="J44" s="628"/>
      <c r="K44" s="272"/>
      <c r="L44" s="272"/>
      <c r="M44" s="272"/>
      <c r="N44" s="272"/>
      <c r="O44" s="616"/>
      <c r="P44" s="628"/>
      <c r="Q44" s="272"/>
      <c r="R44" s="616"/>
      <c r="S44" s="271"/>
    </row>
    <row r="45" spans="1:19" ht="13.5" thickBot="1">
      <c r="A45" s="254"/>
      <c r="B45" s="255"/>
      <c r="C45" s="612"/>
      <c r="D45" s="628"/>
      <c r="E45" s="272"/>
      <c r="F45" s="272"/>
      <c r="G45" s="272"/>
      <c r="H45" s="272"/>
      <c r="I45" s="616"/>
      <c r="J45" s="628"/>
      <c r="K45" s="272"/>
      <c r="L45" s="272"/>
      <c r="M45" s="272"/>
      <c r="N45" s="272"/>
      <c r="O45" s="616"/>
      <c r="P45" s="628"/>
      <c r="Q45" s="272"/>
      <c r="R45" s="616"/>
      <c r="S45" s="271"/>
    </row>
    <row r="46" spans="6:9" ht="12.75">
      <c r="F46" s="381"/>
      <c r="G46" s="381"/>
      <c r="H46" s="381"/>
      <c r="I46" s="381"/>
    </row>
    <row r="47" spans="1:9" ht="12.75">
      <c r="A47" s="1510"/>
      <c r="B47" s="1510"/>
      <c r="C47" s="1510"/>
      <c r="D47" s="1510"/>
      <c r="E47" s="352"/>
      <c r="F47" s="352"/>
      <c r="G47" s="352"/>
      <c r="H47" s="352"/>
      <c r="I47" s="352"/>
    </row>
    <row r="48" spans="1:3" ht="12.75">
      <c r="A48" s="1510"/>
      <c r="B48" s="1510"/>
      <c r="C48" s="1510"/>
    </row>
    <row r="49" spans="4:9" ht="12.75">
      <c r="D49" s="381"/>
      <c r="E49" s="381"/>
      <c r="F49" s="381"/>
      <c r="G49" s="381"/>
      <c r="H49" s="381"/>
      <c r="I49" s="381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C67" sqref="C67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24"/>
      <c r="E1" s="1524"/>
      <c r="F1" s="13"/>
    </row>
    <row r="2" ht="12.75">
      <c r="B2" s="59"/>
    </row>
    <row r="3" spans="1:6" ht="18">
      <c r="A3" s="1525"/>
      <c r="B3" s="1525"/>
      <c r="C3" s="1525"/>
      <c r="D3" s="1525"/>
      <c r="E3" s="1525"/>
      <c r="F3" s="19"/>
    </row>
    <row r="4" spans="1:6" ht="18">
      <c r="A4" s="1525"/>
      <c r="B4" s="1525"/>
      <c r="C4" s="1525"/>
      <c r="D4" s="1525"/>
      <c r="E4" s="1525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26"/>
      <c r="B6" s="1526"/>
      <c r="C6" s="1526"/>
      <c r="D6" s="1526"/>
      <c r="E6" s="1526"/>
      <c r="F6" s="11"/>
    </row>
    <row r="7" spans="1:7" ht="16.5" thickBot="1">
      <c r="A7" s="12"/>
      <c r="B7" s="60"/>
      <c r="C7" s="39"/>
      <c r="D7" s="11"/>
      <c r="E7" s="902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4"/>
      <c r="G8" s="313"/>
      <c r="H8" s="313"/>
      <c r="I8" s="313"/>
    </row>
    <row r="9" spans="1:9" s="18" customFormat="1" ht="30" customHeight="1">
      <c r="A9" s="33"/>
      <c r="B9" s="41"/>
      <c r="C9" s="41"/>
      <c r="D9" s="34"/>
      <c r="E9" s="383"/>
      <c r="F9" s="395"/>
      <c r="G9" s="99"/>
      <c r="H9" s="99"/>
      <c r="I9" s="473"/>
    </row>
    <row r="10" spans="1:9" ht="30" customHeight="1">
      <c r="A10" s="47"/>
      <c r="B10" s="61"/>
      <c r="C10" s="48"/>
      <c r="D10" s="49"/>
      <c r="E10" s="384"/>
      <c r="F10" s="396"/>
      <c r="G10" s="50"/>
      <c r="I10" s="474"/>
    </row>
    <row r="11" spans="1:9" ht="30" customHeight="1">
      <c r="A11" s="47"/>
      <c r="B11" s="61"/>
      <c r="C11" s="901"/>
      <c r="D11" s="49"/>
      <c r="E11" s="384"/>
      <c r="F11" s="396"/>
      <c r="G11" s="50"/>
      <c r="I11" s="474"/>
    </row>
    <row r="12" spans="1:9" ht="30" customHeight="1">
      <c r="A12" s="51"/>
      <c r="B12" s="61"/>
      <c r="C12" s="81"/>
      <c r="D12" s="52"/>
      <c r="E12" s="385"/>
      <c r="F12" s="397"/>
      <c r="G12" s="53"/>
      <c r="I12" s="474"/>
    </row>
    <row r="13" spans="1:9" ht="30" customHeight="1">
      <c r="A13" s="82"/>
      <c r="B13" s="81"/>
      <c r="C13" s="81"/>
      <c r="D13" s="80"/>
      <c r="E13" s="386"/>
      <c r="F13" s="398"/>
      <c r="G13" s="83"/>
      <c r="I13" s="474"/>
    </row>
    <row r="14" spans="1:9" ht="36.75" customHeight="1">
      <c r="A14" s="82"/>
      <c r="B14" s="81"/>
      <c r="C14" s="81"/>
      <c r="D14" s="80"/>
      <c r="E14" s="386"/>
      <c r="F14" s="398"/>
      <c r="G14" s="83"/>
      <c r="I14" s="474"/>
    </row>
    <row r="15" spans="1:9" ht="36.75" customHeight="1">
      <c r="A15" s="82"/>
      <c r="B15" s="81"/>
      <c r="C15" s="81"/>
      <c r="D15" s="80"/>
      <c r="E15" s="386"/>
      <c r="F15" s="398"/>
      <c r="G15" s="83"/>
      <c r="I15" s="474"/>
    </row>
    <row r="16" spans="1:9" ht="36.75" customHeight="1" thickBot="1">
      <c r="A16" s="82"/>
      <c r="B16" s="81"/>
      <c r="C16" s="81"/>
      <c r="D16" s="80"/>
      <c r="E16" s="386"/>
      <c r="F16" s="398"/>
      <c r="G16" s="83"/>
      <c r="I16" s="474"/>
    </row>
    <row r="17" spans="1:9" s="46" customFormat="1" ht="30" customHeight="1" thickBot="1">
      <c r="A17" s="1522"/>
      <c r="B17" s="1523"/>
      <c r="C17" s="43"/>
      <c r="D17" s="44"/>
      <c r="E17" s="387"/>
      <c r="F17" s="399"/>
      <c r="G17" s="45"/>
      <c r="H17" s="45"/>
      <c r="I17" s="475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C67" sqref="C67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27"/>
      <c r="F1" s="1527"/>
    </row>
    <row r="2" spans="1:6" ht="17.25">
      <c r="A2" s="1528"/>
      <c r="B2" s="1528"/>
      <c r="C2" s="1528"/>
      <c r="D2" s="1528"/>
      <c r="E2" s="1528"/>
      <c r="F2" s="1528"/>
    </row>
    <row r="3" spans="1:6" ht="14.25">
      <c r="A3" s="1529"/>
      <c r="B3" s="1529"/>
      <c r="C3" s="1529"/>
      <c r="D3" s="1529"/>
      <c r="E3" s="1529"/>
      <c r="F3" s="1529"/>
    </row>
    <row r="4" spans="1:6" ht="33.75" customHeight="1">
      <c r="A4" s="793"/>
      <c r="B4" s="793"/>
      <c r="C4" s="793"/>
      <c r="D4" s="793"/>
      <c r="E4" s="793"/>
      <c r="F4" s="793"/>
    </row>
    <row r="5" spans="1:6" ht="15.75">
      <c r="A5" s="794"/>
      <c r="B5" s="795"/>
      <c r="C5" s="795"/>
      <c r="D5" s="795"/>
      <c r="E5" s="795"/>
      <c r="F5" s="795"/>
    </row>
    <row r="6" spans="1:6" ht="15.75">
      <c r="A6" s="795"/>
      <c r="B6" s="795"/>
      <c r="C6" s="795"/>
      <c r="D6" s="795"/>
      <c r="E6" s="795"/>
      <c r="F6" s="795"/>
    </row>
    <row r="7" spans="1:6" ht="15.75">
      <c r="A7" s="794"/>
      <c r="B7" s="795"/>
      <c r="C7" s="795"/>
      <c r="D7" s="795"/>
      <c r="E7" s="795"/>
      <c r="F7" s="795"/>
    </row>
    <row r="8" spans="1:6" ht="15.75">
      <c r="A8" s="794"/>
      <c r="B8" s="795"/>
      <c r="C8" s="795"/>
      <c r="D8" s="795"/>
      <c r="E8" s="795"/>
      <c r="F8" s="795"/>
    </row>
    <row r="9" spans="1:6" ht="15">
      <c r="A9" s="796"/>
      <c r="B9" s="797"/>
      <c r="C9" s="797"/>
      <c r="D9" s="797"/>
      <c r="E9" s="797"/>
      <c r="F9" s="798"/>
    </row>
    <row r="10" spans="1:6" ht="15" hidden="1">
      <c r="A10" s="796"/>
      <c r="B10" s="797"/>
      <c r="C10" s="797"/>
      <c r="D10" s="797"/>
      <c r="E10" s="797"/>
      <c r="F10" s="798"/>
    </row>
    <row r="11" spans="1:5" ht="15" hidden="1">
      <c r="A11" s="796"/>
      <c r="B11" s="797"/>
      <c r="C11" s="797"/>
      <c r="D11" s="797"/>
      <c r="E11" s="797"/>
    </row>
    <row r="12" ht="13.5" hidden="1" thickBot="1"/>
    <row r="13" spans="1:6" ht="15" hidden="1" thickBot="1">
      <c r="A13" s="799"/>
      <c r="B13" s="800"/>
      <c r="C13" s="801"/>
      <c r="D13" s="801"/>
      <c r="E13" s="801"/>
      <c r="F13" s="802"/>
    </row>
    <row r="14" spans="1:6" ht="24.75" customHeight="1" hidden="1">
      <c r="A14" s="803"/>
      <c r="B14" s="804"/>
      <c r="C14" s="805"/>
      <c r="D14" s="805"/>
      <c r="E14" s="805"/>
      <c r="F14" s="806"/>
    </row>
    <row r="15" spans="1:6" ht="12.75" hidden="1">
      <c r="A15" s="807"/>
      <c r="B15" s="808"/>
      <c r="C15" s="809"/>
      <c r="D15" s="809"/>
      <c r="E15" s="809"/>
      <c r="F15" s="810"/>
    </row>
    <row r="16" spans="1:6" ht="12.75" hidden="1">
      <c r="A16" s="807"/>
      <c r="B16" s="808"/>
      <c r="C16" s="809"/>
      <c r="D16" s="809"/>
      <c r="E16" s="809"/>
      <c r="F16" s="810"/>
    </row>
    <row r="17" spans="1:6" ht="21" customHeight="1" hidden="1">
      <c r="A17" s="807"/>
      <c r="B17" s="808"/>
      <c r="C17" s="809"/>
      <c r="D17" s="809"/>
      <c r="E17" s="809"/>
      <c r="F17" s="810"/>
    </row>
    <row r="18" spans="1:6" ht="40.5" customHeight="1" hidden="1">
      <c r="A18" s="807"/>
      <c r="B18" s="808"/>
      <c r="C18" s="809"/>
      <c r="D18" s="809"/>
      <c r="E18" s="809"/>
      <c r="F18" s="810"/>
    </row>
    <row r="19" spans="1:6" ht="21.75" customHeight="1" hidden="1" thickBot="1">
      <c r="A19" s="811"/>
      <c r="B19" s="812"/>
      <c r="C19" s="813"/>
      <c r="D19" s="813"/>
      <c r="E19" s="813"/>
      <c r="F19" s="814"/>
    </row>
    <row r="20" spans="1:6" ht="21.75" customHeight="1" hidden="1" thickBot="1">
      <c r="A20" s="815"/>
      <c r="B20" s="816"/>
      <c r="C20" s="817"/>
      <c r="D20" s="817"/>
      <c r="E20" s="817"/>
      <c r="F20" s="818"/>
    </row>
    <row r="21" spans="1:6" ht="12.75" hidden="1">
      <c r="A21" s="798"/>
      <c r="B21" s="798"/>
      <c r="C21" s="798"/>
      <c r="D21" s="798"/>
      <c r="E21" s="798"/>
      <c r="F21" s="798"/>
    </row>
    <row r="22" spans="1:6" ht="12.75">
      <c r="A22" s="798"/>
      <c r="B22" s="798"/>
      <c r="C22" s="798"/>
      <c r="D22" s="798"/>
      <c r="E22" s="798"/>
      <c r="F22" s="798"/>
    </row>
    <row r="23" spans="1:6" ht="12.75">
      <c r="A23" s="798"/>
      <c r="B23" s="798"/>
      <c r="C23" s="798"/>
      <c r="D23" s="798"/>
      <c r="E23" s="798"/>
      <c r="F23" s="798"/>
    </row>
    <row r="24" spans="1:6" ht="15.75">
      <c r="A24" s="795"/>
      <c r="B24" s="798"/>
      <c r="C24" s="798"/>
      <c r="D24" s="798"/>
      <c r="E24" s="798"/>
      <c r="F24" s="798"/>
    </row>
    <row r="25" spans="1:6" ht="12.75">
      <c r="A25" s="798"/>
      <c r="B25" s="798"/>
      <c r="C25" s="798"/>
      <c r="D25" s="798"/>
      <c r="E25" s="798"/>
      <c r="F25" s="798"/>
    </row>
    <row r="26" spans="1:6" ht="12.75">
      <c r="A26" s="798"/>
      <c r="B26" s="798"/>
      <c r="C26" s="798"/>
      <c r="D26" s="798"/>
      <c r="E26" s="798"/>
      <c r="F26" s="798"/>
    </row>
    <row r="29" spans="3:5" ht="13.5">
      <c r="C29" s="819"/>
      <c r="D29" s="820"/>
      <c r="E29" s="81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C67" sqref="C67"/>
    </sheetView>
  </sheetViews>
  <sheetFormatPr defaultColWidth="9.140625" defaultRowHeight="12.75"/>
  <cols>
    <col min="1" max="1" width="55.57421875" style="828" customWidth="1"/>
    <col min="2" max="2" width="27.7109375" style="828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34"/>
      <c r="F1" s="1534"/>
      <c r="G1" s="829"/>
    </row>
    <row r="2" spans="1:7" ht="26.25" customHeight="1" hidden="1">
      <c r="A2" s="1538"/>
      <c r="B2" s="1538"/>
      <c r="C2" s="1538"/>
      <c r="D2" s="1538"/>
      <c r="E2" s="1538"/>
      <c r="F2" s="1538"/>
      <c r="G2" s="830"/>
    </row>
    <row r="3" spans="1:7" ht="21" customHeight="1" hidden="1">
      <c r="A3" s="1535"/>
      <c r="B3" s="1535"/>
      <c r="C3" s="1535"/>
      <c r="D3" s="1535"/>
      <c r="E3" s="1535"/>
      <c r="F3" s="1535"/>
      <c r="G3" s="831"/>
    </row>
    <row r="4" spans="6:7" ht="32.25" customHeight="1" hidden="1" thickBot="1">
      <c r="F4" s="829"/>
      <c r="G4" s="829"/>
    </row>
    <row r="5" spans="1:7" s="833" customFormat="1" ht="13.5" hidden="1" thickBot="1">
      <c r="A5" s="832"/>
      <c r="B5" s="1542"/>
      <c r="C5" s="1540"/>
      <c r="D5" s="1540"/>
      <c r="E5" s="1539"/>
      <c r="F5" s="1540"/>
      <c r="G5" s="1541"/>
    </row>
    <row r="6" ht="12.75" hidden="1">
      <c r="A6" s="23"/>
    </row>
    <row r="7" spans="1:7" ht="12.75" hidden="1">
      <c r="A7" s="834"/>
      <c r="B7" s="834"/>
      <c r="C7" s="835"/>
      <c r="D7" s="835"/>
      <c r="E7" s="836"/>
      <c r="F7" s="835"/>
      <c r="G7" s="835"/>
    </row>
    <row r="8" spans="1:8" ht="20.25" customHeight="1" hidden="1">
      <c r="A8" s="837"/>
      <c r="B8" s="838"/>
      <c r="C8" s="839"/>
      <c r="D8" s="839"/>
      <c r="E8" s="840"/>
      <c r="F8" s="839"/>
      <c r="G8" s="841"/>
      <c r="H8" s="22"/>
    </row>
    <row r="9" spans="1:7" ht="18" customHeight="1" hidden="1">
      <c r="A9" s="1536"/>
      <c r="B9" s="842"/>
      <c r="C9" s="843"/>
      <c r="D9" s="843"/>
      <c r="E9" s="844"/>
      <c r="F9" s="845"/>
      <c r="G9" s="846"/>
    </row>
    <row r="10" spans="1:7" ht="18.75" customHeight="1" hidden="1" thickBot="1">
      <c r="A10" s="1537"/>
      <c r="B10" s="847"/>
      <c r="C10" s="848"/>
      <c r="D10" s="848"/>
      <c r="E10" s="849"/>
      <c r="F10" s="850"/>
      <c r="G10" s="851"/>
    </row>
    <row r="11" spans="1:7" ht="12" customHeight="1" hidden="1">
      <c r="A11" s="852"/>
      <c r="B11" s="853"/>
      <c r="C11" s="854"/>
      <c r="D11" s="854"/>
      <c r="E11" s="855"/>
      <c r="F11" s="856"/>
      <c r="G11" s="856"/>
    </row>
    <row r="12" ht="13.5" hidden="1" thickBot="1"/>
    <row r="13" spans="1:7" ht="12.75" hidden="1">
      <c r="A13" s="857"/>
      <c r="B13" s="858"/>
      <c r="C13" s="859"/>
      <c r="D13" s="859"/>
      <c r="E13" s="860"/>
      <c r="F13" s="859"/>
      <c r="G13" s="861"/>
    </row>
    <row r="14" spans="1:7" ht="12.75" hidden="1">
      <c r="A14" s="1536"/>
      <c r="B14" s="1544"/>
      <c r="C14" s="1548"/>
      <c r="D14" s="1548"/>
      <c r="E14" s="1532"/>
      <c r="F14" s="1550"/>
      <c r="G14" s="1546"/>
    </row>
    <row r="15" spans="1:7" ht="12.75" hidden="1">
      <c r="A15" s="1543"/>
      <c r="B15" s="1545"/>
      <c r="C15" s="1549"/>
      <c r="D15" s="1549"/>
      <c r="E15" s="1533"/>
      <c r="F15" s="1551"/>
      <c r="G15" s="1547"/>
    </row>
    <row r="16" spans="1:7" ht="13.5" hidden="1" thickBot="1">
      <c r="A16" s="1537"/>
      <c r="B16" s="864"/>
      <c r="C16" s="848"/>
      <c r="D16" s="848"/>
      <c r="E16" s="849"/>
      <c r="F16" s="850"/>
      <c r="G16" s="865"/>
    </row>
    <row r="17" spans="1:7" ht="12.75" hidden="1">
      <c r="A17" s="852"/>
      <c r="B17" s="866"/>
      <c r="C17" s="854"/>
      <c r="D17" s="854"/>
      <c r="E17" s="855"/>
      <c r="F17" s="856"/>
      <c r="G17" s="856"/>
    </row>
    <row r="19" spans="1:7" ht="12.75" hidden="1">
      <c r="A19" s="867"/>
      <c r="B19" s="868"/>
      <c r="C19" s="869"/>
      <c r="D19" s="869"/>
      <c r="E19" s="870"/>
      <c r="F19" s="871"/>
      <c r="G19" s="872"/>
    </row>
    <row r="20" spans="1:7" ht="12.75" hidden="1">
      <c r="A20" s="1536"/>
      <c r="B20" s="873"/>
      <c r="C20" s="874"/>
      <c r="D20" s="874"/>
      <c r="E20" s="875"/>
      <c r="F20" s="876"/>
      <c r="G20" s="872"/>
    </row>
    <row r="21" spans="1:7" ht="12.75" hidden="1">
      <c r="A21" s="1543"/>
      <c r="B21" s="842"/>
      <c r="C21" s="843"/>
      <c r="D21" s="843"/>
      <c r="E21" s="844"/>
      <c r="F21" s="846"/>
      <c r="G21" s="877"/>
    </row>
    <row r="22" spans="1:7" ht="13.5" hidden="1" thickBot="1">
      <c r="A22" s="1537"/>
      <c r="B22" s="847"/>
      <c r="C22" s="848"/>
      <c r="D22" s="848"/>
      <c r="E22" s="849"/>
      <c r="F22" s="851"/>
      <c r="G22" s="856"/>
    </row>
    <row r="23" ht="13.5" hidden="1" thickBot="1"/>
    <row r="24" spans="1:7" ht="12.75" hidden="1">
      <c r="A24" s="857"/>
      <c r="B24" s="858"/>
      <c r="C24" s="859"/>
      <c r="D24" s="859"/>
      <c r="E24" s="860"/>
      <c r="F24" s="861"/>
      <c r="G24" s="878"/>
    </row>
    <row r="25" spans="1:7" ht="12.75" hidden="1">
      <c r="A25" s="1536"/>
      <c r="B25" s="1544"/>
      <c r="C25" s="1548"/>
      <c r="D25" s="862"/>
      <c r="E25" s="1532"/>
      <c r="F25" s="1530"/>
      <c r="G25" s="879"/>
    </row>
    <row r="26" spans="1:7" ht="12.75" hidden="1">
      <c r="A26" s="1543"/>
      <c r="B26" s="1545"/>
      <c r="C26" s="1549"/>
      <c r="D26" s="863"/>
      <c r="E26" s="1533"/>
      <c r="F26" s="1531"/>
      <c r="G26" s="879"/>
    </row>
    <row r="27" spans="1:7" ht="13.5" hidden="1" thickBot="1">
      <c r="A27" s="1537"/>
      <c r="B27" s="864"/>
      <c r="C27" s="848"/>
      <c r="D27" s="848"/>
      <c r="E27" s="849"/>
      <c r="F27" s="851"/>
      <c r="G27" s="856"/>
    </row>
    <row r="28" ht="12.75" hidden="1"/>
    <row r="29" ht="12.75" hidden="1"/>
  </sheetData>
  <sheetProtection/>
  <mergeCells count="19"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  <mergeCell ref="E25:E26"/>
    <mergeCell ref="E1:F1"/>
    <mergeCell ref="A3:F3"/>
    <mergeCell ref="A9:A10"/>
    <mergeCell ref="A2:F2"/>
    <mergeCell ref="E5:G5"/>
    <mergeCell ref="B5:D5"/>
    <mergeCell ref="A25:A27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B12">
      <selection activeCell="E27" sqref="E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5" width="15.8515625" style="15" customWidth="1"/>
    <col min="6" max="7" width="15.8515625" style="15" hidden="1" customWidth="1"/>
    <col min="8" max="8" width="40.8515625" style="15" customWidth="1"/>
    <col min="9" max="12" width="15.8515625" style="15" customWidth="1"/>
    <col min="13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19" t="s">
        <v>21</v>
      </c>
      <c r="K1" s="1319"/>
      <c r="L1" s="1319"/>
      <c r="M1" s="1319"/>
    </row>
    <row r="2" spans="8:11" ht="12.75">
      <c r="H2" s="1319"/>
      <c r="I2" s="1319"/>
      <c r="J2" s="1319"/>
      <c r="K2" s="1319"/>
    </row>
    <row r="3" spans="1:9" ht="19.5">
      <c r="A3" s="1316" t="s">
        <v>15</v>
      </c>
      <c r="B3" s="1316"/>
      <c r="C3" s="1316"/>
      <c r="D3" s="1316"/>
      <c r="E3" s="1316"/>
      <c r="F3" s="1316"/>
      <c r="G3" s="1316"/>
      <c r="H3" s="1316"/>
      <c r="I3" s="1316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387</v>
      </c>
    </row>
    <row r="5" spans="1:9" ht="17.25" customHeight="1" thickBot="1">
      <c r="A5" s="1317" t="s">
        <v>165</v>
      </c>
      <c r="B5" s="1318"/>
      <c r="C5" s="1318"/>
      <c r="D5" s="1318"/>
      <c r="E5" s="1318"/>
      <c r="F5" s="1318"/>
      <c r="G5" s="1318"/>
      <c r="H5" s="1317"/>
      <c r="I5" s="1318"/>
    </row>
    <row r="6" spans="1:14" ht="33" customHeight="1" thickBot="1">
      <c r="A6" s="402" t="s">
        <v>6</v>
      </c>
      <c r="B6" s="522" t="s">
        <v>192</v>
      </c>
      <c r="C6" s="523" t="s">
        <v>189</v>
      </c>
      <c r="D6" s="523" t="s">
        <v>193</v>
      </c>
      <c r="E6" s="523" t="s">
        <v>195</v>
      </c>
      <c r="F6" s="523" t="s">
        <v>211</v>
      </c>
      <c r="G6" s="524" t="s">
        <v>244</v>
      </c>
      <c r="H6" s="453" t="s">
        <v>7</v>
      </c>
      <c r="I6" s="522" t="s">
        <v>192</v>
      </c>
      <c r="J6" s="523" t="s">
        <v>189</v>
      </c>
      <c r="K6" s="523" t="s">
        <v>193</v>
      </c>
      <c r="L6" s="523" t="s">
        <v>195</v>
      </c>
      <c r="M6" s="523" t="s">
        <v>211</v>
      </c>
      <c r="N6" s="524" t="s">
        <v>244</v>
      </c>
    </row>
    <row r="7" spans="1:14" ht="12.75">
      <c r="A7" s="403" t="s">
        <v>344</v>
      </c>
      <c r="B7" s="525">
        <f>'3.sz.m Önk  bev.'!E7</f>
        <v>1490156</v>
      </c>
      <c r="C7" s="525">
        <f>'3.sz.m Önk  bev.'!F7</f>
        <v>1221482</v>
      </c>
      <c r="D7" s="525">
        <f>'3.sz.m Önk  bev.'!G7</f>
        <v>1241600</v>
      </c>
      <c r="E7" s="525">
        <f>'3.sz.m Önk  bev.'!H7</f>
        <v>1307937</v>
      </c>
      <c r="F7" s="526"/>
      <c r="G7" s="526"/>
      <c r="H7" s="509" t="s">
        <v>138</v>
      </c>
      <c r="I7" s="550">
        <f>'4.sz.m.ÖNK kiadás'!E7+'üres lap2'!D31+'üres lap3'!D30+'üres lap'!D27</f>
        <v>7987165</v>
      </c>
      <c r="J7" s="550">
        <f>'4.sz.m.ÖNK kiadás'!F7+'üres lap2'!E31+'üres lap3'!E30+'üres lap'!E27</f>
        <v>7987165</v>
      </c>
      <c r="K7" s="550">
        <f>'4.sz.m.ÖNK kiadás'!G7+'üres lap2'!F31+'üres lap3'!F30+'üres lap'!F27</f>
        <v>7987165</v>
      </c>
      <c r="L7" s="550">
        <f>'4.sz.m.ÖNK kiadás'!H7+'üres lap2'!G31+'üres lap3'!G30+'üres lap'!G27</f>
        <v>8368715</v>
      </c>
      <c r="M7" s="551">
        <f>'4.sz.m.ÖNK kiadás'!I7+'üres lap2'!H31+'üres lap3'!H30+'üres lap'!H27</f>
        <v>0</v>
      </c>
      <c r="N7" s="551">
        <f>'4.sz.m.ÖNK kiadás'!J7+'üres lap2'!I31+'üres lap3'!I30+'üres lap'!I27</f>
        <v>0</v>
      </c>
    </row>
    <row r="8" spans="1:14" ht="12.75">
      <c r="A8" s="404" t="s">
        <v>345</v>
      </c>
      <c r="B8" s="527">
        <f>'3.sz.m Önk  bev.'!E21+'üres lap2'!D9+'üres lap3'!D9</f>
        <v>22806</v>
      </c>
      <c r="C8" s="527">
        <f>'3.sz.m Önk  bev.'!F21+'üres lap2'!E9+'üres lap3'!E9</f>
        <v>143025</v>
      </c>
      <c r="D8" s="527">
        <f>'3.sz.m Önk  bev.'!G21+'üres lap2'!F9+'üres lap3'!F9</f>
        <v>143025</v>
      </c>
      <c r="E8" s="527">
        <f>'3.sz.m Önk  bev.'!H21+'üres lap2'!G9+'üres lap3'!G9</f>
        <v>245460</v>
      </c>
      <c r="F8" s="528"/>
      <c r="G8" s="528"/>
      <c r="H8" s="510" t="s">
        <v>139</v>
      </c>
      <c r="I8" s="527">
        <f>'4.sz.m.ÖNK kiadás'!E8+'üres lap2'!D32+'üres lap3'!D31+'üres lap'!D28</f>
        <v>1390555</v>
      </c>
      <c r="J8" s="527">
        <f>'4.sz.m.ÖNK kiadás'!F8+'üres lap2'!E32+'üres lap3'!E31+'üres lap'!E28</f>
        <v>1390555</v>
      </c>
      <c r="K8" s="527">
        <f>'4.sz.m.ÖNK kiadás'!G8+'üres lap2'!F32+'üres lap3'!F31+'üres lap'!F28</f>
        <v>1390555</v>
      </c>
      <c r="L8" s="527">
        <f>'4.sz.m.ÖNK kiadás'!H8+'üres lap2'!G32+'üres lap3'!G31+'üres lap'!G28</f>
        <v>1424495</v>
      </c>
      <c r="M8" s="528">
        <f>'4.sz.m.ÖNK kiadás'!I8+'üres lap2'!H32+'üres lap3'!H31+'üres lap'!H28</f>
        <v>0</v>
      </c>
      <c r="N8" s="528">
        <f>'4.sz.m.ÖNK kiadás'!J8+'üres lap2'!I32+'üres lap3'!I31+'üres lap'!I28</f>
        <v>0</v>
      </c>
    </row>
    <row r="9" spans="1:14" ht="25.5">
      <c r="A9" s="404" t="s">
        <v>346</v>
      </c>
      <c r="B9" s="527">
        <f>'3.sz.m Önk  bev.'!E32+'üres lap2'!D11+'üres lap3'!D10</f>
        <v>24146553</v>
      </c>
      <c r="C9" s="527">
        <f>'3.sz.m Önk  bev.'!F32+'üres lap2'!E11+'üres lap3'!E10</f>
        <v>25203613</v>
      </c>
      <c r="D9" s="527">
        <f>'3.sz.m Önk  bev.'!G32+'üres lap2'!F11+'üres lap3'!F10</f>
        <v>25192560</v>
      </c>
      <c r="E9" s="527">
        <f>'3.sz.m Önk  bev.'!H32+'üres lap2'!G11+'üres lap3'!G10</f>
        <v>25602648</v>
      </c>
      <c r="F9" s="528"/>
      <c r="G9" s="528"/>
      <c r="H9" s="510" t="s">
        <v>140</v>
      </c>
      <c r="I9" s="527">
        <f>'4.sz.m.ÖNK kiadás'!E9+'üres lap2'!D33+'üres lap3'!D32+'üres lap'!D29</f>
        <v>12118456</v>
      </c>
      <c r="J9" s="527">
        <f>'4.sz.m.ÖNK kiadás'!F9+'üres lap2'!E33+'üres lap3'!E32+'üres lap'!E29</f>
        <v>12118456</v>
      </c>
      <c r="K9" s="527">
        <f>'4.sz.m.ÖNK kiadás'!G9+'üres lap2'!F33+'üres lap3'!F32+'üres lap'!F29</f>
        <v>12469443</v>
      </c>
      <c r="L9" s="527">
        <f>'4.sz.m.ÖNK kiadás'!H9+'üres lap2'!G33+'üres lap3'!G32+'üres lap'!G29</f>
        <v>15453214</v>
      </c>
      <c r="M9" s="528">
        <f>'4.sz.m.ÖNK kiadás'!I9+'üres lap2'!H33+'üres lap3'!H32+'üres lap'!H29</f>
        <v>0</v>
      </c>
      <c r="N9" s="528">
        <f>'4.sz.m.ÖNK kiadás'!J9+'üres lap2'!I33+'üres lap3'!I32+'üres lap'!I29</f>
        <v>0</v>
      </c>
    </row>
    <row r="10" spans="1:14" ht="12.75">
      <c r="A10" s="404" t="s">
        <v>347</v>
      </c>
      <c r="B10" s="527">
        <f>'3.sz.m Önk  bev.'!E49+'üres lap2'!D17+'üres lap3'!D16</f>
        <v>0</v>
      </c>
      <c r="C10" s="527">
        <f>'3.sz.m Önk  bev.'!F49+'üres lap2'!E17+'üres lap3'!E16</f>
        <v>0</v>
      </c>
      <c r="D10" s="527">
        <f>'3.sz.m Önk  bev.'!G49+'üres lap2'!F17+'üres lap3'!F16</f>
        <v>0</v>
      </c>
      <c r="E10" s="527">
        <f>'3.sz.m Önk  bev.'!H49+'üres lap2'!G17+'üres lap3'!G16</f>
        <v>0</v>
      </c>
      <c r="F10" s="528"/>
      <c r="G10" s="528"/>
      <c r="H10" s="510" t="s">
        <v>141</v>
      </c>
      <c r="I10" s="552">
        <f>'4.sz.m.ÖNK kiadás'!E10+'üres lap2'!D34+'üres lap3'!D33+'üres lap'!D30</f>
        <v>1334000</v>
      </c>
      <c r="J10" s="552">
        <f>'4.sz.m.ÖNK kiadás'!F10+'üres lap2'!E34+'üres lap3'!E33+'üres lap'!E30</f>
        <v>1334000</v>
      </c>
      <c r="K10" s="552">
        <f>'4.sz.m.ÖNK kiadás'!G10+'üres lap2'!F34+'üres lap3'!F33+'üres lap'!F30</f>
        <v>1411623</v>
      </c>
      <c r="L10" s="552">
        <f>'4.sz.m.ÖNK kiadás'!H10+'üres lap2'!G34+'üres lap3'!G33+'üres lap'!G30</f>
        <v>1303685</v>
      </c>
      <c r="M10" s="553">
        <f>'4.sz.m.ÖNK kiadás'!I10+'üres lap2'!H34+'üres lap3'!H33+'üres lap'!H30</f>
        <v>0</v>
      </c>
      <c r="N10" s="553">
        <f>'4.sz.m.ÖNK kiadás'!J10+'üres lap2'!I34+'üres lap3'!I33+'üres lap'!I30</f>
        <v>0</v>
      </c>
    </row>
    <row r="11" spans="1:14" ht="12.75">
      <c r="A11" s="404"/>
      <c r="B11" s="527"/>
      <c r="C11" s="527"/>
      <c r="D11" s="527"/>
      <c r="E11" s="527"/>
      <c r="F11" s="528"/>
      <c r="G11" s="528"/>
      <c r="H11" s="511" t="s">
        <v>142</v>
      </c>
      <c r="I11" s="527">
        <f>'4.sz.m.ÖNK kiadás'!E11+'üres lap2'!D35+'üres lap3'!D34+'üres lap'!D31</f>
        <v>872974</v>
      </c>
      <c r="J11" s="527">
        <f>'4.sz.m.ÖNK kiadás'!F11+'üres lap2'!E35+'üres lap3'!E34+'üres lap'!E31</f>
        <v>872974</v>
      </c>
      <c r="K11" s="527">
        <f>'4.sz.m.ÖNK kiadás'!G11+'üres lap2'!F35+'üres lap3'!F34+'üres lap'!F31</f>
        <v>800351</v>
      </c>
      <c r="L11" s="527">
        <f>'4.sz.m.ÖNK kiadás'!H11+'üres lap2'!G35+'üres lap3'!G34+'üres lap'!G31</f>
        <v>511531</v>
      </c>
      <c r="M11" s="528">
        <f>'4.sz.m.ÖNK kiadás'!I11+'üres lap2'!H35+'üres lap3'!H34+'üres lap'!H31</f>
        <v>0</v>
      </c>
      <c r="N11" s="528">
        <f>'4.sz.m.ÖNK kiadás'!J11+'üres lap2'!I35+'üres lap3'!I34+'üres lap'!I31</f>
        <v>0</v>
      </c>
    </row>
    <row r="12" spans="1:14" ht="12.75">
      <c r="A12" s="404"/>
      <c r="B12" s="527"/>
      <c r="C12" s="527"/>
      <c r="D12" s="527"/>
      <c r="E12" s="527"/>
      <c r="F12" s="528"/>
      <c r="G12" s="528"/>
      <c r="H12" s="510" t="s">
        <v>143</v>
      </c>
      <c r="I12" s="552">
        <f>'4.sz.m.ÖNK kiadás'!E25</f>
        <v>3791378</v>
      </c>
      <c r="J12" s="552">
        <f>'4.sz.m.ÖNK kiadás'!F25</f>
        <v>4684220</v>
      </c>
      <c r="K12" s="552">
        <f>'4.sz.m.ÖNK kiadás'!G25</f>
        <v>1953866</v>
      </c>
      <c r="L12" s="552">
        <f>'4.sz.m.ÖNK kiadás'!H25</f>
        <v>0</v>
      </c>
      <c r="M12" s="553">
        <f>'4.sz.m.ÖNK kiadás'!I25+'üres lap'!H37</f>
        <v>0</v>
      </c>
      <c r="N12" s="553">
        <f>'4.sz.m.ÖNK kiadás'!J25+'üres lap'!I37</f>
        <v>0</v>
      </c>
    </row>
    <row r="13" spans="1:14" ht="12.75" hidden="1">
      <c r="A13" s="405"/>
      <c r="B13" s="529"/>
      <c r="C13" s="529"/>
      <c r="D13" s="529"/>
      <c r="E13" s="529"/>
      <c r="F13" s="530"/>
      <c r="G13" s="530"/>
      <c r="H13" s="512"/>
      <c r="I13" s="529"/>
      <c r="J13" s="529"/>
      <c r="K13" s="529"/>
      <c r="L13" s="529"/>
      <c r="M13" s="530"/>
      <c r="N13" s="530"/>
    </row>
    <row r="14" spans="1:14" ht="16.5" customHeight="1" hidden="1" thickBot="1">
      <c r="A14" s="406"/>
      <c r="B14" s="531"/>
      <c r="C14" s="531"/>
      <c r="D14" s="531"/>
      <c r="E14" s="531"/>
      <c r="F14" s="532"/>
      <c r="G14" s="532"/>
      <c r="H14" s="513"/>
      <c r="I14" s="531"/>
      <c r="J14" s="531"/>
      <c r="K14" s="531"/>
      <c r="L14" s="531"/>
      <c r="M14" s="532"/>
      <c r="N14" s="532"/>
    </row>
    <row r="15" spans="1:15" ht="24" customHeight="1" thickBot="1">
      <c r="A15" s="407" t="s">
        <v>145</v>
      </c>
      <c r="B15" s="533">
        <f>SUM(B7:B10)</f>
        <v>25659515</v>
      </c>
      <c r="C15" s="533">
        <f>SUM(C7:C10)</f>
        <v>26568120</v>
      </c>
      <c r="D15" s="533">
        <f>SUM(D7:D10)</f>
        <v>26577185</v>
      </c>
      <c r="E15" s="533">
        <f>SUM(E7:E10)</f>
        <v>27156045</v>
      </c>
      <c r="F15" s="534">
        <f>F7+F10+F11+F12+F14</f>
        <v>0</v>
      </c>
      <c r="G15" s="534">
        <f>G7+G10+G11+G12+G14</f>
        <v>0</v>
      </c>
      <c r="H15" s="900" t="s">
        <v>146</v>
      </c>
      <c r="I15" s="533">
        <f aca="true" t="shared" si="0" ref="I15:N15">SUM(I7:I14)</f>
        <v>27494528</v>
      </c>
      <c r="J15" s="533">
        <f>SUM(J7:J14)</f>
        <v>28387370</v>
      </c>
      <c r="K15" s="533">
        <f>SUM(K7:K14)</f>
        <v>26013003</v>
      </c>
      <c r="L15" s="533">
        <f>SUM(L7:L14)</f>
        <v>27061640</v>
      </c>
      <c r="M15" s="534">
        <f t="shared" si="0"/>
        <v>0</v>
      </c>
      <c r="N15" s="534">
        <f t="shared" si="0"/>
        <v>0</v>
      </c>
      <c r="O15" s="36"/>
    </row>
    <row r="16" spans="1:14" ht="18.75" customHeight="1">
      <c r="A16" s="408" t="s">
        <v>393</v>
      </c>
      <c r="B16" s="931">
        <f>'3.sz.m Önk  bev.'!E58-B27</f>
        <v>2192893</v>
      </c>
      <c r="C16" s="931">
        <f>'3.sz.m Önk  bev.'!F58-C27</f>
        <v>2192893</v>
      </c>
      <c r="D16" s="931">
        <f>'3.sz.m Önk  bev.'!G58-D27</f>
        <v>2192893</v>
      </c>
      <c r="E16" s="931">
        <f>'3.sz.m Önk  bev.'!H58-E27</f>
        <v>2193149</v>
      </c>
      <c r="F16" s="931">
        <f>'3.sz.m Önk  bev.'!I58-480000</f>
        <v>-480000</v>
      </c>
      <c r="G16" s="931">
        <f>'3.sz.m Önk  bev.'!J58-480000</f>
        <v>-480000</v>
      </c>
      <c r="H16" s="509" t="s">
        <v>130</v>
      </c>
      <c r="I16" s="525">
        <v>0</v>
      </c>
      <c r="J16" s="525">
        <v>0</v>
      </c>
      <c r="K16" s="525">
        <v>0</v>
      </c>
      <c r="L16" s="525">
        <v>0</v>
      </c>
      <c r="M16" s="526">
        <v>0</v>
      </c>
      <c r="N16" s="526">
        <v>0</v>
      </c>
    </row>
    <row r="17" spans="1:14" ht="15" customHeight="1" thickBot="1">
      <c r="A17" s="409" t="s">
        <v>424</v>
      </c>
      <c r="B17" s="535"/>
      <c r="C17" s="535"/>
      <c r="D17" s="535"/>
      <c r="E17" s="535">
        <f>+'3.sz.m Önk  bev.'!H57</f>
        <v>659048</v>
      </c>
      <c r="F17" s="536"/>
      <c r="G17" s="536"/>
      <c r="H17" s="512" t="s">
        <v>388</v>
      </c>
      <c r="I17" s="529">
        <f>'4.sz.m.ÖNK kiadás'!E34</f>
        <v>650615</v>
      </c>
      <c r="J17" s="529">
        <f>'4.sz.m.ÖNK kiadás'!F34</f>
        <v>650615</v>
      </c>
      <c r="K17" s="529">
        <f>'4.sz.m.ÖNK kiadás'!G34</f>
        <v>650615</v>
      </c>
      <c r="L17" s="529">
        <f>'4.sz.m.ÖNK kiadás'!H34</f>
        <v>650615</v>
      </c>
      <c r="M17" s="530"/>
      <c r="N17" s="530"/>
    </row>
    <row r="18" spans="1:14" ht="25.5" customHeight="1" thickBot="1">
      <c r="A18" s="410" t="s">
        <v>150</v>
      </c>
      <c r="B18" s="537">
        <f aca="true" t="shared" si="1" ref="B18:G18">SUM(B16:B17)</f>
        <v>2192893</v>
      </c>
      <c r="C18" s="537">
        <f>SUM(C16:C17)</f>
        <v>2192893</v>
      </c>
      <c r="D18" s="537">
        <f>SUM(D16:D17)</f>
        <v>2192893</v>
      </c>
      <c r="E18" s="537">
        <f>SUM(E16:E17)</f>
        <v>2852197</v>
      </c>
      <c r="F18" s="538">
        <f t="shared" si="1"/>
        <v>-480000</v>
      </c>
      <c r="G18" s="538">
        <f t="shared" si="1"/>
        <v>-480000</v>
      </c>
      <c r="H18" s="514" t="s">
        <v>157</v>
      </c>
      <c r="I18" s="537">
        <f aca="true" t="shared" si="2" ref="I18:N18">SUM(I16:I17)</f>
        <v>650615</v>
      </c>
      <c r="J18" s="537">
        <f>SUM(J16:J17)</f>
        <v>650615</v>
      </c>
      <c r="K18" s="537">
        <f>SUM(K16:K17)</f>
        <v>650615</v>
      </c>
      <c r="L18" s="537">
        <f>SUM(L16:L17)</f>
        <v>650615</v>
      </c>
      <c r="M18" s="538">
        <f t="shared" si="2"/>
        <v>0</v>
      </c>
      <c r="N18" s="538">
        <f t="shared" si="2"/>
        <v>0</v>
      </c>
    </row>
    <row r="19" spans="1:14" ht="22.5" customHeight="1" thickBot="1">
      <c r="A19" s="411" t="s">
        <v>129</v>
      </c>
      <c r="B19" s="539">
        <f aca="true" t="shared" si="3" ref="B19:G19">B15+B18</f>
        <v>27852408</v>
      </c>
      <c r="C19" s="539">
        <f>C15+C18</f>
        <v>28761013</v>
      </c>
      <c r="D19" s="539">
        <f>D15+D18</f>
        <v>28770078</v>
      </c>
      <c r="E19" s="539">
        <f>E15+E18</f>
        <v>30008242</v>
      </c>
      <c r="F19" s="540">
        <f t="shared" si="3"/>
        <v>-480000</v>
      </c>
      <c r="G19" s="540">
        <f t="shared" si="3"/>
        <v>-480000</v>
      </c>
      <c r="H19" s="515" t="s">
        <v>131</v>
      </c>
      <c r="I19" s="539">
        <f aca="true" t="shared" si="4" ref="I19:N19">I15+I18</f>
        <v>28145143</v>
      </c>
      <c r="J19" s="539">
        <f>J15+J18</f>
        <v>29037985</v>
      </c>
      <c r="K19" s="539">
        <f>K15+K18</f>
        <v>26663618</v>
      </c>
      <c r="L19" s="539">
        <f>L15+L18</f>
        <v>27712255</v>
      </c>
      <c r="M19" s="540">
        <f t="shared" si="4"/>
        <v>0</v>
      </c>
      <c r="N19" s="540">
        <f t="shared" si="4"/>
        <v>0</v>
      </c>
    </row>
    <row r="20" spans="1:11" ht="22.5" customHeight="1" thickBot="1">
      <c r="A20" s="1317" t="s">
        <v>166</v>
      </c>
      <c r="B20" s="1318"/>
      <c r="C20" s="1318"/>
      <c r="D20" s="1318"/>
      <c r="E20" s="1318"/>
      <c r="F20" s="1318"/>
      <c r="G20" s="1318"/>
      <c r="H20" s="1317"/>
      <c r="I20" s="1318"/>
      <c r="J20" s="36"/>
      <c r="K20" s="36"/>
    </row>
    <row r="21" spans="1:14" ht="12.75">
      <c r="A21" s="403" t="s">
        <v>132</v>
      </c>
      <c r="B21" s="541">
        <f>'3.sz.m Önk  bev.'!E42+'üres lap2'!D14+'üres lap3'!D13+'3.sz.m Önk  bev.'!E41</f>
        <v>2980000</v>
      </c>
      <c r="C21" s="541">
        <f>'3.sz.m Önk  bev.'!F42+'üres lap2'!E14+'üres lap3'!E13</f>
        <v>2980000</v>
      </c>
      <c r="D21" s="541">
        <f>'3.sz.m Önk  bev.'!G42+'üres lap2'!F14+'üres lap3'!F13</f>
        <v>3743376</v>
      </c>
      <c r="E21" s="541">
        <f>'3.sz.m Önk  bev.'!H42+'üres lap2'!G14+'üres lap3'!G13</f>
        <v>23709598</v>
      </c>
      <c r="F21" s="542"/>
      <c r="G21" s="542"/>
      <c r="H21" s="516" t="s">
        <v>135</v>
      </c>
      <c r="I21" s="550">
        <f>'4.sz.m.ÖNK kiadás'!E18+'üres lap2'!D37+'üres lap3'!D36</f>
        <v>6295345</v>
      </c>
      <c r="J21" s="551">
        <f>'4.sz.m.ÖNK kiadás'!F18+'üres lap2'!E37</f>
        <v>6295345</v>
      </c>
      <c r="K21" s="551">
        <f>'4.sz.m.ÖNK kiadás'!G18+'üres lap2'!F37</f>
        <v>7495152</v>
      </c>
      <c r="L21" s="551">
        <f>'4.sz.m.ÖNK kiadás'!H18+'üres lap2'!G37</f>
        <v>22650901</v>
      </c>
      <c r="M21" s="551">
        <f>'4.sz.m.ÖNK kiadás'!I18+'üres lap2'!H37</f>
        <v>0</v>
      </c>
      <c r="N21" s="551">
        <f>'4.sz.m.ÖNK kiadás'!J18+'üres lap2'!I37</f>
        <v>0</v>
      </c>
    </row>
    <row r="22" spans="1:14" ht="12.75">
      <c r="A22" s="404" t="s">
        <v>133</v>
      </c>
      <c r="B22" s="527">
        <f>'3.sz.m Önk  bev.'!E50+'üres lap2'!D18+'üres lap3'!D17</f>
        <v>0</v>
      </c>
      <c r="C22" s="527">
        <f>'3.sz.m Önk  bev.'!F50+'üres lap2'!E18+'üres lap3'!E17</f>
        <v>0</v>
      </c>
      <c r="D22" s="527">
        <f>'3.sz.m Önk  bev.'!G50+'üres lap2'!F18+'üres lap3'!F17</f>
        <v>0</v>
      </c>
      <c r="E22" s="527">
        <f>'3.sz.m Önk  bev.'!H50+'üres lap2'!G18+'üres lap3'!G17</f>
        <v>0</v>
      </c>
      <c r="F22" s="528"/>
      <c r="G22" s="528"/>
      <c r="H22" s="510" t="s">
        <v>136</v>
      </c>
      <c r="I22" s="527">
        <f>'4.sz.m.ÖNK kiadás'!E19</f>
        <v>32187291</v>
      </c>
      <c r="J22" s="528">
        <f>'4.sz.m.ÖNK kiadás'!F19</f>
        <v>32203054</v>
      </c>
      <c r="K22" s="528">
        <f>'4.sz.m.ÖNK kiadás'!G19</f>
        <v>32350055</v>
      </c>
      <c r="L22" s="528">
        <f>'4.sz.m.ÖNK kiadás'!H19</f>
        <v>37350055</v>
      </c>
      <c r="M22" s="528">
        <f>'4.sz.m.ÖNK kiadás'!I19</f>
        <v>0</v>
      </c>
      <c r="N22" s="528">
        <f>'4.sz.m.ÖNK kiadás'!J19</f>
        <v>0</v>
      </c>
    </row>
    <row r="23" spans="1:14" ht="12.75">
      <c r="A23" s="404" t="s">
        <v>134</v>
      </c>
      <c r="B23" s="527">
        <f>'3.sz.m Önk  bev.'!E51</f>
        <v>0</v>
      </c>
      <c r="C23" s="527">
        <f>'3.sz.m Önk  bev.'!F51</f>
        <v>0</v>
      </c>
      <c r="D23" s="527">
        <f>'3.sz.m Önk  bev.'!G51</f>
        <v>0</v>
      </c>
      <c r="E23" s="527">
        <f>'3.sz.m Önk  bev.'!H51</f>
        <v>0</v>
      </c>
      <c r="F23" s="528"/>
      <c r="G23" s="528"/>
      <c r="H23" s="510" t="s">
        <v>137</v>
      </c>
      <c r="I23" s="527">
        <f>'4.sz.m.ÖNK kiadás'!E20</f>
        <v>500000</v>
      </c>
      <c r="J23" s="528">
        <f>'4.sz.m.ÖNK kiadás'!F20</f>
        <v>500000</v>
      </c>
      <c r="K23" s="528">
        <f>'4.sz.m.ÖNK kiadás'!G20</f>
        <v>600000</v>
      </c>
      <c r="L23" s="528">
        <f>'4.sz.m.ÖNK kiadás'!H20</f>
        <v>600000</v>
      </c>
      <c r="M23" s="528">
        <f>'4.sz.m.ÖNK kiadás'!I20</f>
        <v>0</v>
      </c>
      <c r="N23" s="528">
        <f>'4.sz.m.ÖNK kiadás'!J20</f>
        <v>0</v>
      </c>
    </row>
    <row r="24" spans="1:14" ht="13.5" thickBot="1">
      <c r="A24" s="404"/>
      <c r="B24" s="527"/>
      <c r="C24" s="527"/>
      <c r="D24" s="527"/>
      <c r="E24" s="527"/>
      <c r="F24" s="528"/>
      <c r="G24" s="528"/>
      <c r="H24" s="510" t="s">
        <v>144</v>
      </c>
      <c r="I24" s="527"/>
      <c r="J24" s="528"/>
      <c r="K24" s="528"/>
      <c r="L24" s="528"/>
      <c r="M24" s="528"/>
      <c r="N24" s="528"/>
    </row>
    <row r="25" spans="1:14" ht="13.5" hidden="1" thickBot="1">
      <c r="A25" s="413"/>
      <c r="B25" s="529"/>
      <c r="C25" s="529"/>
      <c r="D25" s="529"/>
      <c r="E25" s="529"/>
      <c r="F25" s="530"/>
      <c r="G25" s="530"/>
      <c r="H25" s="512"/>
      <c r="I25" s="529"/>
      <c r="J25" s="530"/>
      <c r="K25" s="530"/>
      <c r="L25" s="530"/>
      <c r="M25" s="530"/>
      <c r="N25" s="530"/>
    </row>
    <row r="26" spans="1:14" ht="13.5" thickBot="1">
      <c r="A26" s="414" t="s">
        <v>148</v>
      </c>
      <c r="B26" s="539">
        <f aca="true" t="shared" si="5" ref="B26:G26">SUM(B21:B24)</f>
        <v>2980000</v>
      </c>
      <c r="C26" s="539">
        <f>SUM(C21:C24)</f>
        <v>2980000</v>
      </c>
      <c r="D26" s="539">
        <f>SUM(D21:D24)</f>
        <v>3743376</v>
      </c>
      <c r="E26" s="539">
        <f>SUM(E21:E24)</f>
        <v>23709598</v>
      </c>
      <c r="F26" s="540">
        <f t="shared" si="5"/>
        <v>0</v>
      </c>
      <c r="G26" s="540">
        <f t="shared" si="5"/>
        <v>0</v>
      </c>
      <c r="H26" s="517" t="s">
        <v>147</v>
      </c>
      <c r="I26" s="554">
        <f aca="true" t="shared" si="6" ref="I26:N26">SUM(I21:I25)</f>
        <v>38982636</v>
      </c>
      <c r="J26" s="555">
        <f t="shared" si="6"/>
        <v>38998399</v>
      </c>
      <c r="K26" s="555">
        <f>SUM(K21:K25)</f>
        <v>40445207</v>
      </c>
      <c r="L26" s="555">
        <f>SUM(L21:L25)</f>
        <v>60600956</v>
      </c>
      <c r="M26" s="555">
        <f t="shared" si="6"/>
        <v>0</v>
      </c>
      <c r="N26" s="555">
        <f t="shared" si="6"/>
        <v>0</v>
      </c>
    </row>
    <row r="27" spans="1:14" ht="15" customHeight="1">
      <c r="A27" s="408" t="s">
        <v>393</v>
      </c>
      <c r="B27" s="931">
        <f>29998314+4597057</f>
        <v>34595371</v>
      </c>
      <c r="C27" s="931">
        <f>29998314+4597057</f>
        <v>34595371</v>
      </c>
      <c r="D27" s="931">
        <f>29998314+4597057</f>
        <v>34595371</v>
      </c>
      <c r="E27" s="931">
        <f>29998314+4597057</f>
        <v>34595371</v>
      </c>
      <c r="F27" s="543"/>
      <c r="G27" s="543"/>
      <c r="H27" s="518" t="s">
        <v>149</v>
      </c>
      <c r="I27" s="525"/>
      <c r="J27" s="526"/>
      <c r="K27" s="526"/>
      <c r="L27" s="526"/>
      <c r="M27" s="526"/>
      <c r="N27" s="526"/>
    </row>
    <row r="28" spans="1:14" ht="13.5" thickBot="1">
      <c r="A28" s="409" t="s">
        <v>128</v>
      </c>
      <c r="B28" s="544">
        <f>'3.sz.m Önk  bev.'!E56</f>
        <v>1700000</v>
      </c>
      <c r="C28" s="544">
        <f>'3.sz.m Önk  bev.'!F56</f>
        <v>1700000</v>
      </c>
      <c r="D28" s="544">
        <f>'3.sz.m Önk  bev.'!G56</f>
        <v>0</v>
      </c>
      <c r="E28" s="544">
        <f>'3.sz.m Önk  bev.'!H56</f>
        <v>0</v>
      </c>
      <c r="F28" s="545"/>
      <c r="G28" s="545"/>
      <c r="H28" s="519"/>
      <c r="I28" s="529"/>
      <c r="J28" s="530"/>
      <c r="K28" s="530"/>
      <c r="L28" s="530"/>
      <c r="M28" s="530"/>
      <c r="N28" s="530"/>
    </row>
    <row r="29" spans="1:14" ht="25.5" customHeight="1" thickBot="1">
      <c r="A29" s="415" t="s">
        <v>151</v>
      </c>
      <c r="B29" s="537">
        <f aca="true" t="shared" si="7" ref="B29:G29">SUM(B27:B28)</f>
        <v>36295371</v>
      </c>
      <c r="C29" s="537">
        <f>SUM(C27:C28)</f>
        <v>36295371</v>
      </c>
      <c r="D29" s="537">
        <f>SUM(D27:D28)</f>
        <v>34595371</v>
      </c>
      <c r="E29" s="537">
        <f>SUM(E27:E28)</f>
        <v>34595371</v>
      </c>
      <c r="F29" s="538">
        <f t="shared" si="7"/>
        <v>0</v>
      </c>
      <c r="G29" s="538">
        <f t="shared" si="7"/>
        <v>0</v>
      </c>
      <c r="H29" s="517" t="s">
        <v>152</v>
      </c>
      <c r="I29" s="539">
        <f aca="true" t="shared" si="8" ref="I29:N29">SUM(I27:I28)</f>
        <v>0</v>
      </c>
      <c r="J29" s="540">
        <f t="shared" si="8"/>
        <v>0</v>
      </c>
      <c r="K29" s="540">
        <f>SUM(K27:K28)</f>
        <v>0</v>
      </c>
      <c r="L29" s="540">
        <f>SUM(L27:L28)</f>
        <v>0</v>
      </c>
      <c r="M29" s="540">
        <f t="shared" si="8"/>
        <v>0</v>
      </c>
      <c r="N29" s="540">
        <f t="shared" si="8"/>
        <v>0</v>
      </c>
    </row>
    <row r="30" spans="1:14" ht="26.25" customHeight="1" thickBot="1">
      <c r="A30" s="412" t="s">
        <v>153</v>
      </c>
      <c r="B30" s="539">
        <f aca="true" t="shared" si="9" ref="B30:G30">B26+B29</f>
        <v>39275371</v>
      </c>
      <c r="C30" s="539">
        <f>C26+C29</f>
        <v>39275371</v>
      </c>
      <c r="D30" s="539">
        <f>D26+D29</f>
        <v>38338747</v>
      </c>
      <c r="E30" s="539">
        <f>E26+E29</f>
        <v>58304969</v>
      </c>
      <c r="F30" s="540">
        <f t="shared" si="9"/>
        <v>0</v>
      </c>
      <c r="G30" s="540">
        <f t="shared" si="9"/>
        <v>0</v>
      </c>
      <c r="H30" s="520" t="s">
        <v>154</v>
      </c>
      <c r="I30" s="539">
        <f aca="true" t="shared" si="10" ref="I30:N30">I29+I26</f>
        <v>38982636</v>
      </c>
      <c r="J30" s="540">
        <f t="shared" si="10"/>
        <v>38998399</v>
      </c>
      <c r="K30" s="540">
        <f>K29+K26</f>
        <v>40445207</v>
      </c>
      <c r="L30" s="540">
        <f>L29+L26</f>
        <v>60600956</v>
      </c>
      <c r="M30" s="540">
        <f t="shared" si="10"/>
        <v>0</v>
      </c>
      <c r="N30" s="540">
        <f t="shared" si="10"/>
        <v>0</v>
      </c>
    </row>
    <row r="31" spans="1:14" ht="26.25" customHeight="1" hidden="1" thickBot="1">
      <c r="A31" s="412" t="s">
        <v>204</v>
      </c>
      <c r="B31" s="546"/>
      <c r="C31" s="546"/>
      <c r="D31" s="546"/>
      <c r="E31" s="546"/>
      <c r="F31" s="547"/>
      <c r="G31" s="547"/>
      <c r="H31" s="520" t="s">
        <v>203</v>
      </c>
      <c r="I31" s="539"/>
      <c r="J31" s="540"/>
      <c r="K31" s="540"/>
      <c r="L31" s="540"/>
      <c r="M31" s="540"/>
      <c r="N31" s="540"/>
    </row>
    <row r="32" spans="1:14" ht="29.25" customHeight="1" thickBot="1">
      <c r="A32" s="416" t="s">
        <v>155</v>
      </c>
      <c r="B32" s="548">
        <f>B19+B30</f>
        <v>67127779</v>
      </c>
      <c r="C32" s="548">
        <f>C19+C30</f>
        <v>68036384</v>
      </c>
      <c r="D32" s="548">
        <f>D19+D30</f>
        <v>67108825</v>
      </c>
      <c r="E32" s="548">
        <f>E19+E30</f>
        <v>88313211</v>
      </c>
      <c r="F32" s="549">
        <f>F19+F30+F31</f>
        <v>-480000</v>
      </c>
      <c r="G32" s="549">
        <f>G19+G30+G31</f>
        <v>-480000</v>
      </c>
      <c r="H32" s="521" t="s">
        <v>156</v>
      </c>
      <c r="I32" s="556">
        <f>I30+I19</f>
        <v>67127779</v>
      </c>
      <c r="J32" s="557">
        <f>J30+J19</f>
        <v>68036384</v>
      </c>
      <c r="K32" s="557">
        <f>K30+K19</f>
        <v>67108825</v>
      </c>
      <c r="L32" s="557">
        <f>L30+L19</f>
        <v>88313211</v>
      </c>
      <c r="M32" s="557">
        <f>M30+M19+M31</f>
        <v>0</v>
      </c>
      <c r="N32" s="557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F51">
      <selection activeCell="Q65" sqref="Q65"/>
    </sheetView>
  </sheetViews>
  <sheetFormatPr defaultColWidth="9.140625" defaultRowHeight="12.75"/>
  <cols>
    <col min="1" max="2" width="5.7109375" style="129" customWidth="1"/>
    <col min="3" max="3" width="8.8515625" style="129" customWidth="1"/>
    <col min="4" max="4" width="56.00390625" style="23" bestFit="1" customWidth="1"/>
    <col min="5" max="5" width="17.28125" style="388" bestFit="1" customWidth="1"/>
    <col min="6" max="6" width="14.57421875" style="388" customWidth="1"/>
    <col min="7" max="8" width="14.421875" style="388" customWidth="1"/>
    <col min="9" max="10" width="14.421875" style="388" hidden="1" customWidth="1"/>
    <col min="11" max="14" width="14.421875" style="389" customWidth="1"/>
    <col min="15" max="16" width="14.421875" style="389" hidden="1" customWidth="1"/>
    <col min="17" max="17" width="14.421875" style="390" customWidth="1"/>
    <col min="18" max="20" width="14.421875" style="389" customWidth="1"/>
    <col min="21" max="22" width="14.421875" style="390" hidden="1" customWidth="1"/>
    <col min="23" max="23" width="14.421875" style="390" customWidth="1"/>
    <col min="24" max="16384" width="9.140625" style="390" customWidth="1"/>
  </cols>
  <sheetData>
    <row r="1" spans="1:19" ht="12.75">
      <c r="A1" s="126"/>
      <c r="B1" s="126"/>
      <c r="C1" s="126"/>
      <c r="D1" s="127"/>
      <c r="M1" s="1249" t="s">
        <v>53</v>
      </c>
      <c r="N1" s="1249"/>
      <c r="O1" s="1249"/>
      <c r="P1" s="1249"/>
      <c r="Q1" s="1249"/>
      <c r="R1" s="1249"/>
      <c r="S1" s="1249"/>
    </row>
    <row r="2" spans="1:20" s="392" customFormat="1" ht="34.5" customHeight="1">
      <c r="A2" s="1254" t="s">
        <v>492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  <c r="R2" s="285"/>
      <c r="S2" s="391"/>
      <c r="T2" s="391"/>
    </row>
    <row r="3" spans="1:17" ht="13.5" thickBot="1">
      <c r="A3" s="128"/>
      <c r="B3" s="128"/>
      <c r="C3" s="128"/>
      <c r="D3" s="124"/>
      <c r="K3" s="100"/>
      <c r="L3" s="100"/>
      <c r="M3" s="100"/>
      <c r="N3" s="100"/>
      <c r="O3" s="100"/>
      <c r="P3" s="100"/>
      <c r="Q3" s="58" t="s">
        <v>387</v>
      </c>
    </row>
    <row r="4" spans="1:22" ht="45.75" customHeight="1" thickBot="1">
      <c r="A4" s="1255" t="s">
        <v>5</v>
      </c>
      <c r="B4" s="1256"/>
      <c r="C4" s="1256"/>
      <c r="D4" s="400" t="s">
        <v>8</v>
      </c>
      <c r="E4" s="1320" t="s">
        <v>4</v>
      </c>
      <c r="F4" s="1321"/>
      <c r="G4" s="1321"/>
      <c r="H4" s="1321"/>
      <c r="I4" s="1321"/>
      <c r="J4" s="1322"/>
      <c r="K4" s="1320" t="s">
        <v>64</v>
      </c>
      <c r="L4" s="1321"/>
      <c r="M4" s="1321"/>
      <c r="N4" s="1321"/>
      <c r="O4" s="1321"/>
      <c r="P4" s="1322"/>
      <c r="Q4" s="1320" t="s">
        <v>65</v>
      </c>
      <c r="R4" s="1321"/>
      <c r="S4" s="1321"/>
      <c r="T4" s="1321"/>
      <c r="U4" s="1321"/>
      <c r="V4" s="1322"/>
    </row>
    <row r="5" spans="1:22" ht="45.75" customHeight="1" thickBot="1">
      <c r="A5" s="358"/>
      <c r="B5" s="359"/>
      <c r="C5" s="359"/>
      <c r="D5" s="400"/>
      <c r="E5" s="434" t="s">
        <v>70</v>
      </c>
      <c r="F5" s="435" t="s">
        <v>188</v>
      </c>
      <c r="G5" s="436" t="s">
        <v>194</v>
      </c>
      <c r="H5" s="1002" t="s">
        <v>196</v>
      </c>
      <c r="I5" s="435" t="s">
        <v>212</v>
      </c>
      <c r="J5" s="436" t="s">
        <v>245</v>
      </c>
      <c r="K5" s="434" t="s">
        <v>70</v>
      </c>
      <c r="L5" s="435" t="s">
        <v>188</v>
      </c>
      <c r="M5" s="436" t="s">
        <v>194</v>
      </c>
      <c r="N5" s="1002" t="s">
        <v>196</v>
      </c>
      <c r="O5" s="435" t="s">
        <v>212</v>
      </c>
      <c r="P5" s="436" t="s">
        <v>245</v>
      </c>
      <c r="Q5" s="434" t="s">
        <v>70</v>
      </c>
      <c r="R5" s="435" t="s">
        <v>188</v>
      </c>
      <c r="S5" s="436" t="s">
        <v>194</v>
      </c>
      <c r="T5" s="1002" t="s">
        <v>196</v>
      </c>
      <c r="U5" s="435" t="s">
        <v>212</v>
      </c>
      <c r="V5" s="436" t="s">
        <v>245</v>
      </c>
    </row>
    <row r="6" spans="1:22" s="7" customFormat="1" ht="21.75" customHeight="1" thickBot="1">
      <c r="A6" s="139"/>
      <c r="B6" s="1257"/>
      <c r="C6" s="1257"/>
      <c r="D6" s="1257"/>
      <c r="E6" s="437"/>
      <c r="F6" s="332"/>
      <c r="G6" s="1004"/>
      <c r="H6" s="1003"/>
      <c r="I6" s="332"/>
      <c r="J6" s="332"/>
      <c r="K6" s="437"/>
      <c r="L6" s="332"/>
      <c r="M6" s="332"/>
      <c r="N6" s="1003"/>
      <c r="O6" s="332"/>
      <c r="P6" s="332"/>
      <c r="Q6" s="437"/>
      <c r="R6" s="332"/>
      <c r="S6" s="1004"/>
      <c r="T6" s="1003"/>
      <c r="U6" s="332"/>
      <c r="V6" s="332"/>
    </row>
    <row r="7" spans="1:25" s="7" customFormat="1" ht="21.75" customHeight="1" thickBot="1">
      <c r="A7" s="139" t="s">
        <v>25</v>
      </c>
      <c r="B7" s="1257" t="s">
        <v>292</v>
      </c>
      <c r="C7" s="1257"/>
      <c r="D7" s="1257"/>
      <c r="E7" s="437">
        <f>E8+E13+E16+E17+E20</f>
        <v>1490156</v>
      </c>
      <c r="F7" s="437">
        <f>F8+F13+F16+F17+F20</f>
        <v>1221482</v>
      </c>
      <c r="G7" s="437">
        <f>G8+G13+G16+G17+G20</f>
        <v>1241600</v>
      </c>
      <c r="H7" s="437">
        <f>H8+H13+H16+H17+H20</f>
        <v>1307937</v>
      </c>
      <c r="I7" s="332">
        <f>I8+I13+I16</f>
        <v>0</v>
      </c>
      <c r="J7" s="332">
        <f>J8+J13+J16</f>
        <v>0</v>
      </c>
      <c r="K7" s="437">
        <f aca="true" t="shared" si="0" ref="K7:V7">K8+K13+K16+K17+K20</f>
        <v>797612</v>
      </c>
      <c r="L7" s="437">
        <f>L8+L13+L16+L17+L20</f>
        <v>528938</v>
      </c>
      <c r="M7" s="437">
        <f t="shared" si="0"/>
        <v>434066</v>
      </c>
      <c r="N7" s="437">
        <f>N8+N13+N16+N17+N20</f>
        <v>688122</v>
      </c>
      <c r="O7" s="437">
        <f t="shared" si="0"/>
        <v>6715177.076463758</v>
      </c>
      <c r="P7" s="437">
        <f t="shared" si="0"/>
        <v>5546004</v>
      </c>
      <c r="Q7" s="437">
        <f t="shared" si="0"/>
        <v>692544</v>
      </c>
      <c r="R7" s="437">
        <f t="shared" si="0"/>
        <v>692544</v>
      </c>
      <c r="S7" s="437">
        <f t="shared" si="0"/>
        <v>807534</v>
      </c>
      <c r="T7" s="437">
        <f>T8+T13+T16+T17+T20</f>
        <v>619815</v>
      </c>
      <c r="U7" s="437">
        <f t="shared" si="0"/>
        <v>-6715177.076463758</v>
      </c>
      <c r="V7" s="437">
        <f t="shared" si="0"/>
        <v>-5546004</v>
      </c>
      <c r="Y7" s="7" t="s">
        <v>209</v>
      </c>
    </row>
    <row r="8" spans="1:22" ht="21.75" customHeight="1">
      <c r="A8" s="889"/>
      <c r="B8" s="287" t="s">
        <v>34</v>
      </c>
      <c r="C8" s="1250" t="s">
        <v>293</v>
      </c>
      <c r="D8" s="1250"/>
      <c r="E8" s="566">
        <f aca="true" t="shared" si="1" ref="E8:J8">SUM(E9:E12)</f>
        <v>1084572</v>
      </c>
      <c r="F8" s="566">
        <f>SUM(F9:F12)</f>
        <v>1084572</v>
      </c>
      <c r="G8" s="566">
        <f>SUM(G9:G12)</f>
        <v>1084572</v>
      </c>
      <c r="H8" s="566">
        <f>SUM(H9:H12)</f>
        <v>1088770</v>
      </c>
      <c r="I8" s="567">
        <f t="shared" si="1"/>
        <v>0</v>
      </c>
      <c r="J8" s="567">
        <f t="shared" si="1"/>
        <v>0</v>
      </c>
      <c r="K8" s="566">
        <f>SUM(K9:K12)</f>
        <v>497612</v>
      </c>
      <c r="L8" s="566">
        <f>SUM(L9:L12)</f>
        <v>892029</v>
      </c>
      <c r="M8" s="566">
        <f aca="true" t="shared" si="2" ref="M8:V8">SUM(M9:M12)</f>
        <v>777038</v>
      </c>
      <c r="N8" s="566">
        <f>SUM(N9:N12)</f>
        <v>468955</v>
      </c>
      <c r="O8" s="566">
        <f t="shared" si="2"/>
        <v>7215181.076463758</v>
      </c>
      <c r="P8" s="566">
        <f t="shared" si="2"/>
        <v>6046009</v>
      </c>
      <c r="Q8" s="566">
        <f t="shared" si="2"/>
        <v>586960</v>
      </c>
      <c r="R8" s="566">
        <f t="shared" si="2"/>
        <v>192543</v>
      </c>
      <c r="S8" s="566">
        <f t="shared" si="2"/>
        <v>307534</v>
      </c>
      <c r="T8" s="566">
        <f>SUM(T9:T12)</f>
        <v>619815</v>
      </c>
      <c r="U8" s="566">
        <f t="shared" si="2"/>
        <v>-7215181.076463758</v>
      </c>
      <c r="V8" s="566">
        <f t="shared" si="2"/>
        <v>-6046009</v>
      </c>
    </row>
    <row r="9" spans="1:22" ht="21.75" customHeight="1">
      <c r="A9" s="136"/>
      <c r="B9" s="132"/>
      <c r="C9" s="132" t="s">
        <v>298</v>
      </c>
      <c r="D9" s="401" t="s">
        <v>294</v>
      </c>
      <c r="E9" s="439"/>
      <c r="F9" s="439"/>
      <c r="G9" s="439"/>
      <c r="H9" s="439"/>
      <c r="I9" s="334"/>
      <c r="J9" s="334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</row>
    <row r="10" spans="1:22" ht="21.75" customHeight="1">
      <c r="A10" s="136"/>
      <c r="B10" s="132"/>
      <c r="C10" s="132" t="s">
        <v>299</v>
      </c>
      <c r="D10" s="401" t="s">
        <v>279</v>
      </c>
      <c r="E10" s="439">
        <v>1084572</v>
      </c>
      <c r="F10" s="439">
        <v>1084572</v>
      </c>
      <c r="G10" s="439">
        <v>1084572</v>
      </c>
      <c r="H10" s="439">
        <v>1088770</v>
      </c>
      <c r="I10" s="334"/>
      <c r="J10" s="334"/>
      <c r="K10" s="439">
        <f>E10-Q10</f>
        <v>497612</v>
      </c>
      <c r="L10" s="439">
        <f>F10-R10</f>
        <v>892029</v>
      </c>
      <c r="M10" s="439">
        <f aca="true" t="shared" si="3" ref="M10:P11">G10-S10</f>
        <v>777038</v>
      </c>
      <c r="N10" s="439">
        <f t="shared" si="3"/>
        <v>468955</v>
      </c>
      <c r="O10" s="439">
        <f t="shared" si="3"/>
        <v>7215181.076463758</v>
      </c>
      <c r="P10" s="439">
        <f t="shared" si="3"/>
        <v>6046009</v>
      </c>
      <c r="Q10" s="439">
        <f>'4.sz.m.ÖNK kiadás'!Q36-Q38-Q20</f>
        <v>586960</v>
      </c>
      <c r="R10" s="439">
        <f>'4.sz.m.ÖNK kiadás'!R36-R38-R20</f>
        <v>192543</v>
      </c>
      <c r="S10" s="439">
        <f>'4.sz.m.ÖNK kiadás'!S36-S38-S20</f>
        <v>307534</v>
      </c>
      <c r="T10" s="439">
        <f>'4.sz.m.ÖNK kiadás'!T36-T38-T20</f>
        <v>619815</v>
      </c>
      <c r="U10" s="439">
        <f>'4.sz.m.ÖNK kiadás'!U36-U38-U20</f>
        <v>-7215181.076463758</v>
      </c>
      <c r="V10" s="439">
        <f>'4.sz.m.ÖNK kiadás'!V36-V38-V20</f>
        <v>-6046009</v>
      </c>
    </row>
    <row r="11" spans="1:22" ht="21.75" customHeight="1">
      <c r="A11" s="136"/>
      <c r="B11" s="132"/>
      <c r="C11" s="132" t="s">
        <v>300</v>
      </c>
      <c r="D11" s="401" t="s">
        <v>276</v>
      </c>
      <c r="E11" s="439"/>
      <c r="F11" s="439"/>
      <c r="G11" s="439"/>
      <c r="H11" s="439"/>
      <c r="I11" s="334"/>
      <c r="J11" s="334"/>
      <c r="K11" s="439">
        <f>E11-Q11</f>
        <v>0</v>
      </c>
      <c r="L11" s="439">
        <f>F11-R11</f>
        <v>0</v>
      </c>
      <c r="M11" s="439">
        <f t="shared" si="3"/>
        <v>0</v>
      </c>
      <c r="N11" s="439">
        <f t="shared" si="3"/>
        <v>0</v>
      </c>
      <c r="O11" s="439">
        <f t="shared" si="3"/>
        <v>0</v>
      </c>
      <c r="P11" s="439">
        <f t="shared" si="3"/>
        <v>0</v>
      </c>
      <c r="Q11" s="439"/>
      <c r="R11" s="439"/>
      <c r="S11" s="439"/>
      <c r="T11" s="439"/>
      <c r="U11" s="439"/>
      <c r="V11" s="439"/>
    </row>
    <row r="12" spans="1:32" ht="21.75" customHeight="1" hidden="1">
      <c r="A12" s="136"/>
      <c r="B12" s="132"/>
      <c r="C12" s="132"/>
      <c r="D12" s="401"/>
      <c r="E12" s="439"/>
      <c r="F12" s="439"/>
      <c r="G12" s="439"/>
      <c r="H12" s="439"/>
      <c r="I12" s="334"/>
      <c r="J12" s="334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AF12" s="390" t="s">
        <v>209</v>
      </c>
    </row>
    <row r="13" spans="1:22" ht="21.75" customHeight="1">
      <c r="A13" s="136"/>
      <c r="B13" s="132" t="s">
        <v>35</v>
      </c>
      <c r="C13" s="1253" t="s">
        <v>295</v>
      </c>
      <c r="D13" s="1253"/>
      <c r="E13" s="439">
        <f>SUM(E14:E15)</f>
        <v>0</v>
      </c>
      <c r="F13" s="439">
        <f>SUM(F14:F15)</f>
        <v>0</v>
      </c>
      <c r="G13" s="439">
        <f>SUM(G14:G15)</f>
        <v>0</v>
      </c>
      <c r="H13" s="439">
        <f>SUM(H14:H15)</f>
        <v>0</v>
      </c>
      <c r="I13" s="334"/>
      <c r="J13" s="334"/>
      <c r="K13" s="439">
        <f aca="true" t="shared" si="4" ref="K13:V13">SUM(K14:K15)</f>
        <v>0</v>
      </c>
      <c r="L13" s="439">
        <f>SUM(L14:L15)</f>
        <v>0</v>
      </c>
      <c r="M13" s="439">
        <f t="shared" si="4"/>
        <v>0</v>
      </c>
      <c r="N13" s="439">
        <f>SUM(N14:N15)</f>
        <v>0</v>
      </c>
      <c r="O13" s="439">
        <f t="shared" si="4"/>
        <v>0</v>
      </c>
      <c r="P13" s="439">
        <f t="shared" si="4"/>
        <v>0</v>
      </c>
      <c r="Q13" s="439">
        <f t="shared" si="4"/>
        <v>0</v>
      </c>
      <c r="R13" s="439">
        <f t="shared" si="4"/>
        <v>0</v>
      </c>
      <c r="S13" s="439">
        <f t="shared" si="4"/>
        <v>0</v>
      </c>
      <c r="T13" s="439">
        <f>SUM(T14:T15)</f>
        <v>0</v>
      </c>
      <c r="U13" s="439">
        <f t="shared" si="4"/>
        <v>0</v>
      </c>
      <c r="V13" s="439">
        <f t="shared" si="4"/>
        <v>0</v>
      </c>
    </row>
    <row r="14" spans="1:22" ht="21.75" customHeight="1">
      <c r="A14" s="136"/>
      <c r="B14" s="132"/>
      <c r="C14" s="132" t="s">
        <v>296</v>
      </c>
      <c r="D14" s="734" t="s">
        <v>432</v>
      </c>
      <c r="E14" s="439"/>
      <c r="F14" s="439"/>
      <c r="G14" s="439"/>
      <c r="H14" s="439"/>
      <c r="I14" s="334"/>
      <c r="J14" s="334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</row>
    <row r="15" spans="1:22" ht="21.75" customHeight="1">
      <c r="A15" s="136"/>
      <c r="B15" s="132"/>
      <c r="C15" s="132" t="s">
        <v>297</v>
      </c>
      <c r="D15" s="734" t="s">
        <v>302</v>
      </c>
      <c r="E15" s="439"/>
      <c r="F15" s="439"/>
      <c r="G15" s="439"/>
      <c r="H15" s="439"/>
      <c r="I15" s="334"/>
      <c r="J15" s="334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</row>
    <row r="16" spans="1:22" ht="21.75" customHeight="1">
      <c r="A16" s="136"/>
      <c r="B16" s="132" t="s">
        <v>112</v>
      </c>
      <c r="C16" s="1253" t="s">
        <v>303</v>
      </c>
      <c r="D16" s="1253"/>
      <c r="E16" s="439">
        <v>300000</v>
      </c>
      <c r="F16" s="439">
        <f>300000-268674</f>
        <v>31326</v>
      </c>
      <c r="G16" s="439">
        <f>300000-268674</f>
        <v>31326</v>
      </c>
      <c r="H16" s="439">
        <f>300000-268674</f>
        <v>31326</v>
      </c>
      <c r="I16" s="890"/>
      <c r="J16" s="890"/>
      <c r="K16" s="439">
        <f aca="true" t="shared" si="5" ref="K16:P16">E16-Q16</f>
        <v>300000</v>
      </c>
      <c r="L16" s="439">
        <f t="shared" si="5"/>
        <v>31326</v>
      </c>
      <c r="M16" s="439">
        <f t="shared" si="5"/>
        <v>31326</v>
      </c>
      <c r="N16" s="439">
        <f t="shared" si="5"/>
        <v>31326</v>
      </c>
      <c r="O16" s="439">
        <f t="shared" si="5"/>
        <v>0</v>
      </c>
      <c r="P16" s="439">
        <f t="shared" si="5"/>
        <v>0</v>
      </c>
      <c r="Q16" s="439"/>
      <c r="R16" s="439"/>
      <c r="S16" s="439"/>
      <c r="T16" s="439"/>
      <c r="U16" s="439"/>
      <c r="V16" s="439"/>
    </row>
    <row r="17" spans="1:22" ht="21.75" customHeight="1">
      <c r="A17" s="136"/>
      <c r="B17" s="132" t="s">
        <v>47</v>
      </c>
      <c r="C17" s="1273" t="s">
        <v>304</v>
      </c>
      <c r="D17" s="1274"/>
      <c r="E17" s="439">
        <f>SUM(E18:E19)</f>
        <v>0</v>
      </c>
      <c r="F17" s="439">
        <f>SUM(F18:F19)</f>
        <v>0</v>
      </c>
      <c r="G17" s="439">
        <f>SUM(G18:G19)</f>
        <v>0</v>
      </c>
      <c r="H17" s="439">
        <f>SUM(H18:H19)</f>
        <v>0</v>
      </c>
      <c r="I17" s="890"/>
      <c r="J17" s="890"/>
      <c r="K17" s="439">
        <f aca="true" t="shared" si="6" ref="K17:V17">SUM(K18:K19)</f>
        <v>0</v>
      </c>
      <c r="L17" s="439">
        <f>SUM(L18:L19)</f>
        <v>0</v>
      </c>
      <c r="M17" s="439">
        <f t="shared" si="6"/>
        <v>0</v>
      </c>
      <c r="N17" s="439">
        <f>SUM(N18:N19)</f>
        <v>0</v>
      </c>
      <c r="O17" s="439">
        <f t="shared" si="6"/>
        <v>0</v>
      </c>
      <c r="P17" s="439">
        <f t="shared" si="6"/>
        <v>0</v>
      </c>
      <c r="Q17" s="439">
        <f t="shared" si="6"/>
        <v>0</v>
      </c>
      <c r="R17" s="439">
        <f t="shared" si="6"/>
        <v>0</v>
      </c>
      <c r="S17" s="439">
        <f t="shared" si="6"/>
        <v>0</v>
      </c>
      <c r="T17" s="439">
        <f>SUM(T18:T19)</f>
        <v>0</v>
      </c>
      <c r="U17" s="439">
        <f t="shared" si="6"/>
        <v>0</v>
      </c>
      <c r="V17" s="439">
        <f t="shared" si="6"/>
        <v>0</v>
      </c>
    </row>
    <row r="18" spans="1:22" ht="21.75" customHeight="1">
      <c r="A18" s="136"/>
      <c r="B18" s="132"/>
      <c r="C18" s="132" t="s">
        <v>305</v>
      </c>
      <c r="D18" s="734" t="s">
        <v>307</v>
      </c>
      <c r="E18" s="439"/>
      <c r="F18" s="439"/>
      <c r="G18" s="439"/>
      <c r="H18" s="439"/>
      <c r="I18" s="890"/>
      <c r="J18" s="890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</row>
    <row r="19" spans="1:22" ht="21.75" customHeight="1">
      <c r="A19" s="136"/>
      <c r="B19" s="132"/>
      <c r="C19" s="132" t="s">
        <v>306</v>
      </c>
      <c r="D19" s="734" t="s">
        <v>280</v>
      </c>
      <c r="E19" s="439"/>
      <c r="F19" s="439"/>
      <c r="G19" s="439"/>
      <c r="H19" s="439"/>
      <c r="I19" s="890"/>
      <c r="J19" s="890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</row>
    <row r="20" spans="1:22" ht="21.75" customHeight="1" thickBot="1">
      <c r="A20" s="569"/>
      <c r="B20" s="891" t="s">
        <v>48</v>
      </c>
      <c r="C20" s="1275" t="s">
        <v>308</v>
      </c>
      <c r="D20" s="1276"/>
      <c r="E20" s="568">
        <v>105584</v>
      </c>
      <c r="F20" s="568">
        <v>105584</v>
      </c>
      <c r="G20" s="568">
        <v>125702</v>
      </c>
      <c r="H20" s="568">
        <v>187841</v>
      </c>
      <c r="I20" s="892"/>
      <c r="J20" s="892"/>
      <c r="K20" s="568">
        <f aca="true" t="shared" si="7" ref="K20:P20">E20-Q20</f>
        <v>0</v>
      </c>
      <c r="L20" s="1248">
        <f t="shared" si="7"/>
        <v>-394417</v>
      </c>
      <c r="M20" s="1248">
        <f t="shared" si="7"/>
        <v>-374298</v>
      </c>
      <c r="N20" s="568">
        <f t="shared" si="7"/>
        <v>187841</v>
      </c>
      <c r="O20" s="568">
        <f t="shared" si="7"/>
        <v>-500004</v>
      </c>
      <c r="P20" s="568">
        <f t="shared" si="7"/>
        <v>-500005</v>
      </c>
      <c r="Q20" s="568">
        <v>105584</v>
      </c>
      <c r="R20" s="568">
        <v>500001</v>
      </c>
      <c r="S20" s="568">
        <v>500000</v>
      </c>
      <c r="T20" s="568">
        <v>0</v>
      </c>
      <c r="U20" s="568">
        <v>500004</v>
      </c>
      <c r="V20" s="568">
        <v>500005</v>
      </c>
    </row>
    <row r="21" spans="1:22" ht="21.75" customHeight="1" thickBot="1">
      <c r="A21" s="139" t="s">
        <v>309</v>
      </c>
      <c r="B21" s="1257" t="s">
        <v>310</v>
      </c>
      <c r="C21" s="1257"/>
      <c r="D21" s="1257"/>
      <c r="E21" s="437">
        <f>E22+E23+E24+E28+E29+E30+E31</f>
        <v>22806</v>
      </c>
      <c r="F21" s="437">
        <f>F22+F23+F24+F28+F29+F30+F31</f>
        <v>143025</v>
      </c>
      <c r="G21" s="437">
        <f>G22+G23+G24+G28+G29+G30+G31</f>
        <v>143025</v>
      </c>
      <c r="H21" s="437">
        <f>H22+H23+H24+H28+H29+H30+H31</f>
        <v>245460</v>
      </c>
      <c r="I21" s="503">
        <f>SUM(I22:I31)</f>
        <v>0</v>
      </c>
      <c r="J21" s="503">
        <f>SUM(J22:J31)</f>
        <v>0</v>
      </c>
      <c r="K21" s="437">
        <f aca="true" t="shared" si="8" ref="K21:V21">K22+K23+K24+K28+K29+K30+K31</f>
        <v>22806</v>
      </c>
      <c r="L21" s="437">
        <f>L22+L23+L24+L28+L29+L30+L31</f>
        <v>143025</v>
      </c>
      <c r="M21" s="437">
        <f t="shared" si="8"/>
        <v>143025</v>
      </c>
      <c r="N21" s="437">
        <f>N22+N23+N24+N28+N29+N30+N31</f>
        <v>245460</v>
      </c>
      <c r="O21" s="437">
        <f t="shared" si="8"/>
        <v>0</v>
      </c>
      <c r="P21" s="437">
        <f t="shared" si="8"/>
        <v>0</v>
      </c>
      <c r="Q21" s="437">
        <f t="shared" si="8"/>
        <v>0</v>
      </c>
      <c r="R21" s="437">
        <f t="shared" si="8"/>
        <v>0</v>
      </c>
      <c r="S21" s="437">
        <f t="shared" si="8"/>
        <v>0</v>
      </c>
      <c r="T21" s="437">
        <f>T22+T23+T24+T28+T29+T30+T31</f>
        <v>0</v>
      </c>
      <c r="U21" s="437">
        <f t="shared" si="8"/>
        <v>0</v>
      </c>
      <c r="V21" s="437">
        <f t="shared" si="8"/>
        <v>0</v>
      </c>
    </row>
    <row r="22" spans="1:22" ht="21.75" customHeight="1">
      <c r="A22" s="137"/>
      <c r="B22" s="138" t="s">
        <v>37</v>
      </c>
      <c r="C22" s="1263" t="s">
        <v>311</v>
      </c>
      <c r="D22" s="1263"/>
      <c r="E22" s="438"/>
      <c r="F22" s="438">
        <v>80000</v>
      </c>
      <c r="G22" s="438">
        <v>80000</v>
      </c>
      <c r="H22" s="438">
        <v>80000</v>
      </c>
      <c r="I22" s="504"/>
      <c r="J22" s="504"/>
      <c r="K22" s="443">
        <f aca="true" t="shared" si="9" ref="K22:P22">E22-Q22</f>
        <v>0</v>
      </c>
      <c r="L22" s="443">
        <f t="shared" si="9"/>
        <v>80000</v>
      </c>
      <c r="M22" s="443">
        <f t="shared" si="9"/>
        <v>80000</v>
      </c>
      <c r="N22" s="443">
        <f t="shared" si="9"/>
        <v>80000</v>
      </c>
      <c r="O22" s="443">
        <f t="shared" si="9"/>
        <v>0</v>
      </c>
      <c r="P22" s="443">
        <f t="shared" si="9"/>
        <v>0</v>
      </c>
      <c r="Q22" s="438"/>
      <c r="R22" s="438"/>
      <c r="S22" s="438"/>
      <c r="T22" s="438"/>
      <c r="U22" s="438"/>
      <c r="V22" s="438"/>
    </row>
    <row r="23" spans="1:22" ht="21.75" customHeight="1">
      <c r="A23" s="136"/>
      <c r="B23" s="132" t="s">
        <v>38</v>
      </c>
      <c r="C23" s="1251" t="s">
        <v>348</v>
      </c>
      <c r="D23" s="1251"/>
      <c r="E23" s="443"/>
      <c r="F23" s="443"/>
      <c r="G23" s="443"/>
      <c r="H23" s="443"/>
      <c r="I23" s="336"/>
      <c r="J23" s="336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</row>
    <row r="24" spans="1:22" ht="21.75" customHeight="1">
      <c r="A24" s="136"/>
      <c r="B24" s="132" t="s">
        <v>39</v>
      </c>
      <c r="C24" s="1251" t="s">
        <v>313</v>
      </c>
      <c r="D24" s="1251"/>
      <c r="E24" s="336">
        <f>SUM(E25:E27)</f>
        <v>17806</v>
      </c>
      <c r="F24" s="336">
        <f>SUM(F25:F27)</f>
        <v>17806</v>
      </c>
      <c r="G24" s="336">
        <f>SUM(G25:G27)</f>
        <v>17806</v>
      </c>
      <c r="H24" s="336">
        <f>SUM(H25:H27)</f>
        <v>52156</v>
      </c>
      <c r="I24" s="336"/>
      <c r="J24" s="336"/>
      <c r="K24" s="336">
        <f aca="true" t="shared" si="10" ref="K24:V24">SUM(K25:K27)</f>
        <v>17806</v>
      </c>
      <c r="L24" s="336">
        <f>SUM(L25:L27)</f>
        <v>17806</v>
      </c>
      <c r="M24" s="336">
        <f t="shared" si="10"/>
        <v>17806</v>
      </c>
      <c r="N24" s="336">
        <f>SUM(N25:N27)</f>
        <v>52156</v>
      </c>
      <c r="O24" s="336">
        <f t="shared" si="10"/>
        <v>0</v>
      </c>
      <c r="P24" s="336">
        <f t="shared" si="10"/>
        <v>0</v>
      </c>
      <c r="Q24" s="336">
        <f t="shared" si="10"/>
        <v>0</v>
      </c>
      <c r="R24" s="336">
        <f t="shared" si="10"/>
        <v>0</v>
      </c>
      <c r="S24" s="336">
        <f t="shared" si="10"/>
        <v>0</v>
      </c>
      <c r="T24" s="336">
        <f>SUM(T25:T27)</f>
        <v>0</v>
      </c>
      <c r="U24" s="336">
        <f t="shared" si="10"/>
        <v>0</v>
      </c>
      <c r="V24" s="336">
        <f t="shared" si="10"/>
        <v>0</v>
      </c>
    </row>
    <row r="25" spans="1:22" ht="42.75" customHeight="1">
      <c r="A25" s="136"/>
      <c r="B25" s="132"/>
      <c r="C25" s="132" t="s">
        <v>101</v>
      </c>
      <c r="D25" s="401" t="s">
        <v>460</v>
      </c>
      <c r="E25" s="443"/>
      <c r="F25" s="443"/>
      <c r="G25" s="443"/>
      <c r="H25" s="443">
        <f>52156-17806</f>
        <v>34350</v>
      </c>
      <c r="I25" s="336"/>
      <c r="J25" s="336"/>
      <c r="K25" s="443">
        <f aca="true" t="shared" si="11" ref="K25:L27">E25-Q25</f>
        <v>0</v>
      </c>
      <c r="L25" s="443">
        <f t="shared" si="11"/>
        <v>0</v>
      </c>
      <c r="M25" s="443">
        <f aca="true" t="shared" si="12" ref="M25:P27">G25-S25</f>
        <v>0</v>
      </c>
      <c r="N25" s="443">
        <f t="shared" si="12"/>
        <v>34350</v>
      </c>
      <c r="O25" s="443">
        <f t="shared" si="12"/>
        <v>0</v>
      </c>
      <c r="P25" s="443">
        <f t="shared" si="12"/>
        <v>0</v>
      </c>
      <c r="Q25" s="443"/>
      <c r="R25" s="443"/>
      <c r="S25" s="443"/>
      <c r="T25" s="443"/>
      <c r="U25" s="443"/>
      <c r="V25" s="443"/>
    </row>
    <row r="26" spans="1:22" ht="41.25" customHeight="1">
      <c r="A26" s="136"/>
      <c r="B26" s="132"/>
      <c r="C26" s="132" t="s">
        <v>102</v>
      </c>
      <c r="D26" s="401" t="s">
        <v>314</v>
      </c>
      <c r="E26" s="443">
        <v>17806</v>
      </c>
      <c r="F26" s="443">
        <v>17806</v>
      </c>
      <c r="G26" s="443">
        <v>17806</v>
      </c>
      <c r="H26" s="443">
        <f>8903*2</f>
        <v>17806</v>
      </c>
      <c r="I26" s="336"/>
      <c r="J26" s="336"/>
      <c r="K26" s="443">
        <f t="shared" si="11"/>
        <v>17806</v>
      </c>
      <c r="L26" s="443">
        <f t="shared" si="11"/>
        <v>17806</v>
      </c>
      <c r="M26" s="443">
        <f t="shared" si="12"/>
        <v>17806</v>
      </c>
      <c r="N26" s="443">
        <f t="shared" si="12"/>
        <v>17806</v>
      </c>
      <c r="O26" s="443">
        <f t="shared" si="12"/>
        <v>0</v>
      </c>
      <c r="P26" s="443">
        <f t="shared" si="12"/>
        <v>0</v>
      </c>
      <c r="Q26" s="443"/>
      <c r="R26" s="443"/>
      <c r="S26" s="443"/>
      <c r="T26" s="443"/>
      <c r="U26" s="443"/>
      <c r="V26" s="443"/>
    </row>
    <row r="27" spans="1:22" ht="21.75" customHeight="1">
      <c r="A27" s="136"/>
      <c r="B27" s="132"/>
      <c r="C27" s="132" t="s">
        <v>103</v>
      </c>
      <c r="D27" s="401" t="s">
        <v>410</v>
      </c>
      <c r="E27" s="443"/>
      <c r="F27" s="443"/>
      <c r="G27" s="443"/>
      <c r="H27" s="443"/>
      <c r="I27" s="336"/>
      <c r="J27" s="336"/>
      <c r="K27" s="443">
        <f t="shared" si="11"/>
        <v>0</v>
      </c>
      <c r="L27" s="443">
        <f t="shared" si="11"/>
        <v>0</v>
      </c>
      <c r="M27" s="443">
        <f t="shared" si="12"/>
        <v>0</v>
      </c>
      <c r="N27" s="443">
        <f t="shared" si="12"/>
        <v>0</v>
      </c>
      <c r="O27" s="443">
        <f t="shared" si="12"/>
        <v>0</v>
      </c>
      <c r="P27" s="443">
        <f t="shared" si="12"/>
        <v>0</v>
      </c>
      <c r="Q27" s="443"/>
      <c r="R27" s="443"/>
      <c r="S27" s="443"/>
      <c r="T27" s="443"/>
      <c r="U27" s="443"/>
      <c r="V27" s="443"/>
    </row>
    <row r="28" spans="1:22" ht="21.75" customHeight="1">
      <c r="A28" s="136"/>
      <c r="B28" s="132" t="s">
        <v>285</v>
      </c>
      <c r="C28" s="1251" t="s">
        <v>316</v>
      </c>
      <c r="D28" s="1251"/>
      <c r="E28" s="443"/>
      <c r="F28" s="443"/>
      <c r="G28" s="443"/>
      <c r="H28" s="443"/>
      <c r="I28" s="336"/>
      <c r="J28" s="336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</row>
    <row r="29" spans="1:22" ht="21.75" customHeight="1">
      <c r="A29" s="140"/>
      <c r="B29" s="141" t="s">
        <v>317</v>
      </c>
      <c r="C29" s="1251" t="s">
        <v>477</v>
      </c>
      <c r="D29" s="1264"/>
      <c r="E29" s="443"/>
      <c r="F29" s="443"/>
      <c r="G29" s="443"/>
      <c r="H29" s="443"/>
      <c r="I29" s="336"/>
      <c r="J29" s="336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</row>
    <row r="30" spans="1:22" ht="21.75" customHeight="1">
      <c r="A30" s="140"/>
      <c r="B30" s="141" t="s">
        <v>319</v>
      </c>
      <c r="C30" s="1251" t="s">
        <v>320</v>
      </c>
      <c r="D30" s="1264"/>
      <c r="E30" s="443"/>
      <c r="F30" s="443">
        <v>1000</v>
      </c>
      <c r="G30" s="443">
        <v>1000</v>
      </c>
      <c r="H30" s="443">
        <v>1000</v>
      </c>
      <c r="I30" s="336"/>
      <c r="J30" s="336"/>
      <c r="K30" s="443">
        <f>E30-Q30</f>
        <v>0</v>
      </c>
      <c r="L30" s="443">
        <f>F30-R30</f>
        <v>1000</v>
      </c>
      <c r="M30" s="443">
        <f aca="true" t="shared" si="13" ref="M30:P31">G30-S30</f>
        <v>1000</v>
      </c>
      <c r="N30" s="443">
        <f t="shared" si="13"/>
        <v>1000</v>
      </c>
      <c r="O30" s="443">
        <f t="shared" si="13"/>
        <v>0</v>
      </c>
      <c r="P30" s="443">
        <f t="shared" si="13"/>
        <v>0</v>
      </c>
      <c r="Q30" s="443"/>
      <c r="R30" s="443"/>
      <c r="S30" s="443"/>
      <c r="T30" s="443"/>
      <c r="U30" s="443"/>
      <c r="V30" s="443"/>
    </row>
    <row r="31" spans="1:22" ht="21.75" customHeight="1" thickBot="1">
      <c r="A31" s="140"/>
      <c r="B31" s="141" t="s">
        <v>74</v>
      </c>
      <c r="C31" s="1252" t="s">
        <v>75</v>
      </c>
      <c r="D31" s="1252"/>
      <c r="E31" s="443">
        <v>5000</v>
      </c>
      <c r="F31" s="443">
        <f>5000+39219</f>
        <v>44219</v>
      </c>
      <c r="G31" s="443">
        <f>5000+39219</f>
        <v>44219</v>
      </c>
      <c r="H31" s="443">
        <v>112304</v>
      </c>
      <c r="I31" s="336"/>
      <c r="J31" s="336"/>
      <c r="K31" s="443">
        <f>E31-Q31</f>
        <v>5000</v>
      </c>
      <c r="L31" s="443">
        <f>F31-R31</f>
        <v>44219</v>
      </c>
      <c r="M31" s="443">
        <f t="shared" si="13"/>
        <v>44219</v>
      </c>
      <c r="N31" s="443">
        <f t="shared" si="13"/>
        <v>112304</v>
      </c>
      <c r="O31" s="443">
        <f t="shared" si="13"/>
        <v>0</v>
      </c>
      <c r="P31" s="443">
        <f t="shared" si="13"/>
        <v>0</v>
      </c>
      <c r="Q31" s="443"/>
      <c r="R31" s="443"/>
      <c r="S31" s="443"/>
      <c r="T31" s="443"/>
      <c r="U31" s="443"/>
      <c r="V31" s="443"/>
    </row>
    <row r="32" spans="1:22" ht="21.75" customHeight="1" thickBot="1">
      <c r="A32" s="143" t="s">
        <v>9</v>
      </c>
      <c r="B32" s="1257" t="s">
        <v>321</v>
      </c>
      <c r="C32" s="1257"/>
      <c r="D32" s="1257"/>
      <c r="E32" s="432">
        <f>SUM(E33:E36)</f>
        <v>24146553</v>
      </c>
      <c r="F32" s="432">
        <f>SUM(F33:F36)</f>
        <v>25203613</v>
      </c>
      <c r="G32" s="432">
        <f>SUM(G33:G36)</f>
        <v>25192560</v>
      </c>
      <c r="H32" s="432">
        <f>SUM(H33:H36)</f>
        <v>25602648</v>
      </c>
      <c r="I32" s="146"/>
      <c r="J32" s="146"/>
      <c r="K32" s="432">
        <f aca="true" t="shared" si="14" ref="K32:V32">SUM(K33:K36)</f>
        <v>17266553</v>
      </c>
      <c r="L32" s="432">
        <f>SUM(L33:L36)</f>
        <v>18323613</v>
      </c>
      <c r="M32" s="432">
        <f t="shared" si="14"/>
        <v>18312560</v>
      </c>
      <c r="N32" s="432">
        <f>SUM(N33:N36)</f>
        <v>18722648</v>
      </c>
      <c r="O32" s="432">
        <f t="shared" si="14"/>
        <v>0</v>
      </c>
      <c r="P32" s="432">
        <f t="shared" si="14"/>
        <v>0</v>
      </c>
      <c r="Q32" s="432">
        <f t="shared" si="14"/>
        <v>6880000</v>
      </c>
      <c r="R32" s="432">
        <f t="shared" si="14"/>
        <v>6880000</v>
      </c>
      <c r="S32" s="432">
        <f t="shared" si="14"/>
        <v>6880000</v>
      </c>
      <c r="T32" s="432">
        <f>SUM(T33:T36)</f>
        <v>6880000</v>
      </c>
      <c r="U32" s="432">
        <f t="shared" si="14"/>
        <v>6880003</v>
      </c>
      <c r="V32" s="432">
        <f t="shared" si="14"/>
        <v>6880004</v>
      </c>
    </row>
    <row r="33" spans="1:22" ht="21.75" customHeight="1">
      <c r="A33" s="137"/>
      <c r="B33" s="141" t="s">
        <v>40</v>
      </c>
      <c r="C33" s="1261" t="s">
        <v>322</v>
      </c>
      <c r="D33" s="1262"/>
      <c r="E33" s="984">
        <f>8110380+6355000+1800000</f>
        <v>16265380</v>
      </c>
      <c r="F33" s="984">
        <f>8110380+6623684+1800000</f>
        <v>16534064</v>
      </c>
      <c r="G33" s="984">
        <f>8110380+6947407+2000000</f>
        <v>17057787</v>
      </c>
      <c r="H33" s="984">
        <f>8110380+7135229+2000000</f>
        <v>17245609</v>
      </c>
      <c r="I33" s="985"/>
      <c r="J33" s="985"/>
      <c r="K33" s="984">
        <f aca="true" t="shared" si="15" ref="K33:P33">E33-Q33</f>
        <v>16265380</v>
      </c>
      <c r="L33" s="984">
        <f t="shared" si="15"/>
        <v>16534064</v>
      </c>
      <c r="M33" s="984">
        <f t="shared" si="15"/>
        <v>17057787</v>
      </c>
      <c r="N33" s="984">
        <f t="shared" si="15"/>
        <v>17245609</v>
      </c>
      <c r="O33" s="984">
        <f t="shared" si="15"/>
        <v>0</v>
      </c>
      <c r="P33" s="984">
        <f t="shared" si="15"/>
        <v>0</v>
      </c>
      <c r="Q33" s="894"/>
      <c r="R33" s="894"/>
      <c r="S33" s="894"/>
      <c r="T33" s="894"/>
      <c r="U33" s="894"/>
      <c r="V33" s="894"/>
    </row>
    <row r="34" spans="1:22" ht="33" customHeight="1">
      <c r="A34" s="136"/>
      <c r="B34" s="141" t="s">
        <v>41</v>
      </c>
      <c r="C34" s="1251" t="s">
        <v>394</v>
      </c>
      <c r="D34" s="1264"/>
      <c r="E34" s="443"/>
      <c r="F34" s="443"/>
      <c r="G34" s="443">
        <v>228600</v>
      </c>
      <c r="H34" s="443">
        <v>228600</v>
      </c>
      <c r="I34" s="336"/>
      <c r="J34" s="336"/>
      <c r="K34" s="443"/>
      <c r="L34" s="443"/>
      <c r="M34" s="443">
        <f>+G34-S34</f>
        <v>228600</v>
      </c>
      <c r="N34" s="443">
        <f>+H34-T34</f>
        <v>228600</v>
      </c>
      <c r="O34" s="443"/>
      <c r="P34" s="443"/>
      <c r="Q34" s="896"/>
      <c r="R34" s="896"/>
      <c r="S34" s="896"/>
      <c r="T34" s="896"/>
      <c r="U34" s="896"/>
      <c r="V34" s="896"/>
    </row>
    <row r="35" spans="1:22" ht="21.75" customHeight="1">
      <c r="A35" s="136"/>
      <c r="B35" s="141" t="s">
        <v>72</v>
      </c>
      <c r="C35" s="1251" t="s">
        <v>323</v>
      </c>
      <c r="D35" s="1264"/>
      <c r="E35" s="896"/>
      <c r="F35" s="896"/>
      <c r="G35" s="896"/>
      <c r="H35" s="896"/>
      <c r="I35" s="897"/>
      <c r="J35" s="897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</row>
    <row r="36" spans="1:22" ht="21.75" customHeight="1">
      <c r="A36" s="136"/>
      <c r="B36" s="141" t="s">
        <v>73</v>
      </c>
      <c r="C36" s="1251" t="s">
        <v>324</v>
      </c>
      <c r="D36" s="1264"/>
      <c r="E36" s="897">
        <f>SUM(E37:E39)</f>
        <v>7881173</v>
      </c>
      <c r="F36" s="897">
        <f>SUM(F37:F39)</f>
        <v>8669549</v>
      </c>
      <c r="G36" s="897">
        <f>SUM(G37:G39)</f>
        <v>7906173</v>
      </c>
      <c r="H36" s="897">
        <f>SUM(H37:H39)</f>
        <v>8128439</v>
      </c>
      <c r="I36" s="897"/>
      <c r="J36" s="897"/>
      <c r="K36" s="897">
        <f aca="true" t="shared" si="16" ref="K36:V36">SUM(K37:K39)</f>
        <v>1001173</v>
      </c>
      <c r="L36" s="897">
        <f>SUM(L37:L39)</f>
        <v>1789549</v>
      </c>
      <c r="M36" s="897">
        <f t="shared" si="16"/>
        <v>1026173</v>
      </c>
      <c r="N36" s="897">
        <f>SUM(N37:N39)</f>
        <v>1248439</v>
      </c>
      <c r="O36" s="897">
        <f t="shared" si="16"/>
        <v>0</v>
      </c>
      <c r="P36" s="897">
        <f t="shared" si="16"/>
        <v>0</v>
      </c>
      <c r="Q36" s="896">
        <f t="shared" si="16"/>
        <v>6880000</v>
      </c>
      <c r="R36" s="896">
        <f t="shared" si="16"/>
        <v>6880000</v>
      </c>
      <c r="S36" s="896">
        <f t="shared" si="16"/>
        <v>6880000</v>
      </c>
      <c r="T36" s="896">
        <f>SUM(T37:T39)</f>
        <v>6880000</v>
      </c>
      <c r="U36" s="896">
        <f t="shared" si="16"/>
        <v>6880003</v>
      </c>
      <c r="V36" s="896">
        <f t="shared" si="16"/>
        <v>6880004</v>
      </c>
    </row>
    <row r="37" spans="1:22" ht="33" customHeight="1">
      <c r="A37" s="136"/>
      <c r="B37" s="141"/>
      <c r="C37" s="138" t="s">
        <v>325</v>
      </c>
      <c r="D37" s="893" t="s">
        <v>30</v>
      </c>
      <c r="E37" s="443"/>
      <c r="F37" s="443"/>
      <c r="G37" s="443"/>
      <c r="H37" s="443"/>
      <c r="I37" s="336"/>
      <c r="J37" s="336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</row>
    <row r="38" spans="1:22" ht="21.75" customHeight="1">
      <c r="A38" s="136"/>
      <c r="B38" s="141"/>
      <c r="C38" s="132" t="s">
        <v>326</v>
      </c>
      <c r="D38" s="401" t="s">
        <v>29</v>
      </c>
      <c r="E38" s="443">
        <f>6880000+150000</f>
        <v>7030000</v>
      </c>
      <c r="F38" s="443">
        <f>6880000+150000+706808+56568</f>
        <v>7793376</v>
      </c>
      <c r="G38" s="443">
        <f>6880000+150000</f>
        <v>7030000</v>
      </c>
      <c r="H38" s="443">
        <f>6880000+150000</f>
        <v>7030000</v>
      </c>
      <c r="I38" s="336"/>
      <c r="J38" s="336"/>
      <c r="K38" s="443">
        <f>+E38-Q38</f>
        <v>150000</v>
      </c>
      <c r="L38" s="443">
        <f>+F38-R38</f>
        <v>913376</v>
      </c>
      <c r="M38" s="443">
        <f>+G38-S38</f>
        <v>150000</v>
      </c>
      <c r="N38" s="443">
        <f>+H38-T38</f>
        <v>150000</v>
      </c>
      <c r="O38" s="443"/>
      <c r="P38" s="443"/>
      <c r="Q38" s="443">
        <v>6880000</v>
      </c>
      <c r="R38" s="443">
        <v>6880000</v>
      </c>
      <c r="S38" s="443">
        <v>6880000</v>
      </c>
      <c r="T38" s="443">
        <v>6880000</v>
      </c>
      <c r="U38" s="443">
        <v>6880003</v>
      </c>
      <c r="V38" s="443">
        <v>6880004</v>
      </c>
    </row>
    <row r="39" spans="1:22" ht="21.75" customHeight="1" thickBot="1">
      <c r="A39" s="136"/>
      <c r="B39" s="141"/>
      <c r="C39" s="132" t="s">
        <v>327</v>
      </c>
      <c r="D39" s="401" t="s">
        <v>31</v>
      </c>
      <c r="E39" s="736">
        <v>851173</v>
      </c>
      <c r="F39" s="736">
        <f>851173+25000</f>
        <v>876173</v>
      </c>
      <c r="G39" s="736">
        <f>851173+25000</f>
        <v>876173</v>
      </c>
      <c r="H39" s="736">
        <f>893219+205220</f>
        <v>1098439</v>
      </c>
      <c r="I39" s="737"/>
      <c r="J39" s="737"/>
      <c r="K39" s="736">
        <f aca="true" t="shared" si="17" ref="K39:P39">E39-Q39</f>
        <v>851173</v>
      </c>
      <c r="L39" s="736">
        <f t="shared" si="17"/>
        <v>876173</v>
      </c>
      <c r="M39" s="736">
        <f t="shared" si="17"/>
        <v>876173</v>
      </c>
      <c r="N39" s="736">
        <f t="shared" si="17"/>
        <v>1098439</v>
      </c>
      <c r="O39" s="736">
        <f t="shared" si="17"/>
        <v>0</v>
      </c>
      <c r="P39" s="736">
        <f t="shared" si="17"/>
        <v>0</v>
      </c>
      <c r="Q39" s="898"/>
      <c r="R39" s="898"/>
      <c r="S39" s="898"/>
      <c r="T39" s="898"/>
      <c r="U39" s="898"/>
      <c r="V39" s="898"/>
    </row>
    <row r="40" spans="1:22" ht="39.75" customHeight="1" thickBot="1">
      <c r="A40" s="143" t="s">
        <v>10</v>
      </c>
      <c r="B40" s="1270" t="s">
        <v>328</v>
      </c>
      <c r="C40" s="1270"/>
      <c r="D40" s="1270"/>
      <c r="E40" s="432">
        <f>SUM(E41:E42)</f>
        <v>2980000</v>
      </c>
      <c r="F40" s="432">
        <f>SUM(F41:F42)</f>
        <v>2980000</v>
      </c>
      <c r="G40" s="432">
        <f>SUM(G41:G42)</f>
        <v>3743376</v>
      </c>
      <c r="H40" s="432">
        <f>SUM(H41:H42)</f>
        <v>23709598</v>
      </c>
      <c r="I40" s="146">
        <f>SUM(I41:I45)</f>
        <v>50529546</v>
      </c>
      <c r="J40" s="146">
        <f>SUM(J41:J47)</f>
        <v>0</v>
      </c>
      <c r="K40" s="432">
        <f aca="true" t="shared" si="18" ref="K40:P40">SUM(K41:K42)</f>
        <v>2980000</v>
      </c>
      <c r="L40" s="432">
        <f>SUM(L41:L42)</f>
        <v>2980000</v>
      </c>
      <c r="M40" s="432">
        <f t="shared" si="18"/>
        <v>3743376</v>
      </c>
      <c r="N40" s="432">
        <f>SUM(N41:N42)</f>
        <v>23709598</v>
      </c>
      <c r="O40" s="432">
        <f t="shared" si="18"/>
        <v>37119575</v>
      </c>
      <c r="P40" s="432">
        <f t="shared" si="18"/>
        <v>4</v>
      </c>
      <c r="Q40" s="432">
        <f aca="true" t="shared" si="19" ref="Q40:V40">SUM(Q41:Q42)</f>
        <v>0</v>
      </c>
      <c r="R40" s="432">
        <f t="shared" si="19"/>
        <v>0</v>
      </c>
      <c r="S40" s="432">
        <f t="shared" si="19"/>
        <v>0</v>
      </c>
      <c r="T40" s="432">
        <f>SUM(T41:T42)</f>
        <v>0</v>
      </c>
      <c r="U40" s="432">
        <f t="shared" si="19"/>
        <v>3</v>
      </c>
      <c r="V40" s="432">
        <f t="shared" si="19"/>
        <v>4</v>
      </c>
    </row>
    <row r="41" spans="1:22" ht="21.75" customHeight="1">
      <c r="A41" s="137"/>
      <c r="B41" s="144" t="s">
        <v>329</v>
      </c>
      <c r="C41" s="1263" t="s">
        <v>331</v>
      </c>
      <c r="D41" s="1263"/>
      <c r="E41" s="440"/>
      <c r="F41" s="440"/>
      <c r="G41" s="440"/>
      <c r="H41" s="440"/>
      <c r="I41" s="441"/>
      <c r="J41" s="441"/>
      <c r="K41" s="443">
        <f aca="true" t="shared" si="20" ref="K41:P41">E41-Q41</f>
        <v>0</v>
      </c>
      <c r="L41" s="443">
        <f t="shared" si="20"/>
        <v>0</v>
      </c>
      <c r="M41" s="443">
        <f t="shared" si="20"/>
        <v>0</v>
      </c>
      <c r="N41" s="443">
        <f t="shared" si="20"/>
        <v>0</v>
      </c>
      <c r="O41" s="443">
        <f t="shared" si="20"/>
        <v>0</v>
      </c>
      <c r="P41" s="443">
        <f t="shared" si="20"/>
        <v>0</v>
      </c>
      <c r="Q41" s="440"/>
      <c r="R41" s="440"/>
      <c r="S41" s="440"/>
      <c r="T41" s="440"/>
      <c r="U41" s="440"/>
      <c r="V41" s="440"/>
    </row>
    <row r="42" spans="1:22" ht="21.75" customHeight="1">
      <c r="A42" s="136"/>
      <c r="B42" s="133" t="s">
        <v>330</v>
      </c>
      <c r="C42" s="1251" t="s">
        <v>423</v>
      </c>
      <c r="D42" s="1251"/>
      <c r="E42" s="443">
        <f>SUM(E43:E45)</f>
        <v>2980000</v>
      </c>
      <c r="F42" s="443">
        <f>SUM(F43:F45)</f>
        <v>2980000</v>
      </c>
      <c r="G42" s="443">
        <f>SUM(G43:G45)</f>
        <v>3743376</v>
      </c>
      <c r="H42" s="443">
        <f>SUM(H43:H45)</f>
        <v>23709598</v>
      </c>
      <c r="I42" s="336"/>
      <c r="J42" s="336"/>
      <c r="K42" s="443">
        <f aca="true" t="shared" si="21" ref="K42:P42">SUM(K43:K45)</f>
        <v>2980000</v>
      </c>
      <c r="L42" s="443">
        <f>SUM(L43:L45)</f>
        <v>2980000</v>
      </c>
      <c r="M42" s="443">
        <f t="shared" si="21"/>
        <v>3743376</v>
      </c>
      <c r="N42" s="443">
        <f>SUM(N43:N45)</f>
        <v>23709598</v>
      </c>
      <c r="O42" s="443">
        <f t="shared" si="21"/>
        <v>37119575</v>
      </c>
      <c r="P42" s="443">
        <f t="shared" si="21"/>
        <v>4</v>
      </c>
      <c r="Q42" s="443">
        <f aca="true" t="shared" si="22" ref="Q42:V42">SUM(Q43:Q45)</f>
        <v>0</v>
      </c>
      <c r="R42" s="443">
        <f t="shared" si="22"/>
        <v>0</v>
      </c>
      <c r="S42" s="443">
        <f t="shared" si="22"/>
        <v>0</v>
      </c>
      <c r="T42" s="443">
        <v>0</v>
      </c>
      <c r="U42" s="443">
        <f t="shared" si="22"/>
        <v>3</v>
      </c>
      <c r="V42" s="443">
        <f t="shared" si="22"/>
        <v>4</v>
      </c>
    </row>
    <row r="43" spans="1:22" ht="31.5" customHeight="1">
      <c r="A43" s="136"/>
      <c r="B43" s="144"/>
      <c r="C43" s="138" t="s">
        <v>333</v>
      </c>
      <c r="D43" s="893" t="s">
        <v>30</v>
      </c>
      <c r="E43" s="443"/>
      <c r="F43" s="443"/>
      <c r="G43" s="443"/>
      <c r="H43" s="443"/>
      <c r="I43" s="336"/>
      <c r="J43" s="336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</row>
    <row r="44" spans="1:22" ht="21.75" customHeight="1">
      <c r="A44" s="136"/>
      <c r="B44" s="133"/>
      <c r="C44" s="132" t="s">
        <v>334</v>
      </c>
      <c r="D44" s="893" t="s">
        <v>29</v>
      </c>
      <c r="E44" s="443">
        <v>80000</v>
      </c>
      <c r="F44" s="443">
        <v>80000</v>
      </c>
      <c r="G44" s="443">
        <f>80000+706808+56568</f>
        <v>843376</v>
      </c>
      <c r="H44" s="443">
        <v>3743370</v>
      </c>
      <c r="I44" s="336">
        <v>37119572</v>
      </c>
      <c r="J44" s="735"/>
      <c r="K44" s="443">
        <f aca="true" t="shared" si="23" ref="K44:P44">E44-Q44</f>
        <v>80000</v>
      </c>
      <c r="L44" s="443">
        <f t="shared" si="23"/>
        <v>80000</v>
      </c>
      <c r="M44" s="443">
        <f t="shared" si="23"/>
        <v>843376</v>
      </c>
      <c r="N44" s="443">
        <f t="shared" si="23"/>
        <v>3743370</v>
      </c>
      <c r="O44" s="443">
        <f t="shared" si="23"/>
        <v>37119572</v>
      </c>
      <c r="P44" s="443">
        <f t="shared" si="23"/>
        <v>0</v>
      </c>
      <c r="Q44" s="443"/>
      <c r="R44" s="443"/>
      <c r="S44" s="443"/>
      <c r="T44" s="443"/>
      <c r="U44" s="443"/>
      <c r="V44" s="443"/>
    </row>
    <row r="45" spans="1:22" ht="21.75" customHeight="1" thickBot="1">
      <c r="A45" s="140"/>
      <c r="B45" s="144"/>
      <c r="C45" s="138" t="s">
        <v>335</v>
      </c>
      <c r="D45" s="893" t="s">
        <v>336</v>
      </c>
      <c r="E45" s="443">
        <v>2900000</v>
      </c>
      <c r="F45" s="443">
        <v>2900000</v>
      </c>
      <c r="G45" s="443">
        <v>2900000</v>
      </c>
      <c r="H45" s="443">
        <v>19966228</v>
      </c>
      <c r="I45" s="336">
        <f>+I44-H42</f>
        <v>13409974</v>
      </c>
      <c r="J45" s="735"/>
      <c r="K45" s="443">
        <f>+E45-Q45</f>
        <v>2900000</v>
      </c>
      <c r="L45" s="443">
        <f>+F45-R45</f>
        <v>2900000</v>
      </c>
      <c r="M45" s="443">
        <f>+G45-S45</f>
        <v>2900000</v>
      </c>
      <c r="N45" s="443">
        <f>+H45-T45</f>
        <v>19966228</v>
      </c>
      <c r="O45" s="443">
        <v>3</v>
      </c>
      <c r="P45" s="443">
        <v>4</v>
      </c>
      <c r="Q45" s="443">
        <v>0</v>
      </c>
      <c r="R45" s="443">
        <v>0</v>
      </c>
      <c r="S45" s="443">
        <v>0</v>
      </c>
      <c r="T45" s="443">
        <v>0</v>
      </c>
      <c r="U45" s="443">
        <v>3</v>
      </c>
      <c r="V45" s="443">
        <v>4</v>
      </c>
    </row>
    <row r="46" spans="1:22" ht="21.75" customHeight="1" hidden="1">
      <c r="A46" s="452"/>
      <c r="B46" s="133"/>
      <c r="C46" s="1251"/>
      <c r="D46" s="1264"/>
      <c r="E46" s="443"/>
      <c r="F46" s="443"/>
      <c r="G46" s="443"/>
      <c r="H46" s="443"/>
      <c r="I46" s="336"/>
      <c r="J46" s="735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</row>
    <row r="47" spans="1:22" ht="21.75" customHeight="1" hidden="1" thickBot="1">
      <c r="A47" s="452"/>
      <c r="B47" s="144"/>
      <c r="C47" s="1271"/>
      <c r="D47" s="1272"/>
      <c r="E47" s="736"/>
      <c r="F47" s="736"/>
      <c r="G47" s="736"/>
      <c r="H47" s="736"/>
      <c r="I47" s="737"/>
      <c r="J47" s="738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</row>
    <row r="48" spans="1:22" ht="21.75" customHeight="1" thickBot="1">
      <c r="A48" s="143" t="s">
        <v>11</v>
      </c>
      <c r="B48" s="1257" t="s">
        <v>79</v>
      </c>
      <c r="C48" s="1257"/>
      <c r="D48" s="1257"/>
      <c r="E48" s="432">
        <f aca="true" t="shared" si="24" ref="E48:J48">E49+E50</f>
        <v>0</v>
      </c>
      <c r="F48" s="432">
        <f>F49+F50</f>
        <v>0</v>
      </c>
      <c r="G48" s="432">
        <f>G49+G50</f>
        <v>0</v>
      </c>
      <c r="H48" s="432">
        <f>H49+H50</f>
        <v>0</v>
      </c>
      <c r="I48" s="146">
        <f t="shared" si="24"/>
        <v>0</v>
      </c>
      <c r="J48" s="146">
        <f t="shared" si="24"/>
        <v>0</v>
      </c>
      <c r="K48" s="432">
        <f aca="true" t="shared" si="25" ref="K48:P48">K49+K50</f>
        <v>0</v>
      </c>
      <c r="L48" s="432">
        <f>L49+L50</f>
        <v>0</v>
      </c>
      <c r="M48" s="432">
        <f t="shared" si="25"/>
        <v>0</v>
      </c>
      <c r="N48" s="432">
        <f>N49+N50</f>
        <v>0</v>
      </c>
      <c r="O48" s="432">
        <f t="shared" si="25"/>
        <v>0</v>
      </c>
      <c r="P48" s="432">
        <f t="shared" si="25"/>
        <v>0</v>
      </c>
      <c r="Q48" s="432">
        <f aca="true" t="shared" si="26" ref="Q48:V48">Q49+Q50</f>
        <v>0</v>
      </c>
      <c r="R48" s="432">
        <f t="shared" si="26"/>
        <v>0</v>
      </c>
      <c r="S48" s="432">
        <f t="shared" si="26"/>
        <v>0</v>
      </c>
      <c r="T48" s="432">
        <f>T49+T50</f>
        <v>0</v>
      </c>
      <c r="U48" s="432">
        <f t="shared" si="26"/>
        <v>0</v>
      </c>
      <c r="V48" s="432">
        <f t="shared" si="26"/>
        <v>0</v>
      </c>
    </row>
    <row r="49" spans="1:22" s="7" customFormat="1" ht="21.75" customHeight="1">
      <c r="A49" s="145"/>
      <c r="B49" s="144" t="s">
        <v>42</v>
      </c>
      <c r="C49" s="1263" t="s">
        <v>349</v>
      </c>
      <c r="D49" s="1263"/>
      <c r="E49" s="442"/>
      <c r="F49" s="442"/>
      <c r="G49" s="442"/>
      <c r="H49" s="442"/>
      <c r="I49" s="335"/>
      <c r="J49" s="335"/>
      <c r="K49" s="442"/>
      <c r="L49" s="442"/>
      <c r="M49" s="1148">
        <f>+G49-S49</f>
        <v>0</v>
      </c>
      <c r="N49" s="1148">
        <f>+H49-T49</f>
        <v>0</v>
      </c>
      <c r="O49" s="1148">
        <f>+I49-U49</f>
        <v>0</v>
      </c>
      <c r="P49" s="1148">
        <f>+J49-V49</f>
        <v>0</v>
      </c>
      <c r="Q49" s="442"/>
      <c r="R49" s="442"/>
      <c r="S49" s="442"/>
      <c r="T49" s="442"/>
      <c r="U49" s="442"/>
      <c r="V49" s="442"/>
    </row>
    <row r="50" spans="1:22" ht="21.75" customHeight="1" thickBot="1">
      <c r="A50" s="136"/>
      <c r="B50" s="132" t="s">
        <v>43</v>
      </c>
      <c r="C50" s="1251" t="s">
        <v>350</v>
      </c>
      <c r="D50" s="1251"/>
      <c r="E50" s="422"/>
      <c r="F50" s="422"/>
      <c r="G50" s="422"/>
      <c r="H50" s="422"/>
      <c r="I50" s="337"/>
      <c r="J50" s="337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</row>
    <row r="51" spans="1:22" ht="21.75" customHeight="1" thickBot="1">
      <c r="A51" s="143" t="s">
        <v>12</v>
      </c>
      <c r="B51" s="1257" t="s">
        <v>337</v>
      </c>
      <c r="C51" s="1257"/>
      <c r="D51" s="1257"/>
      <c r="E51" s="427">
        <f aca="true" t="shared" si="27" ref="E51:J51">SUM(E52:E53)</f>
        <v>0</v>
      </c>
      <c r="F51" s="427">
        <f>SUM(F52:F53)</f>
        <v>0</v>
      </c>
      <c r="G51" s="427">
        <f>SUM(G52:G53)</f>
        <v>0</v>
      </c>
      <c r="H51" s="427">
        <f>SUM(H52:H53)</f>
        <v>0</v>
      </c>
      <c r="I51" s="339">
        <f t="shared" si="27"/>
        <v>0</v>
      </c>
      <c r="J51" s="339">
        <f t="shared" si="27"/>
        <v>0</v>
      </c>
      <c r="K51" s="427">
        <f aca="true" t="shared" si="28" ref="K51:P51">SUM(K52:K53)</f>
        <v>0</v>
      </c>
      <c r="L51" s="427">
        <f>SUM(L52:L53)</f>
        <v>0</v>
      </c>
      <c r="M51" s="427">
        <f t="shared" si="28"/>
        <v>0</v>
      </c>
      <c r="N51" s="427">
        <f>SUM(N52:N53)</f>
        <v>0</v>
      </c>
      <c r="O51" s="427">
        <f t="shared" si="28"/>
        <v>0</v>
      </c>
      <c r="P51" s="427">
        <f t="shared" si="28"/>
        <v>0</v>
      </c>
      <c r="Q51" s="427">
        <f aca="true" t="shared" si="29" ref="Q51:V51">SUM(Q52:Q53)</f>
        <v>0</v>
      </c>
      <c r="R51" s="427">
        <f t="shared" si="29"/>
        <v>0</v>
      </c>
      <c r="S51" s="427">
        <f t="shared" si="29"/>
        <v>0</v>
      </c>
      <c r="T51" s="427">
        <f>SUM(T52:T53)</f>
        <v>0</v>
      </c>
      <c r="U51" s="427">
        <f t="shared" si="29"/>
        <v>3</v>
      </c>
      <c r="V51" s="427">
        <f t="shared" si="29"/>
        <v>4</v>
      </c>
    </row>
    <row r="52" spans="1:22" s="7" customFormat="1" ht="21.75" customHeight="1">
      <c r="A52" s="145"/>
      <c r="B52" s="138" t="s">
        <v>44</v>
      </c>
      <c r="C52" s="1263" t="s">
        <v>339</v>
      </c>
      <c r="D52" s="1263"/>
      <c r="E52" s="428">
        <v>0</v>
      </c>
      <c r="F52" s="428">
        <v>0</v>
      </c>
      <c r="G52" s="428">
        <v>0</v>
      </c>
      <c r="H52" s="428">
        <v>0</v>
      </c>
      <c r="I52" s="340"/>
      <c r="J52" s="340"/>
      <c r="K52" s="428">
        <v>0</v>
      </c>
      <c r="L52" s="428">
        <v>0</v>
      </c>
      <c r="M52" s="428">
        <v>0</v>
      </c>
      <c r="N52" s="428">
        <v>0</v>
      </c>
      <c r="O52" s="428">
        <v>0</v>
      </c>
      <c r="P52" s="428">
        <v>0</v>
      </c>
      <c r="Q52" s="446"/>
      <c r="R52" s="446"/>
      <c r="S52" s="446"/>
      <c r="T52" s="446"/>
      <c r="U52" s="446"/>
      <c r="V52" s="446"/>
    </row>
    <row r="53" spans="1:22" ht="21.75" customHeight="1" thickBot="1">
      <c r="A53" s="140"/>
      <c r="B53" s="141" t="s">
        <v>338</v>
      </c>
      <c r="C53" s="1252" t="s">
        <v>340</v>
      </c>
      <c r="D53" s="1252"/>
      <c r="E53" s="444">
        <v>0</v>
      </c>
      <c r="F53" s="444">
        <v>0</v>
      </c>
      <c r="G53" s="444">
        <v>0</v>
      </c>
      <c r="H53" s="444">
        <v>0</v>
      </c>
      <c r="I53" s="445">
        <v>0</v>
      </c>
      <c r="J53" s="445">
        <v>0</v>
      </c>
      <c r="K53" s="444">
        <v>0</v>
      </c>
      <c r="L53" s="444">
        <v>0</v>
      </c>
      <c r="M53" s="444">
        <v>0</v>
      </c>
      <c r="N53" s="444">
        <v>0</v>
      </c>
      <c r="O53" s="444">
        <v>0</v>
      </c>
      <c r="P53" s="444">
        <v>0</v>
      </c>
      <c r="Q53" s="444">
        <v>0</v>
      </c>
      <c r="R53" s="444">
        <v>0</v>
      </c>
      <c r="S53" s="444">
        <v>0</v>
      </c>
      <c r="T53" s="444">
        <v>0</v>
      </c>
      <c r="U53" s="444">
        <v>3</v>
      </c>
      <c r="V53" s="444">
        <v>4</v>
      </c>
    </row>
    <row r="54" spans="1:22" ht="21.75" customHeight="1" thickBot="1">
      <c r="A54" s="143" t="s">
        <v>13</v>
      </c>
      <c r="B54" s="1267" t="s">
        <v>81</v>
      </c>
      <c r="C54" s="1267"/>
      <c r="D54" s="1267"/>
      <c r="E54" s="427">
        <f aca="true" t="shared" si="30" ref="E54:K54">E7+E21+E40+E48+E51+E32</f>
        <v>28639515</v>
      </c>
      <c r="F54" s="427">
        <f>F7+F21+F40+F48+F51+F32</f>
        <v>29548120</v>
      </c>
      <c r="G54" s="427">
        <f>G7+G21+G40+G48+G51+G32</f>
        <v>30320561</v>
      </c>
      <c r="H54" s="427">
        <f>H7+H21+H40+H48+H51+H32</f>
        <v>50865643</v>
      </c>
      <c r="I54" s="427">
        <f t="shared" si="30"/>
        <v>50529546</v>
      </c>
      <c r="J54" s="427">
        <f t="shared" si="30"/>
        <v>0</v>
      </c>
      <c r="K54" s="427">
        <f t="shared" si="30"/>
        <v>21066971</v>
      </c>
      <c r="L54" s="427">
        <f>L7+L21+L40+L48+L51+L32</f>
        <v>21975576</v>
      </c>
      <c r="M54" s="427">
        <f aca="true" t="shared" si="31" ref="M54:V54">M7+M21+M40+M48+M51+M32</f>
        <v>22633027</v>
      </c>
      <c r="N54" s="427">
        <f>N7+N21+N40+N48+N51+N32</f>
        <v>43365828</v>
      </c>
      <c r="O54" s="427">
        <f t="shared" si="31"/>
        <v>43834752.07646376</v>
      </c>
      <c r="P54" s="427">
        <f t="shared" si="31"/>
        <v>5546008</v>
      </c>
      <c r="Q54" s="427">
        <f t="shared" si="31"/>
        <v>7572544</v>
      </c>
      <c r="R54" s="427">
        <f t="shared" si="31"/>
        <v>7572544</v>
      </c>
      <c r="S54" s="427">
        <f t="shared" si="31"/>
        <v>7687534</v>
      </c>
      <c r="T54" s="427">
        <f>T7+T21+T40+T48+T51+T32</f>
        <v>7499815</v>
      </c>
      <c r="U54" s="427">
        <f t="shared" si="31"/>
        <v>164831.923536242</v>
      </c>
      <c r="V54" s="427">
        <f t="shared" si="31"/>
        <v>1334008</v>
      </c>
    </row>
    <row r="55" spans="1:22" ht="24" customHeight="1" thickBot="1">
      <c r="A55" s="139" t="s">
        <v>56</v>
      </c>
      <c r="B55" s="1257" t="s">
        <v>341</v>
      </c>
      <c r="C55" s="1257"/>
      <c r="D55" s="1257"/>
      <c r="E55" s="427">
        <f aca="true" t="shared" si="32" ref="E55:K55">SUM(E56:E58)</f>
        <v>38488264</v>
      </c>
      <c r="F55" s="427">
        <f>SUM(F56:F58)</f>
        <v>38488264</v>
      </c>
      <c r="G55" s="427">
        <f>SUM(G56:G58)</f>
        <v>36788264</v>
      </c>
      <c r="H55" s="427">
        <f>SUM(H56:H58)</f>
        <v>37447568</v>
      </c>
      <c r="I55" s="427">
        <f t="shared" si="32"/>
        <v>0</v>
      </c>
      <c r="J55" s="427">
        <f t="shared" si="32"/>
        <v>0</v>
      </c>
      <c r="K55" s="427">
        <f t="shared" si="32"/>
        <v>38488264</v>
      </c>
      <c r="L55" s="427">
        <f>SUM(L56:L58)</f>
        <v>38488264</v>
      </c>
      <c r="M55" s="427">
        <f aca="true" t="shared" si="33" ref="M55:V55">SUM(M56:M58)</f>
        <v>36788264</v>
      </c>
      <c r="N55" s="427">
        <f>SUM(N56:N58)</f>
        <v>37447568</v>
      </c>
      <c r="O55" s="427">
        <f t="shared" si="33"/>
        <v>0</v>
      </c>
      <c r="P55" s="427">
        <f t="shared" si="33"/>
        <v>0</v>
      </c>
      <c r="Q55" s="427">
        <f t="shared" si="33"/>
        <v>0</v>
      </c>
      <c r="R55" s="427">
        <f t="shared" si="33"/>
        <v>0</v>
      </c>
      <c r="S55" s="427">
        <f t="shared" si="33"/>
        <v>0</v>
      </c>
      <c r="T55" s="427">
        <f>SUM(T56:T58)</f>
        <v>0</v>
      </c>
      <c r="U55" s="427">
        <f t="shared" si="33"/>
        <v>0</v>
      </c>
      <c r="V55" s="427">
        <f t="shared" si="33"/>
        <v>0</v>
      </c>
    </row>
    <row r="56" spans="1:22" ht="21.75" customHeight="1">
      <c r="A56" s="137"/>
      <c r="B56" s="138" t="s">
        <v>45</v>
      </c>
      <c r="C56" s="1263" t="s">
        <v>342</v>
      </c>
      <c r="D56" s="1263"/>
      <c r="E56" s="446">
        <v>1700000</v>
      </c>
      <c r="F56" s="446">
        <v>1700000</v>
      </c>
      <c r="G56" s="446">
        <v>0</v>
      </c>
      <c r="H56" s="446">
        <v>0</v>
      </c>
      <c r="I56" s="340"/>
      <c r="J56" s="340"/>
      <c r="K56" s="446">
        <f aca="true" t="shared" si="34" ref="K56:P56">+E56-Q56</f>
        <v>1700000</v>
      </c>
      <c r="L56" s="446">
        <f t="shared" si="34"/>
        <v>1700000</v>
      </c>
      <c r="M56" s="446">
        <f t="shared" si="34"/>
        <v>0</v>
      </c>
      <c r="N56" s="446">
        <f t="shared" si="34"/>
        <v>0</v>
      </c>
      <c r="O56" s="446">
        <f t="shared" si="34"/>
        <v>0</v>
      </c>
      <c r="P56" s="446">
        <f t="shared" si="34"/>
        <v>0</v>
      </c>
      <c r="Q56" s="446"/>
      <c r="R56" s="446"/>
      <c r="S56" s="446"/>
      <c r="T56" s="446"/>
      <c r="U56" s="446"/>
      <c r="V56" s="446"/>
    </row>
    <row r="57" spans="1:22" ht="21.75" customHeight="1">
      <c r="A57" s="136"/>
      <c r="B57" s="133" t="s">
        <v>46</v>
      </c>
      <c r="C57" s="1263" t="s">
        <v>424</v>
      </c>
      <c r="D57" s="1263"/>
      <c r="E57" s="423"/>
      <c r="F57" s="423"/>
      <c r="G57" s="423"/>
      <c r="H57" s="423">
        <v>659048</v>
      </c>
      <c r="I57" s="338"/>
      <c r="J57" s="338"/>
      <c r="K57" s="423"/>
      <c r="L57" s="423"/>
      <c r="M57" s="423"/>
      <c r="N57" s="423">
        <f aca="true" t="shared" si="35" ref="K57:P58">H57-T57</f>
        <v>659048</v>
      </c>
      <c r="O57" s="423"/>
      <c r="P57" s="423"/>
      <c r="Q57" s="423"/>
      <c r="R57" s="423"/>
      <c r="S57" s="423"/>
      <c r="T57" s="423"/>
      <c r="U57" s="423"/>
      <c r="V57" s="423"/>
    </row>
    <row r="58" spans="1:22" ht="21.75" customHeight="1" thickBot="1">
      <c r="A58" s="136"/>
      <c r="B58" s="133" t="s">
        <v>80</v>
      </c>
      <c r="C58" s="1263" t="s">
        <v>343</v>
      </c>
      <c r="D58" s="1263"/>
      <c r="E58" s="423">
        <v>36788264</v>
      </c>
      <c r="F58" s="423">
        <v>36788264</v>
      </c>
      <c r="G58" s="423">
        <v>36788264</v>
      </c>
      <c r="H58" s="423">
        <v>36788520</v>
      </c>
      <c r="I58" s="338"/>
      <c r="J58" s="338"/>
      <c r="K58" s="423">
        <f t="shared" si="35"/>
        <v>36788264</v>
      </c>
      <c r="L58" s="423">
        <f t="shared" si="35"/>
        <v>36788264</v>
      </c>
      <c r="M58" s="423">
        <f t="shared" si="35"/>
        <v>36788264</v>
      </c>
      <c r="N58" s="423">
        <f t="shared" si="35"/>
        <v>36788520</v>
      </c>
      <c r="O58" s="423">
        <f t="shared" si="35"/>
        <v>0</v>
      </c>
      <c r="P58" s="423">
        <f t="shared" si="35"/>
        <v>0</v>
      </c>
      <c r="Q58" s="423"/>
      <c r="R58" s="423"/>
      <c r="S58" s="423"/>
      <c r="T58" s="423"/>
      <c r="U58" s="423"/>
      <c r="V58" s="423"/>
    </row>
    <row r="59" spans="1:22" ht="35.25" customHeight="1" thickBot="1">
      <c r="A59" s="143" t="s">
        <v>57</v>
      </c>
      <c r="B59" s="1266" t="s">
        <v>82</v>
      </c>
      <c r="C59" s="1266"/>
      <c r="D59" s="1266"/>
      <c r="E59" s="429">
        <f aca="true" t="shared" si="36" ref="E59:K59">E54+E55</f>
        <v>67127779</v>
      </c>
      <c r="F59" s="429">
        <f>F54+F55</f>
        <v>68036384</v>
      </c>
      <c r="G59" s="429">
        <f>G54+G55</f>
        <v>67108825</v>
      </c>
      <c r="H59" s="429">
        <f>H54+H55</f>
        <v>88313211</v>
      </c>
      <c r="I59" s="96">
        <f t="shared" si="36"/>
        <v>50529546</v>
      </c>
      <c r="J59" s="96">
        <f t="shared" si="36"/>
        <v>0</v>
      </c>
      <c r="K59" s="429">
        <f t="shared" si="36"/>
        <v>59555235</v>
      </c>
      <c r="L59" s="429">
        <f>L54+L55</f>
        <v>60463840</v>
      </c>
      <c r="M59" s="429">
        <f aca="true" t="shared" si="37" ref="M59:V59">M54+M55</f>
        <v>59421291</v>
      </c>
      <c r="N59" s="429">
        <f>N54+N55</f>
        <v>80813396</v>
      </c>
      <c r="O59" s="429">
        <f t="shared" si="37"/>
        <v>43834752.07646376</v>
      </c>
      <c r="P59" s="429">
        <f t="shared" si="37"/>
        <v>5546008</v>
      </c>
      <c r="Q59" s="429">
        <f t="shared" si="37"/>
        <v>7572544</v>
      </c>
      <c r="R59" s="429">
        <f t="shared" si="37"/>
        <v>7572544</v>
      </c>
      <c r="S59" s="429">
        <f t="shared" si="37"/>
        <v>7687534</v>
      </c>
      <c r="T59" s="429">
        <f>T54+T55</f>
        <v>7499815</v>
      </c>
      <c r="U59" s="429">
        <f t="shared" si="37"/>
        <v>164831.923536242</v>
      </c>
      <c r="V59" s="429">
        <f t="shared" si="37"/>
        <v>1334008</v>
      </c>
    </row>
    <row r="60" spans="1:22" ht="21.75" customHeight="1" hidden="1" thickBot="1">
      <c r="A60" s="1268" t="s">
        <v>210</v>
      </c>
      <c r="B60" s="1269"/>
      <c r="C60" s="1269"/>
      <c r="D60" s="1269"/>
      <c r="E60" s="739"/>
      <c r="F60" s="739"/>
      <c r="G60" s="739"/>
      <c r="H60" s="740"/>
      <c r="I60" s="740"/>
      <c r="J60" s="741"/>
      <c r="K60" s="739"/>
      <c r="L60" s="739"/>
      <c r="M60" s="740"/>
      <c r="N60" s="740"/>
      <c r="O60" s="740"/>
      <c r="P60" s="741"/>
      <c r="Q60" s="739"/>
      <c r="R60" s="740"/>
      <c r="S60" s="740"/>
      <c r="T60" s="740"/>
      <c r="U60" s="740"/>
      <c r="V60" s="740"/>
    </row>
    <row r="61" spans="1:22" ht="21.75" customHeight="1" hidden="1" thickBot="1">
      <c r="A61" s="1265" t="s">
        <v>6</v>
      </c>
      <c r="B61" s="1266"/>
      <c r="C61" s="1266"/>
      <c r="D61" s="1266"/>
      <c r="E61" s="505"/>
      <c r="F61" s="505"/>
      <c r="G61" s="505"/>
      <c r="H61" s="506"/>
      <c r="I61" s="506"/>
      <c r="J61" s="507"/>
      <c r="K61" s="505"/>
      <c r="L61" s="505"/>
      <c r="M61" s="506"/>
      <c r="N61" s="506"/>
      <c r="O61" s="506"/>
      <c r="P61" s="507"/>
      <c r="Q61" s="505"/>
      <c r="R61" s="506"/>
      <c r="S61" s="506"/>
      <c r="T61" s="506"/>
      <c r="U61" s="506"/>
      <c r="V61" s="506"/>
    </row>
    <row r="62" spans="1:22" ht="21.75" customHeight="1">
      <c r="A62" s="742"/>
      <c r="B62" s="743"/>
      <c r="C62" s="743"/>
      <c r="D62" s="743"/>
      <c r="E62" s="744"/>
      <c r="F62" s="1216"/>
      <c r="G62" s="1216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</row>
    <row r="63" spans="1:22" ht="21.75" customHeight="1">
      <c r="A63" s="121"/>
      <c r="B63" s="168"/>
      <c r="C63" s="168"/>
      <c r="D63" s="168"/>
      <c r="E63" s="390"/>
      <c r="F63" s="390"/>
      <c r="G63" s="390"/>
      <c r="H63" s="390"/>
      <c r="I63" s="390"/>
      <c r="J63" s="390"/>
      <c r="K63" s="390"/>
      <c r="L63" s="390"/>
      <c r="U63" s="389"/>
      <c r="V63" s="389"/>
    </row>
    <row r="64" spans="1:20" ht="35.25" customHeight="1">
      <c r="A64" s="121"/>
      <c r="B64" s="168"/>
      <c r="C64" s="168"/>
      <c r="D64" s="168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R64" s="390"/>
      <c r="S64" s="390"/>
      <c r="T64" s="390"/>
    </row>
    <row r="65" spans="1:20" ht="35.25" customHeight="1">
      <c r="A65" s="121"/>
      <c r="B65" s="168"/>
      <c r="C65" s="168"/>
      <c r="D65" s="168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R65" s="390"/>
      <c r="S65" s="390"/>
      <c r="T65" s="390"/>
    </row>
    <row r="66" spans="5:20" ht="12.75"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R66" s="390"/>
      <c r="S66" s="390"/>
      <c r="T66" s="390"/>
    </row>
    <row r="67" spans="5:20" ht="12.75"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R67" s="390"/>
      <c r="S67" s="390"/>
      <c r="T67" s="390"/>
    </row>
    <row r="68" spans="5:20" ht="12.75"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R68" s="390"/>
      <c r="S68" s="390"/>
      <c r="T68" s="390"/>
    </row>
    <row r="69" spans="4:20" ht="12.75">
      <c r="D69" s="13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R69" s="390"/>
      <c r="S69" s="390"/>
      <c r="T69" s="390"/>
    </row>
    <row r="70" spans="4:20" ht="48.75" customHeight="1">
      <c r="D70" s="13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R70" s="390"/>
      <c r="S70" s="390"/>
      <c r="T70" s="390"/>
    </row>
    <row r="71" spans="4:20" ht="46.5" customHeight="1">
      <c r="D71" s="13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R71" s="390"/>
      <c r="S71" s="390"/>
      <c r="T71" s="390"/>
    </row>
    <row r="72" spans="5:20" ht="41.25" customHeight="1"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R72" s="390"/>
      <c r="S72" s="390"/>
      <c r="T72" s="390"/>
    </row>
    <row r="73" spans="5:20" ht="12.75"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R73" s="390"/>
      <c r="S73" s="390"/>
      <c r="T73" s="390"/>
    </row>
    <row r="74" spans="5:20" ht="12.75"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R74" s="390"/>
      <c r="S74" s="390"/>
      <c r="T74" s="390"/>
    </row>
    <row r="75" spans="5:20" ht="12.75"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R75" s="390"/>
      <c r="S75" s="390"/>
      <c r="T75" s="390"/>
    </row>
    <row r="76" spans="5:20" ht="12.75"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R76" s="390"/>
      <c r="S76" s="390"/>
      <c r="T76" s="390"/>
    </row>
    <row r="77" spans="5:20" ht="12.75"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R77" s="390"/>
      <c r="S77" s="390"/>
      <c r="T77" s="390"/>
    </row>
    <row r="78" spans="5:20" ht="12.75"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R78" s="390"/>
      <c r="S78" s="390"/>
      <c r="T78" s="390"/>
    </row>
    <row r="79" spans="5:20" ht="12.75"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R79" s="390"/>
      <c r="S79" s="390"/>
      <c r="T79" s="390"/>
    </row>
    <row r="80" spans="5:20" ht="12.75"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R80" s="390"/>
      <c r="S80" s="390"/>
      <c r="T80" s="390"/>
    </row>
    <row r="81" spans="5:20" ht="12.75"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R81" s="390"/>
      <c r="S81" s="390"/>
      <c r="T81" s="390"/>
    </row>
    <row r="82" spans="5:20" ht="12.75"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R82" s="390"/>
      <c r="S82" s="390"/>
      <c r="T82" s="390"/>
    </row>
    <row r="83" spans="5:20" ht="12.75"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R83" s="390"/>
      <c r="S83" s="390"/>
      <c r="T83" s="390"/>
    </row>
    <row r="84" spans="5:20" ht="12.75"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R84" s="390"/>
      <c r="S84" s="390"/>
      <c r="T84" s="390"/>
    </row>
    <row r="85" spans="5:20" ht="12.75"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R85" s="390"/>
      <c r="S85" s="390"/>
      <c r="T85" s="390"/>
    </row>
    <row r="86" spans="5:20" ht="12.75"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R86" s="390"/>
      <c r="S86" s="390"/>
      <c r="T86" s="390"/>
    </row>
    <row r="87" spans="5:20" ht="12.75"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R87" s="390"/>
      <c r="S87" s="390"/>
      <c r="T87" s="390"/>
    </row>
    <row r="88" spans="5:20" ht="12.75"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R88" s="390"/>
      <c r="S88" s="390"/>
      <c r="T88" s="390"/>
    </row>
    <row r="89" spans="5:20" ht="12.75"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R89" s="390"/>
      <c r="S89" s="390"/>
      <c r="T89" s="390"/>
    </row>
    <row r="90" spans="5:20" ht="12.75"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R90" s="390"/>
      <c r="S90" s="390"/>
      <c r="T90" s="390"/>
    </row>
    <row r="91" spans="5:20" ht="12.75"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R91" s="390"/>
      <c r="S91" s="390"/>
      <c r="T91" s="390"/>
    </row>
    <row r="92" spans="5:20" ht="12.75"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R92" s="390"/>
      <c r="S92" s="390"/>
      <c r="T92" s="390"/>
    </row>
    <row r="93" spans="5:20" ht="12.75"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R93" s="390"/>
      <c r="S93" s="390"/>
      <c r="T93" s="390"/>
    </row>
    <row r="94" spans="5:20" ht="12.75"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R94" s="390"/>
      <c r="S94" s="390"/>
      <c r="T94" s="390"/>
    </row>
    <row r="95" spans="5:20" ht="12.75"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R95" s="390"/>
      <c r="S95" s="390"/>
      <c r="T95" s="390"/>
    </row>
    <row r="96" spans="5:20" ht="12.75"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R96" s="390"/>
      <c r="S96" s="390"/>
      <c r="T96" s="390"/>
    </row>
    <row r="97" spans="5:20" ht="12.75"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R97" s="390"/>
      <c r="S97" s="390"/>
      <c r="T97" s="390"/>
    </row>
    <row r="98" spans="5:20" ht="12.75"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R98" s="390"/>
      <c r="S98" s="390"/>
      <c r="T98" s="390"/>
    </row>
    <row r="99" spans="5:20" ht="12.75"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R99" s="390"/>
      <c r="S99" s="390"/>
      <c r="T99" s="390"/>
    </row>
    <row r="100" spans="5:20" ht="12.75"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R100" s="390"/>
      <c r="S100" s="390"/>
      <c r="T100" s="390"/>
    </row>
    <row r="101" spans="5:20" ht="12.75"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R101" s="390"/>
      <c r="S101" s="390"/>
      <c r="T101" s="390"/>
    </row>
    <row r="102" spans="5:20" ht="12.75"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R102" s="390"/>
      <c r="S102" s="390"/>
      <c r="T102" s="390"/>
    </row>
    <row r="103" spans="5:20" ht="12.75"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R103" s="390"/>
      <c r="S103" s="390"/>
      <c r="T103" s="390"/>
    </row>
    <row r="104" spans="5:20" ht="12.75">
      <c r="E104" s="390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R104" s="390"/>
      <c r="S104" s="390"/>
      <c r="T104" s="390"/>
    </row>
    <row r="105" spans="5:20" ht="12.75"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R105" s="390"/>
      <c r="S105" s="390"/>
      <c r="T105" s="390"/>
    </row>
    <row r="106" spans="5:20" ht="12.75"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R106" s="390"/>
      <c r="S106" s="390"/>
      <c r="T106" s="390"/>
    </row>
    <row r="107" spans="5:20" ht="12.75"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R107" s="390"/>
      <c r="S107" s="390"/>
      <c r="T107" s="390"/>
    </row>
    <row r="108" spans="5:20" ht="12.75"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R108" s="390"/>
      <c r="S108" s="390"/>
      <c r="T108" s="390"/>
    </row>
    <row r="109" spans="5:20" ht="12.75"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R109" s="390"/>
      <c r="S109" s="390"/>
      <c r="T109" s="390"/>
    </row>
    <row r="110" spans="5:20" ht="12.75"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R110" s="390"/>
      <c r="S110" s="390"/>
      <c r="T110" s="390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F25">
      <selection activeCell="T36" activeCellId="1" sqref="N36 T36"/>
    </sheetView>
  </sheetViews>
  <sheetFormatPr defaultColWidth="9.140625" defaultRowHeight="12.75"/>
  <cols>
    <col min="1" max="1" width="5.8515625" style="151" customWidth="1"/>
    <col min="2" max="2" width="8.140625" style="158" customWidth="1"/>
    <col min="3" max="3" width="6.8515625" style="158" customWidth="1"/>
    <col min="4" max="4" width="50.140625" style="159" bestFit="1" customWidth="1"/>
    <col min="5" max="5" width="17.421875" style="1" customWidth="1"/>
    <col min="6" max="8" width="16.28125" style="1" customWidth="1"/>
    <col min="9" max="10" width="16.28125" style="1" hidden="1" customWidth="1"/>
    <col min="11" max="14" width="16.28125" style="98" customWidth="1"/>
    <col min="15" max="16" width="16.28125" style="98" hidden="1" customWidth="1"/>
    <col min="17" max="18" width="16.28125" style="98" customWidth="1"/>
    <col min="19" max="20" width="16.28125" style="1" customWidth="1"/>
    <col min="21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26" t="s">
        <v>54</v>
      </c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1326"/>
    </row>
    <row r="2" spans="1:18" ht="37.5" customHeight="1">
      <c r="A2" s="1327" t="s">
        <v>493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286"/>
    </row>
    <row r="3" spans="1:17" ht="14.25" customHeight="1" thickBot="1">
      <c r="A3" s="121"/>
      <c r="B3" s="150"/>
      <c r="C3" s="150"/>
      <c r="D3" s="160"/>
      <c r="Q3" s="930" t="s">
        <v>387</v>
      </c>
    </row>
    <row r="4" spans="1:22" s="2" customFormat="1" ht="48.75" customHeight="1" thickBot="1">
      <c r="A4" s="1291" t="s">
        <v>3</v>
      </c>
      <c r="B4" s="1267"/>
      <c r="C4" s="1267"/>
      <c r="D4" s="1267"/>
      <c r="E4" s="355" t="s">
        <v>4</v>
      </c>
      <c r="F4" s="355"/>
      <c r="G4" s="355"/>
      <c r="H4" s="355"/>
      <c r="I4" s="355"/>
      <c r="J4" s="355"/>
      <c r="K4" s="355" t="s">
        <v>64</v>
      </c>
      <c r="L4" s="355"/>
      <c r="M4" s="355"/>
      <c r="N4" s="355"/>
      <c r="O4" s="355"/>
      <c r="P4" s="355"/>
      <c r="Q4" s="1291" t="s">
        <v>65</v>
      </c>
      <c r="R4" s="1267"/>
      <c r="S4" s="1267"/>
      <c r="T4" s="1267"/>
      <c r="U4" s="1267"/>
      <c r="V4" s="1294"/>
    </row>
    <row r="5" spans="1:22" s="2" customFormat="1" ht="16.5" thickBot="1">
      <c r="A5" s="351"/>
      <c r="B5" s="349"/>
      <c r="C5" s="349"/>
      <c r="D5" s="349"/>
      <c r="E5" s="495" t="s">
        <v>70</v>
      </c>
      <c r="F5" s="496" t="s">
        <v>189</v>
      </c>
      <c r="G5" s="497" t="s">
        <v>193</v>
      </c>
      <c r="H5" s="1020" t="s">
        <v>197</v>
      </c>
      <c r="I5" s="496" t="s">
        <v>211</v>
      </c>
      <c r="J5" s="502" t="s">
        <v>244</v>
      </c>
      <c r="K5" s="495" t="s">
        <v>70</v>
      </c>
      <c r="L5" s="496" t="s">
        <v>189</v>
      </c>
      <c r="M5" s="496" t="s">
        <v>193</v>
      </c>
      <c r="N5" s="496" t="s">
        <v>197</v>
      </c>
      <c r="O5" s="496" t="s">
        <v>211</v>
      </c>
      <c r="P5" s="502" t="s">
        <v>244</v>
      </c>
      <c r="Q5" s="495" t="s">
        <v>70</v>
      </c>
      <c r="R5" s="496" t="s">
        <v>189</v>
      </c>
      <c r="S5" s="496" t="s">
        <v>193</v>
      </c>
      <c r="T5" s="496" t="s">
        <v>197</v>
      </c>
      <c r="U5" s="496" t="s">
        <v>211</v>
      </c>
      <c r="V5" s="502" t="s">
        <v>244</v>
      </c>
    </row>
    <row r="6" spans="1:22" s="97" customFormat="1" ht="22.5" customHeight="1" thickBot="1">
      <c r="A6" s="143" t="s">
        <v>25</v>
      </c>
      <c r="B6" s="1293" t="s">
        <v>83</v>
      </c>
      <c r="C6" s="1293"/>
      <c r="D6" s="1293"/>
      <c r="E6" s="427">
        <f aca="true" t="shared" si="0" ref="E6:V6">SUM(E7:E11)</f>
        <v>23703150</v>
      </c>
      <c r="F6" s="427">
        <f>SUM(F7:F11)</f>
        <v>23703150</v>
      </c>
      <c r="G6" s="427">
        <f>SUM(G7:G11)</f>
        <v>24059137</v>
      </c>
      <c r="H6" s="427">
        <f>SUM(H7:H11)</f>
        <v>27061640</v>
      </c>
      <c r="I6" s="339">
        <f t="shared" si="0"/>
        <v>0</v>
      </c>
      <c r="J6" s="339">
        <f t="shared" si="0"/>
        <v>0</v>
      </c>
      <c r="K6" s="427">
        <f t="shared" si="0"/>
        <v>16710606</v>
      </c>
      <c r="L6" s="427">
        <f t="shared" si="0"/>
        <v>16710606</v>
      </c>
      <c r="M6" s="427">
        <f>SUM(M7:M11)</f>
        <v>17066593</v>
      </c>
      <c r="N6" s="427">
        <f>SUM(N7:N11)</f>
        <v>20256815</v>
      </c>
      <c r="O6" s="427">
        <f>SUM(O7:O11)</f>
        <v>-164824.0764637584</v>
      </c>
      <c r="P6" s="427">
        <f>SUM(P7:P11)</f>
        <v>1334000</v>
      </c>
      <c r="Q6" s="427">
        <f t="shared" si="0"/>
        <v>6992544</v>
      </c>
      <c r="R6" s="427">
        <f t="shared" si="0"/>
        <v>6992544</v>
      </c>
      <c r="S6" s="427">
        <f>SUM(S7:S11)</f>
        <v>6992544</v>
      </c>
      <c r="T6" s="427">
        <f>SUM(T7:T11)</f>
        <v>6804825</v>
      </c>
      <c r="U6" s="339">
        <f t="shared" si="0"/>
        <v>164825.9235362416</v>
      </c>
      <c r="V6" s="339">
        <f t="shared" si="0"/>
        <v>1334000</v>
      </c>
    </row>
    <row r="7" spans="1:22" s="5" customFormat="1" ht="22.5" customHeight="1">
      <c r="A7" s="142"/>
      <c r="B7" s="147" t="s">
        <v>34</v>
      </c>
      <c r="C7" s="147"/>
      <c r="D7" s="417" t="s">
        <v>0</v>
      </c>
      <c r="E7" s="428">
        <v>7987165</v>
      </c>
      <c r="F7" s="428">
        <v>7987165</v>
      </c>
      <c r="G7" s="428">
        <v>7987165</v>
      </c>
      <c r="H7" s="428">
        <v>8368715</v>
      </c>
      <c r="I7" s="341"/>
      <c r="J7" s="341"/>
      <c r="K7" s="341">
        <f>E7-Q7</f>
        <v>7187165</v>
      </c>
      <c r="L7" s="341">
        <f>F7-R7</f>
        <v>7187165</v>
      </c>
      <c r="M7" s="341">
        <f aca="true" t="shared" si="1" ref="M7:P8">G7-S7</f>
        <v>7187165</v>
      </c>
      <c r="N7" s="341">
        <f t="shared" si="1"/>
        <v>7568715</v>
      </c>
      <c r="O7" s="341">
        <f t="shared" si="1"/>
        <v>0</v>
      </c>
      <c r="P7" s="341">
        <f t="shared" si="1"/>
        <v>0</v>
      </c>
      <c r="Q7" s="341">
        <v>800000</v>
      </c>
      <c r="R7" s="341">
        <v>800000</v>
      </c>
      <c r="S7" s="341">
        <v>800000</v>
      </c>
      <c r="T7" s="341">
        <v>800000</v>
      </c>
      <c r="U7" s="341"/>
      <c r="V7" s="341"/>
    </row>
    <row r="8" spans="1:22" s="5" customFormat="1" ht="22.5" customHeight="1">
      <c r="A8" s="125"/>
      <c r="B8" s="134" t="s">
        <v>35</v>
      </c>
      <c r="C8" s="134"/>
      <c r="D8" s="418" t="s">
        <v>84</v>
      </c>
      <c r="E8" s="498">
        <v>1390555</v>
      </c>
      <c r="F8" s="498">
        <v>1390555</v>
      </c>
      <c r="G8" s="498">
        <v>1390555</v>
      </c>
      <c r="H8" s="498">
        <v>1424495</v>
      </c>
      <c r="I8" s="499"/>
      <c r="J8" s="499"/>
      <c r="K8" s="341">
        <f>E8-Q8</f>
        <v>1230555</v>
      </c>
      <c r="L8" s="341">
        <f>F8-R8</f>
        <v>1230555</v>
      </c>
      <c r="M8" s="341">
        <f t="shared" si="1"/>
        <v>1230555</v>
      </c>
      <c r="N8" s="341">
        <f t="shared" si="1"/>
        <v>1264495</v>
      </c>
      <c r="O8" s="341">
        <f t="shared" si="1"/>
        <v>0</v>
      </c>
      <c r="P8" s="341">
        <f t="shared" si="1"/>
        <v>0</v>
      </c>
      <c r="Q8" s="499">
        <v>160000</v>
      </c>
      <c r="R8" s="499">
        <v>160000</v>
      </c>
      <c r="S8" s="499">
        <v>160000</v>
      </c>
      <c r="T8" s="499">
        <v>160000</v>
      </c>
      <c r="U8" s="499"/>
      <c r="V8" s="499"/>
    </row>
    <row r="9" spans="1:22" s="5" customFormat="1" ht="22.5" customHeight="1">
      <c r="A9" s="125"/>
      <c r="B9" s="134" t="s">
        <v>36</v>
      </c>
      <c r="C9" s="134"/>
      <c r="D9" s="418" t="s">
        <v>85</v>
      </c>
      <c r="E9" s="498">
        <v>12118456</v>
      </c>
      <c r="F9" s="498">
        <v>12118456</v>
      </c>
      <c r="G9" s="498">
        <v>12469443</v>
      </c>
      <c r="H9" s="498">
        <v>15453214</v>
      </c>
      <c r="I9" s="499"/>
      <c r="J9" s="499"/>
      <c r="K9" s="341">
        <f>+'7.sz.m.Dologi kiadás (2)'!J28</f>
        <v>6548456</v>
      </c>
      <c r="L9" s="341">
        <f>+'7.sz.m.Dologi kiadás (2)'!K28</f>
        <v>6548456</v>
      </c>
      <c r="M9" s="341">
        <f>+'7.sz.m.Dologi kiadás (2)'!L28</f>
        <v>6899443</v>
      </c>
      <c r="N9" s="341">
        <f>+'7.sz.m.Dologi kiadás (2)'!M28</f>
        <v>9883214</v>
      </c>
      <c r="O9" s="341">
        <f>+'7.sz.m.Dologi kiadás (2)'!N28</f>
        <v>0</v>
      </c>
      <c r="P9" s="341">
        <f>+'7.sz.m.Dologi kiadás (2)'!O28</f>
        <v>0</v>
      </c>
      <c r="Q9" s="499">
        <f>+'7.sz.m.Dologi kiadás (2)'!P28</f>
        <v>5570000</v>
      </c>
      <c r="R9" s="499">
        <f>+'7.sz.m.Dologi kiadás (2)'!Q28</f>
        <v>5570000</v>
      </c>
      <c r="S9" s="499">
        <f>+'7.sz.m.Dologi kiadás (2)'!R28</f>
        <v>5570000</v>
      </c>
      <c r="T9" s="499">
        <f>+'7.sz.m.Dologi kiadás (2)'!S28</f>
        <v>5570000</v>
      </c>
      <c r="U9" s="499"/>
      <c r="V9" s="499"/>
    </row>
    <row r="10" spans="1:22" s="5" customFormat="1" ht="22.5" customHeight="1">
      <c r="A10" s="125"/>
      <c r="B10" s="134" t="s">
        <v>47</v>
      </c>
      <c r="C10" s="134"/>
      <c r="D10" s="418" t="s">
        <v>86</v>
      </c>
      <c r="E10" s="423">
        <v>1334000</v>
      </c>
      <c r="F10" s="423">
        <v>1334000</v>
      </c>
      <c r="G10" s="423">
        <v>1411623</v>
      </c>
      <c r="H10" s="423">
        <v>1303685</v>
      </c>
      <c r="I10" s="338"/>
      <c r="J10" s="338"/>
      <c r="K10" s="338">
        <f>+'8.sz.m.szociális kiadások'!C17</f>
        <v>1334000</v>
      </c>
      <c r="L10" s="338">
        <f>+'8.sz.m.szociális kiadások'!D17</f>
        <v>1334000</v>
      </c>
      <c r="M10" s="338">
        <f>+'8.sz.m.szociális kiadások'!E17</f>
        <v>1411623</v>
      </c>
      <c r="N10" s="338">
        <f>+'8.sz.m.szociális kiadások'!F17</f>
        <v>1303685</v>
      </c>
      <c r="O10" s="338">
        <f>+'8.sz.m.szociális kiadások'!H17</f>
        <v>0.9235362416169189</v>
      </c>
      <c r="P10" s="338">
        <f>+'8.sz.m.szociális kiadások'!I17</f>
        <v>1334000</v>
      </c>
      <c r="Q10" s="338"/>
      <c r="R10" s="338"/>
      <c r="S10" s="338"/>
      <c r="T10" s="338"/>
      <c r="U10" s="338">
        <f>'8.sz.m.szociális kiadások'!H17</f>
        <v>0.9235362416169189</v>
      </c>
      <c r="V10" s="338">
        <f>'8.sz.m.szociális kiadások'!I17</f>
        <v>1334000</v>
      </c>
    </row>
    <row r="11" spans="1:22" s="5" customFormat="1" ht="22.5" customHeight="1">
      <c r="A11" s="125"/>
      <c r="B11" s="134" t="s">
        <v>48</v>
      </c>
      <c r="C11" s="134"/>
      <c r="D11" s="419" t="s">
        <v>88</v>
      </c>
      <c r="E11" s="498">
        <f>SUM(E12:E14)</f>
        <v>872974</v>
      </c>
      <c r="F11" s="498">
        <f>SUM(F12:F14)</f>
        <v>872974</v>
      </c>
      <c r="G11" s="498">
        <f>SUM(G12:G14)</f>
        <v>800351</v>
      </c>
      <c r="H11" s="498">
        <f>SUM(H12:H14)</f>
        <v>511531</v>
      </c>
      <c r="I11" s="499">
        <f>SUM(I12:I16)</f>
        <v>0</v>
      </c>
      <c r="J11" s="499">
        <f>SUM(J12:J16)</f>
        <v>0</v>
      </c>
      <c r="K11" s="499">
        <f aca="true" t="shared" si="2" ref="K11:P11">E11-Q11</f>
        <v>410430</v>
      </c>
      <c r="L11" s="499">
        <f t="shared" si="2"/>
        <v>410430</v>
      </c>
      <c r="M11" s="499">
        <f t="shared" si="2"/>
        <v>337807</v>
      </c>
      <c r="N11" s="499">
        <f t="shared" si="2"/>
        <v>236706</v>
      </c>
      <c r="O11" s="499">
        <f t="shared" si="2"/>
        <v>-164825</v>
      </c>
      <c r="P11" s="499">
        <f t="shared" si="2"/>
        <v>0</v>
      </c>
      <c r="Q11" s="499">
        <f aca="true" t="shared" si="3" ref="Q11:V11">SUM(Q12:Q16)</f>
        <v>462544</v>
      </c>
      <c r="R11" s="499">
        <f>SUM(R12:R16)</f>
        <v>462544</v>
      </c>
      <c r="S11" s="499">
        <f>SUM(S12:S16)</f>
        <v>462544</v>
      </c>
      <c r="T11" s="499">
        <f>SUM(T12:T16)</f>
        <v>274825</v>
      </c>
      <c r="U11" s="499">
        <f t="shared" si="3"/>
        <v>164825</v>
      </c>
      <c r="V11" s="499">
        <f t="shared" si="3"/>
        <v>0</v>
      </c>
    </row>
    <row r="12" spans="1:22" s="5" customFormat="1" ht="22.5" customHeight="1">
      <c r="A12" s="125"/>
      <c r="B12" s="157"/>
      <c r="C12" s="134" t="s">
        <v>87</v>
      </c>
      <c r="D12" s="420" t="s">
        <v>286</v>
      </c>
      <c r="E12" s="423"/>
      <c r="F12" s="423"/>
      <c r="G12" s="423"/>
      <c r="H12" s="423"/>
      <c r="I12" s="338"/>
      <c r="J12" s="338"/>
      <c r="K12" s="338">
        <v>0</v>
      </c>
      <c r="L12" s="338">
        <v>0</v>
      </c>
      <c r="M12" s="338">
        <v>0</v>
      </c>
      <c r="N12" s="338">
        <v>0</v>
      </c>
      <c r="O12" s="338">
        <v>3</v>
      </c>
      <c r="P12" s="338">
        <v>4</v>
      </c>
      <c r="Q12" s="338">
        <v>0</v>
      </c>
      <c r="R12" s="338">
        <v>0</v>
      </c>
      <c r="S12" s="338">
        <v>0</v>
      </c>
      <c r="T12" s="338">
        <v>0</v>
      </c>
      <c r="U12" s="338"/>
      <c r="V12" s="338"/>
    </row>
    <row r="13" spans="1:22" s="5" customFormat="1" ht="31.5" customHeight="1">
      <c r="A13" s="125"/>
      <c r="B13" s="134"/>
      <c r="C13" s="134" t="s">
        <v>89</v>
      </c>
      <c r="D13" s="418" t="s">
        <v>287</v>
      </c>
      <c r="E13" s="423">
        <v>312000</v>
      </c>
      <c r="F13" s="423">
        <v>312000</v>
      </c>
      <c r="G13" s="423">
        <v>312000</v>
      </c>
      <c r="H13" s="423">
        <v>274825</v>
      </c>
      <c r="I13" s="338"/>
      <c r="J13" s="338"/>
      <c r="K13" s="338">
        <f>'9.sz.m.átadott pe (2)'!B27</f>
        <v>0</v>
      </c>
      <c r="L13" s="338">
        <f>'9.sz.m.átadott pe (2)'!C27</f>
        <v>0</v>
      </c>
      <c r="M13" s="338">
        <f>'9.sz.m.átadott pe (2)'!D27</f>
        <v>0</v>
      </c>
      <c r="N13" s="338">
        <f>'9.sz.m.átadott pe (2)'!E27</f>
        <v>0</v>
      </c>
      <c r="O13" s="338">
        <f>'9.sz.m.átadott pe (2)'!F27</f>
        <v>0</v>
      </c>
      <c r="P13" s="338">
        <f>'9.sz.m.átadott pe (2)'!G27</f>
        <v>312000</v>
      </c>
      <c r="Q13" s="338">
        <f>'9.sz.m.átadott pe (2)'!G27</f>
        <v>312000</v>
      </c>
      <c r="R13" s="338">
        <f>'9.sz.m.átadott pe (2)'!H27</f>
        <v>312000</v>
      </c>
      <c r="S13" s="338">
        <f>'9.sz.m.átadott pe (2)'!I27</f>
        <v>312000</v>
      </c>
      <c r="T13" s="338">
        <f>'9.sz.m.átadott pe (2)'!J27</f>
        <v>274825</v>
      </c>
      <c r="U13" s="338">
        <f>'9.sz.m.átadott pe (2)'!K27</f>
        <v>164825</v>
      </c>
      <c r="V13" s="338">
        <f>'9.sz.m.átadott pe (2)'!L27</f>
        <v>0</v>
      </c>
    </row>
    <row r="14" spans="1:22" s="5" customFormat="1" ht="36.75" customHeight="1" thickBot="1">
      <c r="A14" s="153"/>
      <c r="B14" s="154"/>
      <c r="C14" s="134" t="s">
        <v>90</v>
      </c>
      <c r="D14" s="418" t="s">
        <v>288</v>
      </c>
      <c r="E14" s="423">
        <v>560974</v>
      </c>
      <c r="F14" s="423">
        <v>560974</v>
      </c>
      <c r="G14" s="423">
        <v>488351</v>
      </c>
      <c r="H14" s="423">
        <v>236706</v>
      </c>
      <c r="I14" s="338"/>
      <c r="J14" s="751"/>
      <c r="K14" s="338">
        <f>'9.sz.m.átadott pe (2)'!B52</f>
        <v>410430</v>
      </c>
      <c r="L14" s="338">
        <f>'9.sz.m.átadott pe (2)'!C52</f>
        <v>410430</v>
      </c>
      <c r="M14" s="338">
        <f>'9.sz.m.átadott pe (2)'!D52</f>
        <v>337807</v>
      </c>
      <c r="N14" s="338">
        <f>'9.sz.m.átadott pe (2)'!E52</f>
        <v>236706</v>
      </c>
      <c r="O14" s="338">
        <f>'9.sz.m.átadott pe (2)'!F52</f>
        <v>0</v>
      </c>
      <c r="P14" s="338">
        <f>'9.sz.m.átadott pe (2)'!G52</f>
        <v>150544</v>
      </c>
      <c r="Q14" s="338">
        <f>'9.sz.m.átadott pe (2)'!G52</f>
        <v>150544</v>
      </c>
      <c r="R14" s="338">
        <f>'9.sz.m.átadott pe (2)'!H52</f>
        <v>150544</v>
      </c>
      <c r="S14" s="338">
        <f>'9.sz.m.átadott pe (2)'!I52</f>
        <v>150544</v>
      </c>
      <c r="T14" s="338">
        <f>'9.sz.m.átadott pe (2)'!J52</f>
        <v>0</v>
      </c>
      <c r="U14" s="338">
        <f>'9.sz.m.átadott pe (2)'!K52</f>
        <v>0</v>
      </c>
      <c r="V14" s="338">
        <f>'9.sz.m.átadott pe (2)'!L52</f>
        <v>0</v>
      </c>
    </row>
    <row r="15" spans="1:22" s="5" customFormat="1" ht="22.5" customHeight="1" hidden="1">
      <c r="A15" s="125"/>
      <c r="B15" s="134"/>
      <c r="C15" s="134" t="s">
        <v>93</v>
      </c>
      <c r="D15" s="418" t="s">
        <v>95</v>
      </c>
      <c r="E15" s="498"/>
      <c r="F15" s="498"/>
      <c r="G15" s="498"/>
      <c r="H15" s="498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</row>
    <row r="16" spans="1:22" s="5" customFormat="1" ht="22.5" customHeight="1" hidden="1" thickBot="1">
      <c r="A16" s="161"/>
      <c r="B16" s="148"/>
      <c r="C16" s="148" t="s">
        <v>94</v>
      </c>
      <c r="D16" s="421" t="s">
        <v>96</v>
      </c>
      <c r="E16" s="433"/>
      <c r="F16" s="433"/>
      <c r="G16" s="433"/>
      <c r="H16" s="43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</row>
    <row r="17" spans="1:22" s="5" customFormat="1" ht="22.5" customHeight="1" thickBot="1">
      <c r="A17" s="143" t="s">
        <v>26</v>
      </c>
      <c r="B17" s="1293" t="s">
        <v>97</v>
      </c>
      <c r="C17" s="1293"/>
      <c r="D17" s="1293"/>
      <c r="E17" s="429">
        <f aca="true" t="shared" si="4" ref="E17:J17">SUM(E18:E20)</f>
        <v>38982636</v>
      </c>
      <c r="F17" s="429">
        <f>SUM(F18:F20)</f>
        <v>38998399</v>
      </c>
      <c r="G17" s="429">
        <f>SUM(G18:G20)</f>
        <v>40445207</v>
      </c>
      <c r="H17" s="429">
        <f>SUM(H18:H20)</f>
        <v>60600956</v>
      </c>
      <c r="I17" s="96">
        <f t="shared" si="4"/>
        <v>0</v>
      </c>
      <c r="J17" s="96">
        <f t="shared" si="4"/>
        <v>0</v>
      </c>
      <c r="K17" s="96">
        <f aca="true" t="shared" si="5" ref="K17:P17">SUM(K18:K20)</f>
        <v>38402636</v>
      </c>
      <c r="L17" s="96">
        <f t="shared" si="5"/>
        <v>38418399</v>
      </c>
      <c r="M17" s="96">
        <f t="shared" si="5"/>
        <v>39750217</v>
      </c>
      <c r="N17" s="96">
        <f>SUM(N18:N20)</f>
        <v>59905966</v>
      </c>
      <c r="O17" s="96">
        <f t="shared" si="5"/>
        <v>1.1905863777124208</v>
      </c>
      <c r="P17" s="96">
        <f t="shared" si="5"/>
        <v>32048314</v>
      </c>
      <c r="Q17" s="96">
        <f aca="true" t="shared" si="6" ref="Q17:V17">SUM(Q18:Q20)</f>
        <v>580000</v>
      </c>
      <c r="R17" s="96">
        <f>SUM(R18:R20)</f>
        <v>580000</v>
      </c>
      <c r="S17" s="96">
        <f>SUM(S18:S20)</f>
        <v>694990</v>
      </c>
      <c r="T17" s="96">
        <f>SUM(T18:T20)</f>
        <v>694990</v>
      </c>
      <c r="U17" s="96">
        <f t="shared" si="6"/>
        <v>0</v>
      </c>
      <c r="V17" s="96">
        <f t="shared" si="6"/>
        <v>0</v>
      </c>
    </row>
    <row r="18" spans="1:22" s="5" customFormat="1" ht="22.5" customHeight="1">
      <c r="A18" s="142"/>
      <c r="B18" s="147" t="s">
        <v>37</v>
      </c>
      <c r="C18" s="1302" t="s">
        <v>98</v>
      </c>
      <c r="D18" s="1302"/>
      <c r="E18" s="428">
        <v>6295345</v>
      </c>
      <c r="F18" s="428">
        <v>6295345</v>
      </c>
      <c r="G18" s="428">
        <v>7495152</v>
      </c>
      <c r="H18" s="428">
        <v>22650901</v>
      </c>
      <c r="I18" s="341"/>
      <c r="J18" s="341"/>
      <c r="K18" s="341">
        <f>'6.sz.m.fejlesztés (2)'!D12-Q18</f>
        <v>6215345</v>
      </c>
      <c r="L18" s="341">
        <f>'6.sz.m.fejlesztés (2)'!E12-R18</f>
        <v>6215345</v>
      </c>
      <c r="M18" s="341">
        <f>'6.sz.m.fejlesztés (2)'!F12-S18</f>
        <v>7400162</v>
      </c>
      <c r="N18" s="341">
        <f>'6.sz.m.fejlesztés (2)'!G12-T18</f>
        <v>22555911</v>
      </c>
      <c r="O18" s="341">
        <f>'6.sz.m.fejlesztés (2)'!I12-U18</f>
        <v>1.1905863777124208</v>
      </c>
      <c r="P18" s="341">
        <f>'6.sz.m.fejlesztés (2)'!J12-V18</f>
        <v>350000</v>
      </c>
      <c r="Q18" s="341">
        <f>+'6.sz.m.fejlesztés (2)'!D8</f>
        <v>80000</v>
      </c>
      <c r="R18" s="341">
        <f>+'6.sz.m.fejlesztés (2)'!E8</f>
        <v>80000</v>
      </c>
      <c r="S18" s="341">
        <f>+'6.sz.m.fejlesztés (2)'!F8</f>
        <v>94990</v>
      </c>
      <c r="T18" s="341">
        <f>+'6.sz.m.fejlesztés (2)'!G8</f>
        <v>94990</v>
      </c>
      <c r="U18" s="341"/>
      <c r="V18" s="341"/>
    </row>
    <row r="19" spans="1:22" s="5" customFormat="1" ht="22.5" customHeight="1">
      <c r="A19" s="125"/>
      <c r="B19" s="134" t="s">
        <v>38</v>
      </c>
      <c r="C19" s="1304" t="s">
        <v>99</v>
      </c>
      <c r="D19" s="1304"/>
      <c r="E19" s="423">
        <v>32187291</v>
      </c>
      <c r="F19" s="423">
        <v>32203054</v>
      </c>
      <c r="G19" s="423">
        <v>32350055</v>
      </c>
      <c r="H19" s="423">
        <v>37350055</v>
      </c>
      <c r="I19" s="338"/>
      <c r="J19" s="338"/>
      <c r="K19" s="338">
        <f>'6.sz.m.fejlesztés (2)'!D29</f>
        <v>32187291</v>
      </c>
      <c r="L19" s="338">
        <f>'6.sz.m.fejlesztés (2)'!E29</f>
        <v>32203054</v>
      </c>
      <c r="M19" s="338">
        <f>'6.sz.m.fejlesztés (2)'!F29</f>
        <v>32350055</v>
      </c>
      <c r="N19" s="338">
        <f>'6.sz.m.fejlesztés (2)'!G29</f>
        <v>37350055</v>
      </c>
      <c r="O19" s="338">
        <f>'6.sz.m.fejlesztés (2)'!I29</f>
        <v>0</v>
      </c>
      <c r="P19" s="338">
        <f>'6.sz.m.fejlesztés (2)'!J29</f>
        <v>31698314</v>
      </c>
      <c r="Q19" s="338">
        <v>0</v>
      </c>
      <c r="R19" s="338">
        <v>0</v>
      </c>
      <c r="S19" s="338">
        <v>0</v>
      </c>
      <c r="T19" s="338">
        <v>0</v>
      </c>
      <c r="U19" s="338"/>
      <c r="V19" s="338"/>
    </row>
    <row r="20" spans="1:22" s="5" customFormat="1" ht="22.5" customHeight="1">
      <c r="A20" s="155"/>
      <c r="B20" s="134" t="s">
        <v>39</v>
      </c>
      <c r="C20" s="1308" t="s">
        <v>100</v>
      </c>
      <c r="D20" s="1308"/>
      <c r="E20" s="498">
        <f aca="true" t="shared" si="7" ref="E20:K20">SUM(E21:E24)</f>
        <v>500000</v>
      </c>
      <c r="F20" s="498">
        <f>SUM(F21:F24)</f>
        <v>500000</v>
      </c>
      <c r="G20" s="498">
        <f>SUM(G21:G24)</f>
        <v>600000</v>
      </c>
      <c r="H20" s="498">
        <f>SUM(H21:H24)</f>
        <v>600000</v>
      </c>
      <c r="I20" s="499">
        <f t="shared" si="7"/>
        <v>0</v>
      </c>
      <c r="J20" s="499">
        <f t="shared" si="7"/>
        <v>0</v>
      </c>
      <c r="K20" s="499">
        <f t="shared" si="7"/>
        <v>0</v>
      </c>
      <c r="L20" s="499">
        <f>SUM(L21:L24)</f>
        <v>0</v>
      </c>
      <c r="M20" s="499">
        <f>SUM(M21:M24)</f>
        <v>0</v>
      </c>
      <c r="N20" s="499">
        <f>SUM(N21:N24)</f>
        <v>0</v>
      </c>
      <c r="O20" s="499">
        <f>SUM(O21:O24)</f>
        <v>0</v>
      </c>
      <c r="P20" s="499">
        <f>SUM(P21:P24)</f>
        <v>0</v>
      </c>
      <c r="Q20" s="499">
        <f aca="true" t="shared" si="8" ref="Q20:V20">SUM(Q21:Q24)</f>
        <v>500000</v>
      </c>
      <c r="R20" s="499">
        <f>SUM(R21:R24)</f>
        <v>500000</v>
      </c>
      <c r="S20" s="499">
        <f>SUM(S21:S24)</f>
        <v>600000</v>
      </c>
      <c r="T20" s="499">
        <f>SUM(T21:T24)</f>
        <v>600000</v>
      </c>
      <c r="U20" s="499">
        <f t="shared" si="8"/>
        <v>0</v>
      </c>
      <c r="V20" s="499">
        <f t="shared" si="8"/>
        <v>0</v>
      </c>
    </row>
    <row r="21" spans="1:22" s="5" customFormat="1" ht="22.5" customHeight="1">
      <c r="A21" s="131"/>
      <c r="B21" s="135"/>
      <c r="C21" s="135" t="s">
        <v>101</v>
      </c>
      <c r="D21" s="289" t="s">
        <v>91</v>
      </c>
      <c r="E21" s="423">
        <v>500000</v>
      </c>
      <c r="F21" s="423">
        <v>500000</v>
      </c>
      <c r="G21" s="423">
        <v>600000</v>
      </c>
      <c r="H21" s="423">
        <v>600000</v>
      </c>
      <c r="I21" s="338"/>
      <c r="J21" s="338"/>
      <c r="K21" s="338">
        <v>0</v>
      </c>
      <c r="L21" s="338">
        <v>0</v>
      </c>
      <c r="M21" s="338">
        <v>0</v>
      </c>
      <c r="N21" s="338">
        <v>0</v>
      </c>
      <c r="O21" s="338">
        <v>0</v>
      </c>
      <c r="P21" s="338">
        <v>0</v>
      </c>
      <c r="Q21" s="338">
        <f>'9.sz.m.átadott pe (2)'!Q27</f>
        <v>500000</v>
      </c>
      <c r="R21" s="338">
        <f>'9.sz.m.átadott pe (2)'!R27</f>
        <v>500000</v>
      </c>
      <c r="S21" s="338">
        <f>'9.sz.m.átadott pe (2)'!S27</f>
        <v>600000</v>
      </c>
      <c r="T21" s="338">
        <f>'9.sz.m.átadott pe (2)'!T27</f>
        <v>600000</v>
      </c>
      <c r="U21" s="338">
        <f>'9.sz.m.átadott pe (2)'!U27</f>
        <v>0</v>
      </c>
      <c r="V21" s="338">
        <f>'9.sz.m.átadott pe (2)'!V27</f>
        <v>0</v>
      </c>
    </row>
    <row r="22" spans="1:22" s="5" customFormat="1" ht="22.5" customHeight="1">
      <c r="A22" s="131"/>
      <c r="B22" s="135"/>
      <c r="C22" s="135" t="s">
        <v>102</v>
      </c>
      <c r="D22" s="289" t="s">
        <v>92</v>
      </c>
      <c r="E22" s="423">
        <v>0</v>
      </c>
      <c r="F22" s="423">
        <v>0</v>
      </c>
      <c r="G22" s="423">
        <v>0</v>
      </c>
      <c r="H22" s="423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  <c r="O22" s="338">
        <v>0</v>
      </c>
      <c r="P22" s="338">
        <v>0</v>
      </c>
      <c r="Q22" s="338">
        <v>0</v>
      </c>
      <c r="R22" s="338">
        <v>0</v>
      </c>
      <c r="S22" s="338">
        <v>0</v>
      </c>
      <c r="T22" s="338">
        <v>0</v>
      </c>
      <c r="U22" s="338">
        <v>0</v>
      </c>
      <c r="V22" s="338">
        <v>0</v>
      </c>
    </row>
    <row r="23" spans="1:22" s="5" customFormat="1" ht="22.5" customHeight="1">
      <c r="A23" s="155"/>
      <c r="B23" s="289"/>
      <c r="C23" s="135" t="s">
        <v>103</v>
      </c>
      <c r="D23" s="289" t="s">
        <v>95</v>
      </c>
      <c r="E23" s="498">
        <v>0</v>
      </c>
      <c r="F23" s="498">
        <v>0</v>
      </c>
      <c r="G23" s="498">
        <v>0</v>
      </c>
      <c r="H23" s="498">
        <v>0</v>
      </c>
      <c r="I23" s="499">
        <v>0</v>
      </c>
      <c r="J23" s="499">
        <v>0</v>
      </c>
      <c r="K23" s="499">
        <v>0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</row>
    <row r="24" spans="1:22" s="5" customFormat="1" ht="22.5" customHeight="1" thickBot="1">
      <c r="A24" s="319"/>
      <c r="B24" s="320"/>
      <c r="C24" s="321" t="s">
        <v>176</v>
      </c>
      <c r="D24" s="320" t="s">
        <v>177</v>
      </c>
      <c r="E24" s="501">
        <v>0</v>
      </c>
      <c r="F24" s="501">
        <v>0</v>
      </c>
      <c r="G24" s="501">
        <v>0</v>
      </c>
      <c r="H24" s="501">
        <v>0</v>
      </c>
      <c r="I24" s="500">
        <v>0</v>
      </c>
      <c r="J24" s="500">
        <v>0</v>
      </c>
      <c r="K24" s="500">
        <v>0</v>
      </c>
      <c r="L24" s="500">
        <v>0</v>
      </c>
      <c r="M24" s="500">
        <v>0</v>
      </c>
      <c r="N24" s="500">
        <v>0</v>
      </c>
      <c r="O24" s="500">
        <v>0</v>
      </c>
      <c r="P24" s="500">
        <v>0</v>
      </c>
      <c r="Q24" s="500">
        <v>0</v>
      </c>
      <c r="R24" s="500">
        <v>0</v>
      </c>
      <c r="S24" s="500">
        <v>0</v>
      </c>
      <c r="T24" s="500">
        <v>0</v>
      </c>
      <c r="U24" s="500">
        <v>0</v>
      </c>
      <c r="V24" s="500">
        <v>0</v>
      </c>
    </row>
    <row r="25" spans="1:22" s="5" customFormat="1" ht="22.5" customHeight="1" thickBot="1">
      <c r="A25" s="143" t="s">
        <v>9</v>
      </c>
      <c r="B25" s="1293" t="s">
        <v>104</v>
      </c>
      <c r="C25" s="1293"/>
      <c r="D25" s="1293"/>
      <c r="E25" s="429">
        <f aca="true" t="shared" si="9" ref="E25:L25">SUM(E26:E28)</f>
        <v>3791378</v>
      </c>
      <c r="F25" s="429">
        <f>SUM(F26:F28)</f>
        <v>4684220</v>
      </c>
      <c r="G25" s="429">
        <f>SUM(G26:G28)</f>
        <v>1953866</v>
      </c>
      <c r="H25" s="429">
        <f>SUM(H26:H28)</f>
        <v>0</v>
      </c>
      <c r="I25" s="96">
        <f t="shared" si="9"/>
        <v>0</v>
      </c>
      <c r="J25" s="96">
        <f t="shared" si="9"/>
        <v>0</v>
      </c>
      <c r="K25" s="96">
        <f t="shared" si="9"/>
        <v>3791378</v>
      </c>
      <c r="L25" s="96">
        <f t="shared" si="9"/>
        <v>4684220</v>
      </c>
      <c r="M25" s="96">
        <f>SUM(M26:M28)</f>
        <v>1953866</v>
      </c>
      <c r="N25" s="96">
        <f>SUM(N26:N28)</f>
        <v>0</v>
      </c>
      <c r="O25" s="96">
        <f>SUM(O26:O28)</f>
        <v>0</v>
      </c>
      <c r="P25" s="96">
        <f>SUM(P26:P28)</f>
        <v>0</v>
      </c>
      <c r="Q25" s="96">
        <f aca="true" t="shared" si="10" ref="Q25:V25">SUM(Q26:Q28)</f>
        <v>0</v>
      </c>
      <c r="R25" s="96">
        <f>SUM(R26:R28)</f>
        <v>0</v>
      </c>
      <c r="S25" s="96">
        <f>SUM(S26:S28)</f>
        <v>0</v>
      </c>
      <c r="T25" s="96">
        <f>SUM(T26:T28)</f>
        <v>0</v>
      </c>
      <c r="U25" s="96">
        <f t="shared" si="10"/>
        <v>0</v>
      </c>
      <c r="V25" s="96">
        <f t="shared" si="10"/>
        <v>0</v>
      </c>
    </row>
    <row r="26" spans="1:22" s="5" customFormat="1" ht="22.5" customHeight="1">
      <c r="A26" s="142"/>
      <c r="B26" s="147" t="s">
        <v>40</v>
      </c>
      <c r="C26" s="1302" t="s">
        <v>2</v>
      </c>
      <c r="D26" s="1302"/>
      <c r="E26" s="428">
        <v>3791378</v>
      </c>
      <c r="F26" s="428">
        <v>4684220</v>
      </c>
      <c r="G26" s="428">
        <v>1953866</v>
      </c>
      <c r="H26" s="428">
        <v>0</v>
      </c>
      <c r="I26" s="341"/>
      <c r="J26" s="341"/>
      <c r="K26" s="341">
        <f aca="true" t="shared" si="11" ref="K26:P26">E26-Q26</f>
        <v>3791378</v>
      </c>
      <c r="L26" s="341">
        <f t="shared" si="11"/>
        <v>4684220</v>
      </c>
      <c r="M26" s="341">
        <f t="shared" si="11"/>
        <v>1953866</v>
      </c>
      <c r="N26" s="341">
        <f t="shared" si="11"/>
        <v>0</v>
      </c>
      <c r="O26" s="341">
        <f t="shared" si="11"/>
        <v>0</v>
      </c>
      <c r="P26" s="341">
        <f t="shared" si="11"/>
        <v>0</v>
      </c>
      <c r="Q26" s="341">
        <v>0</v>
      </c>
      <c r="R26" s="341">
        <v>0</v>
      </c>
      <c r="S26" s="341">
        <v>0</v>
      </c>
      <c r="T26" s="341">
        <v>0</v>
      </c>
      <c r="U26" s="341">
        <v>0</v>
      </c>
      <c r="V26" s="341">
        <v>0</v>
      </c>
    </row>
    <row r="27" spans="1:22" s="9" customFormat="1" ht="22.5" customHeight="1">
      <c r="A27" s="156"/>
      <c r="B27" s="134" t="s">
        <v>41</v>
      </c>
      <c r="C27" s="1305" t="s">
        <v>289</v>
      </c>
      <c r="D27" s="1305"/>
      <c r="E27" s="423">
        <v>0</v>
      </c>
      <c r="F27" s="423">
        <v>0</v>
      </c>
      <c r="G27" s="423">
        <v>0</v>
      </c>
      <c r="H27" s="423">
        <v>0</v>
      </c>
      <c r="I27" s="338">
        <v>0</v>
      </c>
      <c r="J27" s="338">
        <v>0</v>
      </c>
      <c r="K27" s="338">
        <v>0</v>
      </c>
      <c r="L27" s="338">
        <v>0</v>
      </c>
      <c r="M27" s="338">
        <v>0</v>
      </c>
      <c r="N27" s="338">
        <v>0</v>
      </c>
      <c r="O27" s="338">
        <v>0</v>
      </c>
      <c r="P27" s="338">
        <v>0</v>
      </c>
      <c r="Q27" s="338">
        <v>0</v>
      </c>
      <c r="R27" s="338">
        <v>0</v>
      </c>
      <c r="S27" s="338">
        <v>0</v>
      </c>
      <c r="T27" s="338">
        <v>0</v>
      </c>
      <c r="U27" s="338">
        <v>0</v>
      </c>
      <c r="V27" s="338">
        <v>0</v>
      </c>
    </row>
    <row r="28" spans="1:22" s="9" customFormat="1" ht="22.5" customHeight="1" thickBot="1">
      <c r="A28" s="162"/>
      <c r="B28" s="148" t="s">
        <v>72</v>
      </c>
      <c r="C28" s="163" t="s">
        <v>105</v>
      </c>
      <c r="D28" s="163"/>
      <c r="E28" s="444">
        <v>0</v>
      </c>
      <c r="F28" s="444">
        <v>0</v>
      </c>
      <c r="G28" s="444">
        <v>0</v>
      </c>
      <c r="H28" s="444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0</v>
      </c>
      <c r="U28" s="445">
        <v>0</v>
      </c>
      <c r="V28" s="445">
        <v>0</v>
      </c>
    </row>
    <row r="29" spans="1:22" s="97" customFormat="1" ht="22.5" customHeight="1" hidden="1" thickBot="1">
      <c r="A29" s="122" t="s">
        <v>10</v>
      </c>
      <c r="B29" s="149" t="s">
        <v>106</v>
      </c>
      <c r="C29" s="149"/>
      <c r="D29" s="149"/>
      <c r="E29" s="430">
        <v>0</v>
      </c>
      <c r="F29" s="430">
        <v>0</v>
      </c>
      <c r="G29" s="430">
        <v>0</v>
      </c>
      <c r="H29" s="430">
        <v>0</v>
      </c>
      <c r="I29" s="431">
        <v>0</v>
      </c>
      <c r="J29" s="431">
        <v>0</v>
      </c>
      <c r="K29" s="431">
        <v>0</v>
      </c>
      <c r="L29" s="431">
        <v>0</v>
      </c>
      <c r="M29" s="431">
        <v>0</v>
      </c>
      <c r="N29" s="431">
        <v>0</v>
      </c>
      <c r="O29" s="431">
        <v>0</v>
      </c>
      <c r="P29" s="431">
        <v>0</v>
      </c>
      <c r="Q29" s="431">
        <v>0</v>
      </c>
      <c r="R29" s="431">
        <v>0</v>
      </c>
      <c r="S29" s="431">
        <v>0</v>
      </c>
      <c r="T29" s="431">
        <v>0</v>
      </c>
      <c r="U29" s="431">
        <v>0</v>
      </c>
      <c r="V29" s="431">
        <v>0</v>
      </c>
    </row>
    <row r="30" spans="1:22" s="97" customFormat="1" ht="22.5" customHeight="1" hidden="1" thickBot="1">
      <c r="A30" s="143"/>
      <c r="B30" s="1293"/>
      <c r="C30" s="1293"/>
      <c r="D30" s="1293"/>
      <c r="E30" s="1021"/>
      <c r="F30" s="1021"/>
      <c r="G30" s="1021"/>
      <c r="H30" s="1021"/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</row>
    <row r="31" spans="1:22" s="97" customFormat="1" ht="22.5" customHeight="1" thickBot="1">
      <c r="A31" s="143" t="s">
        <v>10</v>
      </c>
      <c r="B31" s="1266" t="s">
        <v>107</v>
      </c>
      <c r="C31" s="1266"/>
      <c r="D31" s="1266"/>
      <c r="E31" s="427">
        <f>E6+E17+E25+E29</f>
        <v>66477164</v>
      </c>
      <c r="F31" s="427">
        <f>F6+F17+F25+F29</f>
        <v>67385769</v>
      </c>
      <c r="G31" s="427">
        <f>G6+G17+G25+G29</f>
        <v>66458210</v>
      </c>
      <c r="H31" s="427">
        <f>H6+H17+H25+H29</f>
        <v>87662596</v>
      </c>
      <c r="I31" s="339">
        <f>I6+I17+I25+I29+I35</f>
        <v>0</v>
      </c>
      <c r="J31" s="339">
        <f>J6+J17+J25+J29+J35</f>
        <v>0</v>
      </c>
      <c r="K31" s="339">
        <f aca="true" t="shared" si="12" ref="K31:P31">K6+K17+K25+K29+K35</f>
        <v>58904620</v>
      </c>
      <c r="L31" s="339">
        <f t="shared" si="12"/>
        <v>59813225</v>
      </c>
      <c r="M31" s="339">
        <f t="shared" si="12"/>
        <v>58770676</v>
      </c>
      <c r="N31" s="339">
        <f>N6+N17+N25+N29+N35</f>
        <v>80162781</v>
      </c>
      <c r="O31" s="339">
        <f t="shared" si="12"/>
        <v>-164819.88587738067</v>
      </c>
      <c r="P31" s="339">
        <f t="shared" si="12"/>
        <v>33382318</v>
      </c>
      <c r="Q31" s="339">
        <f aca="true" t="shared" si="13" ref="Q31:V31">Q6+Q17+Q25+Q29+Q30</f>
        <v>7572544</v>
      </c>
      <c r="R31" s="339">
        <f>R6+R17+R25+R29+R30</f>
        <v>7572544</v>
      </c>
      <c r="S31" s="339">
        <f>S6+S17+S25+S29+S30</f>
        <v>7687534</v>
      </c>
      <c r="T31" s="339">
        <f>T6+T17+T25+T29+T30</f>
        <v>7499815</v>
      </c>
      <c r="U31" s="339">
        <f t="shared" si="13"/>
        <v>164825.9235362416</v>
      </c>
      <c r="V31" s="339">
        <f t="shared" si="13"/>
        <v>1334000</v>
      </c>
    </row>
    <row r="32" spans="1:22" s="97" customFormat="1" ht="22.5" customHeight="1" thickBot="1">
      <c r="A32" s="120">
        <v>5</v>
      </c>
      <c r="B32" s="1306" t="s">
        <v>108</v>
      </c>
      <c r="C32" s="1306"/>
      <c r="D32" s="1306"/>
      <c r="E32" s="432">
        <f aca="true" t="shared" si="14" ref="E32:R32">SUM(E33:E35)</f>
        <v>650615</v>
      </c>
      <c r="F32" s="432">
        <f>SUM(F33:F35)</f>
        <v>650615</v>
      </c>
      <c r="G32" s="432">
        <f>SUM(G33:G35)</f>
        <v>650615</v>
      </c>
      <c r="H32" s="432">
        <f>SUM(H33:H35)</f>
        <v>650615</v>
      </c>
      <c r="I32" s="432">
        <f t="shared" si="14"/>
        <v>0</v>
      </c>
      <c r="J32" s="432">
        <f t="shared" si="14"/>
        <v>0</v>
      </c>
      <c r="K32" s="432">
        <f t="shared" si="14"/>
        <v>650615</v>
      </c>
      <c r="L32" s="432">
        <f t="shared" si="14"/>
        <v>650615</v>
      </c>
      <c r="M32" s="432">
        <f>SUM(M33:M35)</f>
        <v>650615</v>
      </c>
      <c r="N32" s="432">
        <f>SUM(N33:N35)</f>
        <v>650615</v>
      </c>
      <c r="O32" s="432">
        <f>SUM(O33:O35)</f>
        <v>6</v>
      </c>
      <c r="P32" s="432">
        <f>SUM(P33:P35)</f>
        <v>8</v>
      </c>
      <c r="Q32" s="146">
        <f t="shared" si="14"/>
        <v>0</v>
      </c>
      <c r="R32" s="146">
        <f t="shared" si="14"/>
        <v>0</v>
      </c>
      <c r="S32" s="146">
        <f>SUM(S33:S35)</f>
        <v>0</v>
      </c>
      <c r="T32" s="146">
        <f>SUM(T33:T35)</f>
        <v>0</v>
      </c>
      <c r="U32" s="146"/>
      <c r="V32" s="146"/>
    </row>
    <row r="33" spans="1:22" s="5" customFormat="1" ht="22.5" customHeight="1">
      <c r="A33" s="165"/>
      <c r="B33" s="147" t="s">
        <v>42</v>
      </c>
      <c r="C33" s="1325" t="s">
        <v>291</v>
      </c>
      <c r="D33" s="1325"/>
      <c r="E33" s="428">
        <v>0</v>
      </c>
      <c r="F33" s="428">
        <v>0</v>
      </c>
      <c r="G33" s="428">
        <v>0</v>
      </c>
      <c r="H33" s="428">
        <v>0</v>
      </c>
      <c r="I33" s="341"/>
      <c r="J33" s="341"/>
      <c r="K33" s="341">
        <v>0</v>
      </c>
      <c r="L33" s="341">
        <v>0</v>
      </c>
      <c r="M33" s="341">
        <v>0</v>
      </c>
      <c r="N33" s="341"/>
      <c r="O33" s="341">
        <v>3</v>
      </c>
      <c r="P33" s="341">
        <v>4</v>
      </c>
      <c r="Q33" s="341">
        <v>0</v>
      </c>
      <c r="R33" s="341">
        <v>0</v>
      </c>
      <c r="S33" s="341">
        <v>0</v>
      </c>
      <c r="T33" s="341">
        <v>0</v>
      </c>
      <c r="U33" s="341"/>
      <c r="V33" s="341"/>
    </row>
    <row r="34" spans="1:22" s="5" customFormat="1" ht="22.5" customHeight="1" thickBot="1">
      <c r="A34" s="125"/>
      <c r="B34" s="134" t="s">
        <v>43</v>
      </c>
      <c r="C34" s="1304" t="s">
        <v>388</v>
      </c>
      <c r="D34" s="1304"/>
      <c r="E34" s="498">
        <v>650615</v>
      </c>
      <c r="F34" s="498">
        <v>650615</v>
      </c>
      <c r="G34" s="498">
        <v>650615</v>
      </c>
      <c r="H34" s="498">
        <v>650615</v>
      </c>
      <c r="I34" s="499"/>
      <c r="J34" s="499"/>
      <c r="K34" s="338">
        <f aca="true" t="shared" si="15" ref="K34:P34">E34-Q34</f>
        <v>650615</v>
      </c>
      <c r="L34" s="338">
        <f t="shared" si="15"/>
        <v>650615</v>
      </c>
      <c r="M34" s="338">
        <f t="shared" si="15"/>
        <v>650615</v>
      </c>
      <c r="N34" s="338">
        <f t="shared" si="15"/>
        <v>650615</v>
      </c>
      <c r="O34" s="338">
        <f t="shared" si="15"/>
        <v>0</v>
      </c>
      <c r="P34" s="338">
        <f t="shared" si="15"/>
        <v>0</v>
      </c>
      <c r="Q34" s="338">
        <v>0</v>
      </c>
      <c r="R34" s="338">
        <v>0</v>
      </c>
      <c r="S34" s="338">
        <v>0</v>
      </c>
      <c r="T34" s="338">
        <v>0</v>
      </c>
      <c r="U34" s="341"/>
      <c r="V34" s="341"/>
    </row>
    <row r="35" spans="1:22" s="5" customFormat="1" ht="40.5" customHeight="1" thickBot="1">
      <c r="A35" s="125"/>
      <c r="B35" s="134" t="s">
        <v>76</v>
      </c>
      <c r="C35" s="1323" t="s">
        <v>290</v>
      </c>
      <c r="D35" s="1324"/>
      <c r="E35" s="1027">
        <v>0</v>
      </c>
      <c r="F35" s="1027">
        <v>0</v>
      </c>
      <c r="G35" s="1027">
        <v>0</v>
      </c>
      <c r="H35" s="1027">
        <v>0</v>
      </c>
      <c r="I35" s="1029"/>
      <c r="J35" s="1029"/>
      <c r="K35" s="1028">
        <v>0</v>
      </c>
      <c r="L35" s="1028">
        <v>0</v>
      </c>
      <c r="M35" s="1028">
        <v>0</v>
      </c>
      <c r="N35" s="1028"/>
      <c r="O35" s="1028">
        <v>3</v>
      </c>
      <c r="P35" s="1028">
        <v>4</v>
      </c>
      <c r="Q35" s="1028">
        <v>0</v>
      </c>
      <c r="R35" s="1028">
        <v>0</v>
      </c>
      <c r="S35" s="1028">
        <v>0</v>
      </c>
      <c r="T35" s="1028">
        <v>0</v>
      </c>
      <c r="U35" s="339"/>
      <c r="V35" s="339"/>
    </row>
    <row r="36" spans="1:22" s="5" customFormat="1" ht="22.5" customHeight="1" thickBot="1">
      <c r="A36" s="143" t="s">
        <v>12</v>
      </c>
      <c r="B36" s="1266" t="s">
        <v>202</v>
      </c>
      <c r="C36" s="1266"/>
      <c r="D36" s="1266"/>
      <c r="E36" s="429">
        <f aca="true" t="shared" si="16" ref="E36:J36">E31+E32</f>
        <v>67127779</v>
      </c>
      <c r="F36" s="429">
        <f>F31+F32</f>
        <v>68036384</v>
      </c>
      <c r="G36" s="429">
        <f>G31+G32</f>
        <v>67108825</v>
      </c>
      <c r="H36" s="429">
        <f>H31+H32</f>
        <v>88313211</v>
      </c>
      <c r="I36" s="96">
        <f t="shared" si="16"/>
        <v>0</v>
      </c>
      <c r="J36" s="96">
        <f t="shared" si="16"/>
        <v>0</v>
      </c>
      <c r="K36" s="96">
        <f aca="true" t="shared" si="17" ref="K36:P36">K31+K32</f>
        <v>59555235</v>
      </c>
      <c r="L36" s="96">
        <f t="shared" si="17"/>
        <v>60463840</v>
      </c>
      <c r="M36" s="96">
        <f t="shared" si="17"/>
        <v>59421291</v>
      </c>
      <c r="N36" s="96">
        <f>N31+N32</f>
        <v>80813396</v>
      </c>
      <c r="O36" s="96">
        <f t="shared" si="17"/>
        <v>-164813.88587738067</v>
      </c>
      <c r="P36" s="96">
        <f t="shared" si="17"/>
        <v>33382326</v>
      </c>
      <c r="Q36" s="96">
        <f aca="true" t="shared" si="18" ref="Q36:V36">Q31+Q32</f>
        <v>7572544</v>
      </c>
      <c r="R36" s="96">
        <f>R31+R32</f>
        <v>7572544</v>
      </c>
      <c r="S36" s="96">
        <f>S31+S32</f>
        <v>7687534</v>
      </c>
      <c r="T36" s="96">
        <f>T31+T32</f>
        <v>7499815</v>
      </c>
      <c r="U36" s="96">
        <f t="shared" si="18"/>
        <v>164825.9235362416</v>
      </c>
      <c r="V36" s="96">
        <f t="shared" si="18"/>
        <v>1334000</v>
      </c>
    </row>
    <row r="37" spans="1:22" s="5" customFormat="1" ht="19.5" customHeight="1" hidden="1" thickBot="1">
      <c r="A37" s="1268" t="s">
        <v>203</v>
      </c>
      <c r="B37" s="1269"/>
      <c r="C37" s="1269"/>
      <c r="D37" s="1269"/>
      <c r="E37" s="739"/>
      <c r="F37" s="740"/>
      <c r="G37" s="740"/>
      <c r="H37" s="740"/>
      <c r="I37" s="740"/>
      <c r="J37" s="741"/>
      <c r="K37" s="739"/>
      <c r="L37" s="740"/>
      <c r="M37" s="740"/>
      <c r="N37" s="740"/>
      <c r="O37" s="740"/>
      <c r="P37" s="741"/>
      <c r="Q37" s="739"/>
      <c r="R37" s="740"/>
      <c r="S37" s="740"/>
      <c r="T37" s="740"/>
      <c r="U37" s="740"/>
      <c r="V37" s="745"/>
    </row>
    <row r="38" spans="1:22" s="5" customFormat="1" ht="19.5" customHeight="1" hidden="1" thickBot="1">
      <c r="A38" s="1265" t="s">
        <v>7</v>
      </c>
      <c r="B38" s="1266"/>
      <c r="C38" s="1266"/>
      <c r="D38" s="1266"/>
      <c r="E38" s="505">
        <f>SUM(E36:E37)</f>
        <v>67127779</v>
      </c>
      <c r="F38" s="506">
        <f>SUM(F36:F37)</f>
        <v>68036384</v>
      </c>
      <c r="G38" s="506">
        <f>SUM(G36:G37)</f>
        <v>67108825</v>
      </c>
      <c r="H38" s="506">
        <f>SUM(H36:H37)</f>
        <v>88313211</v>
      </c>
      <c r="I38" s="506">
        <f>SUM(I36:I37)</f>
        <v>0</v>
      </c>
      <c r="J38" s="507"/>
      <c r="K38" s="505">
        <f>SUM(K36:K37)</f>
        <v>59555235</v>
      </c>
      <c r="L38" s="506">
        <f>SUM(L36:L37)</f>
        <v>60463840</v>
      </c>
      <c r="M38" s="506">
        <f>SUM(M36:M37)</f>
        <v>59421291</v>
      </c>
      <c r="N38" s="506">
        <f>SUM(N36:N37)</f>
        <v>80813396</v>
      </c>
      <c r="O38" s="506">
        <f>SUM(O36:O37)</f>
        <v>-164813.88587738067</v>
      </c>
      <c r="P38" s="507"/>
      <c r="Q38" s="505">
        <f>SUM(Q36:Q37)</f>
        <v>7572544</v>
      </c>
      <c r="R38" s="506">
        <f>SUM(R36:R37)</f>
        <v>7572544</v>
      </c>
      <c r="S38" s="506">
        <f>SUM(S36:S37)</f>
        <v>7687534</v>
      </c>
      <c r="T38" s="506">
        <f>SUM(T36:T37)</f>
        <v>7499815</v>
      </c>
      <c r="U38" s="506">
        <f>SUM(U36:U37)</f>
        <v>164825.9235362416</v>
      </c>
      <c r="V38" s="508"/>
    </row>
    <row r="39" spans="1:22" s="5" customFormat="1" ht="19.5" customHeight="1">
      <c r="A39" s="584"/>
      <c r="B39" s="746"/>
      <c r="C39" s="584"/>
      <c r="D39" s="584"/>
      <c r="E39" s="747"/>
      <c r="F39" s="747"/>
      <c r="G39" s="747"/>
      <c r="H39" s="747"/>
      <c r="I39" s="747"/>
      <c r="J39" s="747"/>
      <c r="K39" s="748"/>
      <c r="L39" s="748"/>
      <c r="M39" s="748"/>
      <c r="N39" s="748"/>
      <c r="O39" s="748"/>
      <c r="P39" s="748"/>
      <c r="Q39" s="748"/>
      <c r="R39" s="748"/>
      <c r="S39" s="749"/>
      <c r="T39" s="749"/>
      <c r="U39" s="749"/>
      <c r="V39" s="749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6"/>
      <c r="L40" s="166"/>
      <c r="M40" s="166"/>
      <c r="N40" s="166"/>
      <c r="O40" s="166"/>
      <c r="P40" s="166"/>
      <c r="Q40" s="166"/>
      <c r="R40" s="166"/>
    </row>
    <row r="41" spans="1:10" ht="15.75">
      <c r="A41" s="152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2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2"/>
      <c r="B43" s="1"/>
      <c r="C43" s="1"/>
      <c r="D43" s="1"/>
      <c r="G43" s="100"/>
      <c r="K43" s="1"/>
      <c r="L43" s="1"/>
      <c r="M43" s="1"/>
      <c r="N43" s="1"/>
      <c r="O43" s="1"/>
      <c r="P43" s="1"/>
      <c r="Q43" s="1"/>
      <c r="R43" s="1"/>
    </row>
    <row r="44" spans="1:18" ht="15.75">
      <c r="A44" s="152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2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2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2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2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2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2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2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2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2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2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2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2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2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2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2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C18:D18"/>
    <mergeCell ref="C33:D33"/>
    <mergeCell ref="C19:D19"/>
    <mergeCell ref="C34:D34"/>
    <mergeCell ref="E1:Q1"/>
    <mergeCell ref="B31:D31"/>
    <mergeCell ref="B32:D32"/>
    <mergeCell ref="B6:D6"/>
    <mergeCell ref="A4:D4"/>
    <mergeCell ref="B25:D25"/>
    <mergeCell ref="A2:Q2"/>
    <mergeCell ref="C26:D26"/>
    <mergeCell ref="B17:D17"/>
    <mergeCell ref="Q4:V4"/>
    <mergeCell ref="A38:D38"/>
    <mergeCell ref="B30:D30"/>
    <mergeCell ref="A37:D37"/>
    <mergeCell ref="C27:D27"/>
    <mergeCell ref="C20:D20"/>
    <mergeCell ref="C35:D35"/>
    <mergeCell ref="B36:D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38" t="s">
        <v>373</v>
      </c>
      <c r="E2" s="1338"/>
      <c r="F2" s="450"/>
      <c r="G2" s="450"/>
      <c r="H2" s="450"/>
      <c r="I2" s="450"/>
    </row>
    <row r="4" spans="1:9" ht="19.5">
      <c r="A4" s="1342" t="s">
        <v>494</v>
      </c>
      <c r="B4" s="1342"/>
      <c r="C4" s="1342"/>
      <c r="D4" s="1342"/>
      <c r="E4" s="1342"/>
      <c r="F4" s="451"/>
      <c r="G4" s="451"/>
      <c r="H4" s="451"/>
      <c r="I4" s="451"/>
    </row>
    <row r="5" spans="1:9" ht="19.5">
      <c r="A5" s="451"/>
      <c r="B5" s="451"/>
      <c r="C5" s="451"/>
      <c r="D5" s="451"/>
      <c r="E5" s="451"/>
      <c r="F5" s="451"/>
      <c r="G5" s="451"/>
      <c r="H5" s="451"/>
      <c r="I5" s="451"/>
    </row>
    <row r="6" spans="2:11" ht="20.25" customHeight="1" thickBot="1">
      <c r="B6" s="1333" t="s">
        <v>4</v>
      </c>
      <c r="C6" s="1333"/>
      <c r="D6" s="1333"/>
      <c r="E6" s="1333"/>
      <c r="F6" s="1333"/>
      <c r="G6" s="1333"/>
      <c r="H6" s="1333"/>
      <c r="I6" s="1333"/>
      <c r="J6" s="1334" t="s">
        <v>199</v>
      </c>
      <c r="K6" s="1334"/>
    </row>
    <row r="7" spans="1:11" ht="36.75" customHeight="1">
      <c r="A7" s="1340" t="s">
        <v>3</v>
      </c>
      <c r="B7" s="1339" t="s">
        <v>495</v>
      </c>
      <c r="C7" s="1331"/>
      <c r="D7" s="1331"/>
      <c r="E7" s="1332"/>
      <c r="F7" s="1330" t="s">
        <v>213</v>
      </c>
      <c r="G7" s="1331"/>
      <c r="H7" s="1331"/>
      <c r="I7" s="1332"/>
      <c r="J7" s="1328" t="s">
        <v>205</v>
      </c>
      <c r="K7" s="1329"/>
    </row>
    <row r="8" spans="1:11" ht="41.25" customHeight="1" thickBot="1">
      <c r="A8" s="1341"/>
      <c r="B8" s="31" t="s">
        <v>27</v>
      </c>
      <c r="C8" s="31" t="s">
        <v>171</v>
      </c>
      <c r="D8" s="31" t="s">
        <v>172</v>
      </c>
      <c r="E8" s="32" t="s">
        <v>1</v>
      </c>
      <c r="F8" s="675" t="s">
        <v>27</v>
      </c>
      <c r="G8" s="31" t="s">
        <v>171</v>
      </c>
      <c r="H8" s="31" t="s">
        <v>172</v>
      </c>
      <c r="I8" s="32" t="s">
        <v>1</v>
      </c>
      <c r="J8" s="467" t="s">
        <v>199</v>
      </c>
      <c r="K8" s="468" t="s">
        <v>200</v>
      </c>
    </row>
    <row r="9" spans="1:11" ht="30" customHeight="1" thickBot="1">
      <c r="A9" s="26" t="s">
        <v>179</v>
      </c>
      <c r="B9" s="172">
        <v>1</v>
      </c>
      <c r="C9" s="172">
        <v>0.25</v>
      </c>
      <c r="D9" s="173">
        <v>0</v>
      </c>
      <c r="E9" s="986">
        <f>SUM(B9:C9)</f>
        <v>1.25</v>
      </c>
      <c r="F9" s="676"/>
      <c r="G9" s="172"/>
      <c r="H9" s="173"/>
      <c r="I9" s="344"/>
      <c r="J9" s="465"/>
      <c r="K9" s="466">
        <f>J9/E9</f>
        <v>0</v>
      </c>
    </row>
    <row r="10" spans="1:11" ht="30" customHeight="1" hidden="1" thickBot="1">
      <c r="A10" s="26"/>
      <c r="B10" s="172"/>
      <c r="C10" s="172"/>
      <c r="D10" s="172"/>
      <c r="E10" s="345"/>
      <c r="F10" s="676"/>
      <c r="G10" s="172"/>
      <c r="H10" s="172"/>
      <c r="I10" s="345"/>
      <c r="J10" s="463"/>
      <c r="K10" s="464" t="e">
        <f>J10/E10</f>
        <v>#DIV/0!</v>
      </c>
    </row>
    <row r="11" spans="1:11" ht="54.75" customHeight="1" thickBot="1">
      <c r="A11" s="171" t="s">
        <v>22</v>
      </c>
      <c r="B11" s="295">
        <f aca="true" t="shared" si="0" ref="B11:J11">SUM(B9:B10)</f>
        <v>1</v>
      </c>
      <c r="C11" s="295">
        <f t="shared" si="0"/>
        <v>0.25</v>
      </c>
      <c r="D11" s="295">
        <f t="shared" si="0"/>
        <v>0</v>
      </c>
      <c r="E11" s="987">
        <f t="shared" si="0"/>
        <v>1.25</v>
      </c>
      <c r="F11" s="677">
        <f t="shared" si="0"/>
        <v>0</v>
      </c>
      <c r="G11" s="295">
        <f t="shared" si="0"/>
        <v>0</v>
      </c>
      <c r="H11" s="295">
        <f t="shared" si="0"/>
        <v>0</v>
      </c>
      <c r="I11" s="346">
        <f t="shared" si="0"/>
        <v>0</v>
      </c>
      <c r="J11" s="471">
        <f t="shared" si="0"/>
        <v>0</v>
      </c>
      <c r="K11" s="472">
        <f>J11/E11</f>
        <v>0</v>
      </c>
    </row>
    <row r="12" ht="13.5" thickBot="1">
      <c r="K12" s="459"/>
    </row>
    <row r="13" spans="1:11" ht="30.75" customHeight="1" thickBot="1">
      <c r="A13" s="1335" t="s">
        <v>49</v>
      </c>
      <c r="B13" s="1336"/>
      <c r="C13" s="1336"/>
      <c r="D13" s="1337"/>
      <c r="E13" s="347">
        <v>1</v>
      </c>
      <c r="F13" s="461"/>
      <c r="G13" s="462"/>
      <c r="H13" s="460"/>
      <c r="I13" s="460"/>
      <c r="J13" s="469"/>
      <c r="K13" s="470">
        <f>J13/E13</f>
        <v>0</v>
      </c>
    </row>
    <row r="15" ht="12.75">
      <c r="A15" s="54" t="s">
        <v>110</v>
      </c>
    </row>
    <row r="17" spans="5:9" ht="12.75">
      <c r="E17" s="343"/>
      <c r="F17" s="343"/>
      <c r="G17" s="343"/>
      <c r="H17" s="343"/>
      <c r="I17" s="343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5" zoomScaleNormal="85" workbookViewId="0" topLeftCell="A7">
      <selection activeCell="A29" sqref="A29:B29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7" width="14.140625" style="95" customWidth="1"/>
    <col min="8" max="9" width="14.140625" style="95" hidden="1" customWidth="1"/>
    <col min="10" max="10" width="17.57421875" style="37" customWidth="1"/>
    <col min="11" max="12" width="15.28125" style="37" customWidth="1"/>
    <col min="13" max="13" width="17.28125" style="37" customWidth="1"/>
    <col min="14" max="14" width="15.28125" style="37" hidden="1" customWidth="1"/>
    <col min="15" max="15" width="18.28125" style="37" customWidth="1"/>
    <col min="16" max="16" width="11.8515625" style="37" customWidth="1"/>
    <col min="17" max="17" width="13.8515625" style="37" customWidth="1"/>
    <col min="18" max="18" width="14.00390625" style="37" customWidth="1"/>
    <col min="19" max="16384" width="9.140625" style="37" customWidth="1"/>
  </cols>
  <sheetData>
    <row r="1" spans="1:16" ht="15.75" customHeight="1">
      <c r="A1" s="1343" t="s">
        <v>61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</row>
    <row r="2" spans="1:16" ht="16.5" thickBot="1">
      <c r="A2" s="87"/>
      <c r="B2" s="75"/>
      <c r="C2" s="75"/>
      <c r="D2" s="88"/>
      <c r="E2" s="88"/>
      <c r="F2" s="88"/>
      <c r="G2" s="88"/>
      <c r="H2" s="88"/>
      <c r="I2" s="88"/>
      <c r="J2" s="75"/>
      <c r="K2" s="75"/>
      <c r="L2" s="75"/>
      <c r="M2" s="75"/>
      <c r="N2" s="75"/>
      <c r="O2" s="1229" t="s">
        <v>387</v>
      </c>
      <c r="P2" s="1229"/>
    </row>
    <row r="3" spans="1:18" s="89" customFormat="1" ht="31.5" customHeight="1" thickBot="1">
      <c r="A3" s="28" t="s">
        <v>5</v>
      </c>
      <c r="B3" s="29" t="s">
        <v>33</v>
      </c>
      <c r="C3" s="583" t="s">
        <v>258</v>
      </c>
      <c r="D3" s="1350" t="s">
        <v>4</v>
      </c>
      <c r="E3" s="1351"/>
      <c r="F3" s="1351"/>
      <c r="G3" s="1351"/>
      <c r="H3" s="1351"/>
      <c r="I3" s="1352"/>
      <c r="J3" s="1344" t="s">
        <v>259</v>
      </c>
      <c r="K3" s="1345"/>
      <c r="L3" s="1345"/>
      <c r="M3" s="1345"/>
      <c r="N3" s="1346"/>
      <c r="O3" s="1344" t="s">
        <v>24</v>
      </c>
      <c r="P3" s="1345"/>
      <c r="Q3" s="1345"/>
      <c r="R3" s="1346"/>
    </row>
    <row r="4" spans="1:18" s="89" customFormat="1" ht="31.5" customHeight="1" thickBot="1">
      <c r="A4" s="28"/>
      <c r="B4" s="29"/>
      <c r="C4" s="583"/>
      <c r="D4" s="932" t="s">
        <v>70</v>
      </c>
      <c r="E4" s="1001" t="s">
        <v>189</v>
      </c>
      <c r="F4" s="1001" t="s">
        <v>193</v>
      </c>
      <c r="G4" s="1001" t="s">
        <v>195</v>
      </c>
      <c r="H4" s="1001" t="s">
        <v>199</v>
      </c>
      <c r="I4" s="1236" t="s">
        <v>200</v>
      </c>
      <c r="J4" s="932" t="s">
        <v>70</v>
      </c>
      <c r="K4" s="1001" t="s">
        <v>189</v>
      </c>
      <c r="L4" s="1001" t="s">
        <v>193</v>
      </c>
      <c r="M4" s="1001" t="s">
        <v>195</v>
      </c>
      <c r="N4" s="1236"/>
      <c r="O4" s="932" t="s">
        <v>70</v>
      </c>
      <c r="P4" s="1001" t="s">
        <v>189</v>
      </c>
      <c r="Q4" s="1001" t="s">
        <v>193</v>
      </c>
      <c r="R4" s="995" t="s">
        <v>195</v>
      </c>
    </row>
    <row r="5" spans="1:18" ht="29.25" customHeight="1">
      <c r="A5" s="73">
        <v>1</v>
      </c>
      <c r="B5" s="996" t="s">
        <v>461</v>
      </c>
      <c r="C5" s="997" t="s">
        <v>175</v>
      </c>
      <c r="D5" s="998">
        <v>127000</v>
      </c>
      <c r="E5" s="999">
        <v>127000</v>
      </c>
      <c r="F5" s="999">
        <v>127000</v>
      </c>
      <c r="G5" s="999"/>
      <c r="H5" s="999"/>
      <c r="I5" s="1243"/>
      <c r="J5" s="998"/>
      <c r="K5" s="999"/>
      <c r="L5" s="999"/>
      <c r="M5" s="999"/>
      <c r="N5" s="1243"/>
      <c r="O5" s="1000">
        <v>127000</v>
      </c>
      <c r="P5" s="1235">
        <v>127000</v>
      </c>
      <c r="Q5" s="1235">
        <v>127000</v>
      </c>
      <c r="R5" s="364">
        <f aca="true" t="shared" si="0" ref="R5:R10">+G5-M5</f>
        <v>0</v>
      </c>
    </row>
    <row r="6" spans="1:18" ht="29.25" customHeight="1">
      <c r="A6" s="74">
        <v>2</v>
      </c>
      <c r="B6" s="116" t="s">
        <v>462</v>
      </c>
      <c r="C6" s="678" t="s">
        <v>175</v>
      </c>
      <c r="D6" s="684">
        <f>2618288-(1100000*1.27)</f>
        <v>1221288</v>
      </c>
      <c r="E6" s="90">
        <f>2618288-(1100000*1.27)</f>
        <v>1221288</v>
      </c>
      <c r="F6" s="90">
        <f>2618288-(1100000*1.27)</f>
        <v>1221288</v>
      </c>
      <c r="G6" s="90">
        <f>961644+259644</f>
        <v>1221288</v>
      </c>
      <c r="H6" s="90">
        <f>961644+259644</f>
        <v>1221288</v>
      </c>
      <c r="I6" s="688"/>
      <c r="J6" s="689"/>
      <c r="K6" s="90"/>
      <c r="L6" s="90"/>
      <c r="M6" s="90"/>
      <c r="N6" s="688"/>
      <c r="O6" s="684">
        <v>1500000</v>
      </c>
      <c r="P6" s="90">
        <v>1500000</v>
      </c>
      <c r="Q6" s="90">
        <f>+F6-L6</f>
        <v>1221288</v>
      </c>
      <c r="R6" s="364">
        <f t="shared" si="0"/>
        <v>1221288</v>
      </c>
    </row>
    <row r="7" spans="1:18" ht="29.25" customHeight="1">
      <c r="A7" s="74">
        <v>3</v>
      </c>
      <c r="B7" s="116" t="s">
        <v>433</v>
      </c>
      <c r="C7" s="679" t="s">
        <v>175</v>
      </c>
      <c r="D7" s="685">
        <v>270000</v>
      </c>
      <c r="E7" s="91">
        <v>270000</v>
      </c>
      <c r="F7" s="91">
        <v>270000</v>
      </c>
      <c r="G7" s="91">
        <f>23598+105000+369100+41732+7000+6372+28350+11268</f>
        <v>592420</v>
      </c>
      <c r="H7" s="1244">
        <f>23598+105000+369100+41732+7000+6372+28350+11268</f>
        <v>592420</v>
      </c>
      <c r="I7" s="688"/>
      <c r="J7" s="690">
        <f>+D7</f>
        <v>270000</v>
      </c>
      <c r="K7" s="993">
        <f>+E7</f>
        <v>270000</v>
      </c>
      <c r="L7" s="993">
        <f>+F7</f>
        <v>270000</v>
      </c>
      <c r="M7" s="993">
        <f>+G7</f>
        <v>592420</v>
      </c>
      <c r="N7" s="688"/>
      <c r="O7" s="685"/>
      <c r="P7" s="91"/>
      <c r="Q7" s="90">
        <f>+F7-L7</f>
        <v>0</v>
      </c>
      <c r="R7" s="364">
        <f t="shared" si="0"/>
        <v>0</v>
      </c>
    </row>
    <row r="8" spans="1:18" ht="29.25" customHeight="1">
      <c r="A8" s="74">
        <v>4</v>
      </c>
      <c r="B8" s="116" t="s">
        <v>463</v>
      </c>
      <c r="C8" s="679" t="s">
        <v>175</v>
      </c>
      <c r="D8" s="685">
        <v>80000</v>
      </c>
      <c r="E8" s="91">
        <v>80000</v>
      </c>
      <c r="F8" s="91">
        <f>80000+11803+3187</f>
        <v>94990</v>
      </c>
      <c r="G8" s="91">
        <f>74795+20195</f>
        <v>94990</v>
      </c>
      <c r="H8" s="1244">
        <f>74795+20195</f>
        <v>94990</v>
      </c>
      <c r="I8" s="688"/>
      <c r="J8" s="690">
        <v>80000</v>
      </c>
      <c r="K8" s="993">
        <v>80000</v>
      </c>
      <c r="L8" s="993">
        <v>80000</v>
      </c>
      <c r="M8" s="993">
        <v>80000</v>
      </c>
      <c r="N8" s="688"/>
      <c r="O8" s="685"/>
      <c r="P8" s="91"/>
      <c r="Q8" s="90">
        <f>+F8-L8</f>
        <v>14990</v>
      </c>
      <c r="R8" s="364">
        <f t="shared" si="0"/>
        <v>14990</v>
      </c>
    </row>
    <row r="9" spans="1:18" ht="29.25" customHeight="1">
      <c r="A9" s="74">
        <v>5</v>
      </c>
      <c r="B9" s="118" t="s">
        <v>479</v>
      </c>
      <c r="C9" s="679"/>
      <c r="D9" s="685">
        <v>4597057</v>
      </c>
      <c r="E9" s="91">
        <v>4597057</v>
      </c>
      <c r="F9" s="91">
        <f>4597057-234157-63222+300000</f>
        <v>4599678</v>
      </c>
      <c r="G9" s="91">
        <f>4597057-234157-63222+300000</f>
        <v>4599678</v>
      </c>
      <c r="H9" s="91">
        <f>4597057-234157-63222+300000</f>
        <v>4599678</v>
      </c>
      <c r="I9" s="688"/>
      <c r="J9" s="685">
        <v>4597057</v>
      </c>
      <c r="K9" s="91">
        <v>4597057</v>
      </c>
      <c r="L9" s="91">
        <v>4597057</v>
      </c>
      <c r="M9" s="91">
        <v>4597057</v>
      </c>
      <c r="N9" s="688"/>
      <c r="O9" s="937"/>
      <c r="P9" s="1247"/>
      <c r="Q9" s="90">
        <f>+F9-L9</f>
        <v>2621</v>
      </c>
      <c r="R9" s="364">
        <f t="shared" si="0"/>
        <v>2621</v>
      </c>
    </row>
    <row r="10" spans="1:18" ht="29.25" customHeight="1">
      <c r="A10" s="74">
        <v>6</v>
      </c>
      <c r="B10" s="1230" t="s">
        <v>521</v>
      </c>
      <c r="C10" s="679"/>
      <c r="D10" s="685"/>
      <c r="E10" s="91"/>
      <c r="F10" s="91">
        <f>930863+251333</f>
        <v>1182196</v>
      </c>
      <c r="G10" s="91">
        <f>930863+251333</f>
        <v>1182196</v>
      </c>
      <c r="H10" s="91">
        <f>930863+251333</f>
        <v>1182196</v>
      </c>
      <c r="I10" s="688"/>
      <c r="J10" s="690"/>
      <c r="K10" s="993"/>
      <c r="L10" s="993"/>
      <c r="M10" s="993"/>
      <c r="N10" s="688"/>
      <c r="O10" s="937"/>
      <c r="P10" s="1247"/>
      <c r="Q10" s="90">
        <f>+F10-L10</f>
        <v>1182196</v>
      </c>
      <c r="R10" s="364">
        <f t="shared" si="0"/>
        <v>1182196</v>
      </c>
    </row>
    <row r="11" spans="1:18" ht="29.25" customHeight="1" thickBot="1">
      <c r="A11" s="74">
        <v>7</v>
      </c>
      <c r="B11" s="118" t="s">
        <v>526</v>
      </c>
      <c r="C11" s="679"/>
      <c r="D11" s="685"/>
      <c r="E11" s="91"/>
      <c r="F11" s="91"/>
      <c r="G11" s="91">
        <v>14960329</v>
      </c>
      <c r="H11" s="1244">
        <f>1181102+318898</f>
        <v>1500000</v>
      </c>
      <c r="I11" s="688"/>
      <c r="J11" s="690"/>
      <c r="K11" s="993"/>
      <c r="L11" s="993"/>
      <c r="M11" s="993">
        <v>14960329</v>
      </c>
      <c r="N11" s="688"/>
      <c r="O11" s="937"/>
      <c r="P11" s="1247"/>
      <c r="Q11" s="91"/>
      <c r="R11" s="92"/>
    </row>
    <row r="12" spans="1:18" ht="31.5" customHeight="1" thickBot="1">
      <c r="A12" s="1347" t="s">
        <v>1</v>
      </c>
      <c r="B12" s="1348"/>
      <c r="C12" s="680"/>
      <c r="D12" s="686">
        <f>SUM(D5:D9)</f>
        <v>6295345</v>
      </c>
      <c r="E12" s="1245">
        <f>SUM(E5:E9)</f>
        <v>6295345</v>
      </c>
      <c r="F12" s="1245">
        <f>SUM(F5:F10)</f>
        <v>7495152</v>
      </c>
      <c r="G12" s="1245">
        <f>SUM(G5:G11)</f>
        <v>22650901</v>
      </c>
      <c r="H12" s="1245">
        <f>SUM(H5:H11)</f>
        <v>9190572</v>
      </c>
      <c r="I12" s="1246">
        <f>F12/E12</f>
        <v>1.1905863777124208</v>
      </c>
      <c r="J12" s="686">
        <f>SUM(J5:J8)</f>
        <v>350000</v>
      </c>
      <c r="K12" s="1245">
        <f>SUM(K5:K8)</f>
        <v>350000</v>
      </c>
      <c r="L12" s="1245">
        <f>SUM(L5:L10)</f>
        <v>4947057</v>
      </c>
      <c r="M12" s="1245">
        <f>SUM(M5:M11)</f>
        <v>20229806</v>
      </c>
      <c r="N12" s="990">
        <f>SUM(N5:N8)</f>
        <v>0</v>
      </c>
      <c r="O12" s="686">
        <f>SUM(O5:O8)</f>
        <v>1627000</v>
      </c>
      <c r="P12" s="1245">
        <f>SUM(P5:P8)</f>
        <v>1627000</v>
      </c>
      <c r="Q12" s="1245">
        <f>SUM(Q5:Q10)</f>
        <v>2548095</v>
      </c>
      <c r="R12" s="990">
        <f>SUM(R5:R11)</f>
        <v>2421095</v>
      </c>
    </row>
    <row r="13" spans="1:15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6" ht="14.25">
      <c r="A14" s="1343" t="s">
        <v>62</v>
      </c>
      <c r="B14" s="1343"/>
      <c r="C14" s="1343"/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</row>
    <row r="15" spans="1:15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8" ht="29.25" customHeight="1" thickBot="1">
      <c r="A16" s="28" t="s">
        <v>5</v>
      </c>
      <c r="B16" s="29" t="s">
        <v>28</v>
      </c>
      <c r="C16" s="583" t="s">
        <v>258</v>
      </c>
      <c r="D16" s="1350" t="s">
        <v>4</v>
      </c>
      <c r="E16" s="1351"/>
      <c r="F16" s="1351"/>
      <c r="G16" s="1351"/>
      <c r="H16" s="1351"/>
      <c r="I16" s="1352"/>
      <c r="J16" s="1344" t="s">
        <v>259</v>
      </c>
      <c r="K16" s="1345"/>
      <c r="L16" s="1345"/>
      <c r="M16" s="1345"/>
      <c r="N16" s="1346"/>
      <c r="O16" s="1344" t="s">
        <v>24</v>
      </c>
      <c r="P16" s="1345"/>
      <c r="Q16" s="1345"/>
      <c r="R16" s="1346"/>
    </row>
    <row r="17" spans="1:18" ht="28.5" customHeight="1" thickBot="1">
      <c r="A17" s="362"/>
      <c r="B17" s="363"/>
      <c r="C17" s="681"/>
      <c r="D17" s="988" t="s">
        <v>70</v>
      </c>
      <c r="E17" s="989" t="s">
        <v>189</v>
      </c>
      <c r="F17" s="989" t="s">
        <v>193</v>
      </c>
      <c r="G17" s="1001" t="s">
        <v>195</v>
      </c>
      <c r="H17" s="1001" t="s">
        <v>199</v>
      </c>
      <c r="I17" s="1237" t="s">
        <v>200</v>
      </c>
      <c r="J17" s="988" t="s">
        <v>70</v>
      </c>
      <c r="K17" s="989" t="s">
        <v>189</v>
      </c>
      <c r="L17" s="1001" t="s">
        <v>193</v>
      </c>
      <c r="M17" s="1001" t="s">
        <v>195</v>
      </c>
      <c r="N17" s="687" t="s">
        <v>200</v>
      </c>
      <c r="O17" s="932" t="s">
        <v>70</v>
      </c>
      <c r="P17" s="1001" t="s">
        <v>189</v>
      </c>
      <c r="Q17" s="1001" t="s">
        <v>193</v>
      </c>
      <c r="R17" s="995" t="s">
        <v>195</v>
      </c>
    </row>
    <row r="18" spans="1:18" ht="28.5" customHeight="1">
      <c r="A18" s="94">
        <v>1</v>
      </c>
      <c r="B18" s="1031" t="s">
        <v>478</v>
      </c>
      <c r="C18" s="682" t="s">
        <v>175</v>
      </c>
      <c r="D18" s="1238">
        <v>29998314</v>
      </c>
      <c r="E18" s="103">
        <f>29998314+15763</f>
        <v>30014077</v>
      </c>
      <c r="F18" s="103">
        <f>29998314+15763+20001</f>
        <v>30034078</v>
      </c>
      <c r="G18" s="1235">
        <f>20000+23633132+6380946</f>
        <v>30034078</v>
      </c>
      <c r="H18" s="1235">
        <f>20000+23633132+6380946</f>
        <v>30034078</v>
      </c>
      <c r="I18" s="688"/>
      <c r="J18" s="1238">
        <v>29998314</v>
      </c>
      <c r="K18" s="103">
        <v>29998314</v>
      </c>
      <c r="L18" s="103">
        <v>29998314</v>
      </c>
      <c r="M18" s="103">
        <v>29998314</v>
      </c>
      <c r="N18" s="688"/>
      <c r="O18" s="1238">
        <f aca="true" t="shared" si="1" ref="O18:R20">+D18-J18</f>
        <v>0</v>
      </c>
      <c r="P18" s="103">
        <f t="shared" si="1"/>
        <v>15763</v>
      </c>
      <c r="Q18" s="103">
        <f t="shared" si="1"/>
        <v>35764</v>
      </c>
      <c r="R18" s="1242">
        <f t="shared" si="1"/>
        <v>35764</v>
      </c>
    </row>
    <row r="19" spans="1:18" ht="29.25" customHeight="1">
      <c r="A19" s="74">
        <v>2</v>
      </c>
      <c r="B19" s="933" t="s">
        <v>527</v>
      </c>
      <c r="C19" s="934" t="s">
        <v>175</v>
      </c>
      <c r="D19" s="684">
        <v>2188977</v>
      </c>
      <c r="E19" s="90">
        <v>2188977</v>
      </c>
      <c r="F19" s="90">
        <v>2188977</v>
      </c>
      <c r="G19" s="90">
        <f>1723604+465373</f>
        <v>2188977</v>
      </c>
      <c r="H19" s="90">
        <f>1723604+465373</f>
        <v>2188977</v>
      </c>
      <c r="I19" s="688"/>
      <c r="J19" s="684">
        <v>1700000</v>
      </c>
      <c r="K19" s="90">
        <v>1700000</v>
      </c>
      <c r="L19" s="90">
        <v>1700000</v>
      </c>
      <c r="M19" s="90">
        <v>1699996</v>
      </c>
      <c r="N19" s="688"/>
      <c r="O19" s="684">
        <f t="shared" si="1"/>
        <v>488977</v>
      </c>
      <c r="P19" s="90">
        <f t="shared" si="1"/>
        <v>488977</v>
      </c>
      <c r="Q19" s="90">
        <f t="shared" si="1"/>
        <v>488977</v>
      </c>
      <c r="R19" s="364">
        <f>+G19-M19</f>
        <v>488981</v>
      </c>
    </row>
    <row r="20" spans="1:18" ht="29.25" customHeight="1" thickBot="1">
      <c r="A20" s="74">
        <v>3</v>
      </c>
      <c r="B20" s="935" t="s">
        <v>522</v>
      </c>
      <c r="C20" s="934" t="s">
        <v>175</v>
      </c>
      <c r="D20" s="684"/>
      <c r="E20" s="90"/>
      <c r="F20" s="90">
        <v>127000</v>
      </c>
      <c r="G20" s="90">
        <f>100000+27000+5000000</f>
        <v>5127000</v>
      </c>
      <c r="H20" s="90">
        <f>100000+27000</f>
        <v>127000</v>
      </c>
      <c r="I20" s="688"/>
      <c r="J20" s="1239"/>
      <c r="K20" s="992"/>
      <c r="L20" s="992"/>
      <c r="M20" s="90">
        <v>5000000</v>
      </c>
      <c r="N20" s="688"/>
      <c r="O20" s="684">
        <f t="shared" si="1"/>
        <v>0</v>
      </c>
      <c r="P20" s="90">
        <f t="shared" si="1"/>
        <v>0</v>
      </c>
      <c r="Q20" s="90">
        <f t="shared" si="1"/>
        <v>127000</v>
      </c>
      <c r="R20" s="364">
        <f>+G20-M20</f>
        <v>127000</v>
      </c>
    </row>
    <row r="21" spans="1:18" ht="29.25" customHeight="1" hidden="1">
      <c r="A21" s="73"/>
      <c r="B21" s="117"/>
      <c r="C21" s="679"/>
      <c r="D21" s="685"/>
      <c r="E21" s="91"/>
      <c r="F21" s="91"/>
      <c r="G21" s="91"/>
      <c r="H21" s="91"/>
      <c r="I21" s="688"/>
      <c r="J21" s="690"/>
      <c r="K21" s="993"/>
      <c r="L21" s="993"/>
      <c r="M21" s="91"/>
      <c r="N21" s="688"/>
      <c r="O21" s="685"/>
      <c r="P21" s="91"/>
      <c r="Q21" s="91"/>
      <c r="R21" s="92"/>
    </row>
    <row r="22" spans="1:18" ht="29.25" customHeight="1" hidden="1">
      <c r="A22" s="73"/>
      <c r="B22" s="116"/>
      <c r="C22" s="678"/>
      <c r="D22" s="684"/>
      <c r="E22" s="90"/>
      <c r="F22" s="90"/>
      <c r="G22" s="90"/>
      <c r="H22" s="90"/>
      <c r="I22" s="688"/>
      <c r="J22" s="690"/>
      <c r="K22" s="993"/>
      <c r="L22" s="993"/>
      <c r="M22" s="90"/>
      <c r="N22" s="688"/>
      <c r="O22" s="938"/>
      <c r="P22" s="1240"/>
      <c r="Q22" s="1240"/>
      <c r="R22" s="939"/>
    </row>
    <row r="23" spans="1:18" ht="29.25" customHeight="1" hidden="1">
      <c r="A23" s="73"/>
      <c r="B23" s="116"/>
      <c r="C23" s="678"/>
      <c r="D23" s="684"/>
      <c r="E23" s="90"/>
      <c r="F23" s="90"/>
      <c r="G23" s="90"/>
      <c r="H23" s="90"/>
      <c r="I23" s="688"/>
      <c r="J23" s="690"/>
      <c r="K23" s="993"/>
      <c r="L23" s="993"/>
      <c r="M23" s="90"/>
      <c r="N23" s="688"/>
      <c r="O23" s="938"/>
      <c r="P23" s="1240"/>
      <c r="Q23" s="1240"/>
      <c r="R23" s="939"/>
    </row>
    <row r="24" spans="1:18" ht="29.25" customHeight="1" hidden="1">
      <c r="A24" s="73"/>
      <c r="B24" s="116"/>
      <c r="C24" s="683"/>
      <c r="D24" s="684"/>
      <c r="E24" s="90"/>
      <c r="F24" s="90"/>
      <c r="G24" s="90"/>
      <c r="H24" s="90"/>
      <c r="I24" s="688"/>
      <c r="J24" s="689"/>
      <c r="K24" s="994"/>
      <c r="L24" s="994"/>
      <c r="M24" s="1235"/>
      <c r="N24" s="688"/>
      <c r="O24" s="938"/>
      <c r="P24" s="1240"/>
      <c r="Q24" s="1240"/>
      <c r="R24" s="939"/>
    </row>
    <row r="25" spans="1:18" ht="29.25" customHeight="1" hidden="1">
      <c r="A25" s="73"/>
      <c r="B25" s="116"/>
      <c r="C25" s="683"/>
      <c r="D25" s="684"/>
      <c r="E25" s="90"/>
      <c r="F25" s="90"/>
      <c r="G25" s="90"/>
      <c r="H25" s="90"/>
      <c r="I25" s="688"/>
      <c r="J25" s="689"/>
      <c r="K25" s="994"/>
      <c r="L25" s="994"/>
      <c r="M25" s="1235"/>
      <c r="N25" s="688"/>
      <c r="O25" s="938"/>
      <c r="P25" s="1240"/>
      <c r="Q25" s="1240"/>
      <c r="R25" s="939"/>
    </row>
    <row r="26" spans="1:18" ht="29.25" customHeight="1" hidden="1">
      <c r="A26" s="73"/>
      <c r="B26" s="116"/>
      <c r="C26" s="683"/>
      <c r="D26" s="684"/>
      <c r="E26" s="90"/>
      <c r="F26" s="90"/>
      <c r="G26" s="90"/>
      <c r="H26" s="90"/>
      <c r="I26" s="688"/>
      <c r="J26" s="689"/>
      <c r="K26" s="994"/>
      <c r="L26" s="994"/>
      <c r="M26" s="1235"/>
      <c r="N26" s="688"/>
      <c r="O26" s="938"/>
      <c r="P26" s="1240"/>
      <c r="Q26" s="1240"/>
      <c r="R26" s="939"/>
    </row>
    <row r="27" spans="1:18" ht="29.25" customHeight="1" hidden="1">
      <c r="A27" s="73"/>
      <c r="B27" s="116"/>
      <c r="C27" s="683"/>
      <c r="D27" s="684"/>
      <c r="E27" s="90"/>
      <c r="F27" s="90"/>
      <c r="G27" s="90"/>
      <c r="H27" s="90"/>
      <c r="I27" s="688"/>
      <c r="J27" s="689"/>
      <c r="K27" s="994"/>
      <c r="L27" s="994"/>
      <c r="M27" s="90"/>
      <c r="N27" s="688"/>
      <c r="O27" s="940"/>
      <c r="P27" s="1241"/>
      <c r="Q27" s="1241"/>
      <c r="R27" s="941"/>
    </row>
    <row r="28" spans="1:18" ht="29.25" customHeight="1" hidden="1" thickBot="1">
      <c r="A28" s="73"/>
      <c r="B28" s="119"/>
      <c r="C28" s="678"/>
      <c r="D28" s="684"/>
      <c r="E28" s="90"/>
      <c r="F28" s="90"/>
      <c r="G28" s="90"/>
      <c r="H28" s="90"/>
      <c r="I28" s="688"/>
      <c r="J28" s="689"/>
      <c r="K28" s="994"/>
      <c r="L28" s="994"/>
      <c r="M28" s="90"/>
      <c r="N28" s="688"/>
      <c r="O28" s="940"/>
      <c r="P28" s="1241"/>
      <c r="Q28" s="1241"/>
      <c r="R28" s="941"/>
    </row>
    <row r="29" spans="1:18" ht="29.25" customHeight="1" thickBot="1">
      <c r="A29" s="1347" t="s">
        <v>1</v>
      </c>
      <c r="B29" s="1349"/>
      <c r="C29" s="680"/>
      <c r="D29" s="691">
        <f>SUM(D18:D28)</f>
        <v>32187291</v>
      </c>
      <c r="E29" s="936">
        <f>SUM(E18:E28)</f>
        <v>32203054</v>
      </c>
      <c r="F29" s="936">
        <f>SUM(F18:F28)</f>
        <v>32350055</v>
      </c>
      <c r="G29" s="936">
        <f>SUM(G18:G28)</f>
        <v>37350055</v>
      </c>
      <c r="H29" s="936">
        <f>SUM(H18:H28)</f>
        <v>32350055</v>
      </c>
      <c r="I29" s="991">
        <f>SUM(I19:I28)</f>
        <v>0</v>
      </c>
      <c r="J29" s="691">
        <f>SUM(J18:J28)</f>
        <v>31698314</v>
      </c>
      <c r="K29" s="936">
        <f>SUM(K18:K28)</f>
        <v>31698314</v>
      </c>
      <c r="L29" s="936">
        <f>SUM(L18:L28)</f>
        <v>31698314</v>
      </c>
      <c r="M29" s="936">
        <f>SUM(M18:M28)</f>
        <v>36698310</v>
      </c>
      <c r="N29" s="991">
        <f>SUM(N18:R28)</f>
        <v>2297203</v>
      </c>
      <c r="O29" s="691">
        <f>SUM(O18:O28)</f>
        <v>488977</v>
      </c>
      <c r="P29" s="936">
        <f>SUM(P18:P28)</f>
        <v>504740</v>
      </c>
      <c r="Q29" s="936">
        <f>SUM(Q18:Q28)</f>
        <v>651741</v>
      </c>
      <c r="R29" s="991">
        <f>SUM(R18:R28)</f>
        <v>651745</v>
      </c>
    </row>
    <row r="31" spans="9:15" ht="12.75">
      <c r="I31" s="95">
        <f>+G31-E30</f>
        <v>0</v>
      </c>
      <c r="J31" s="95"/>
      <c r="K31" s="95"/>
      <c r="L31" s="95"/>
      <c r="M31" s="95"/>
      <c r="N31" s="95"/>
      <c r="O31" s="95"/>
    </row>
    <row r="32" spans="12:13" ht="12.75">
      <c r="L32" s="95"/>
      <c r="M32" s="95"/>
    </row>
  </sheetData>
  <sheetProtection/>
  <mergeCells count="10">
    <mergeCell ref="A1:P1"/>
    <mergeCell ref="A14:P14"/>
    <mergeCell ref="O16:R16"/>
    <mergeCell ref="O3:R3"/>
    <mergeCell ref="A12:B12"/>
    <mergeCell ref="A29:B29"/>
    <mergeCell ref="D3:I3"/>
    <mergeCell ref="D16:I16"/>
    <mergeCell ref="J16:N16"/>
    <mergeCell ref="J3:N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2020.
&amp;R&amp;"Arial CE,Félkövér dőlt"6. számú melléklet&amp;"Arial CE,Normál"
</oddHead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D13">
      <selection activeCell="M28" activeCellId="1" sqref="S28 M28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customWidth="1"/>
    <col min="6" max="6" width="13.421875" style="55" customWidth="1"/>
    <col min="7" max="7" width="15.57421875" style="55" customWidth="1"/>
    <col min="8" max="9" width="9.7109375" style="55" hidden="1" customWidth="1"/>
    <col min="10" max="10" width="14.421875" style="101" customWidth="1"/>
    <col min="11" max="11" width="13.8515625" style="101" customWidth="1"/>
    <col min="12" max="13" width="13.57421875" style="101" customWidth="1"/>
    <col min="14" max="15" width="13.57421875" style="101" hidden="1" customWidth="1"/>
    <col min="16" max="17" width="13.57421875" style="101" customWidth="1"/>
    <col min="18" max="18" width="13.57421875" style="10" customWidth="1"/>
    <col min="19" max="19" width="16.00390625" style="10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3"/>
      <c r="E1" s="123"/>
      <c r="F1" s="123"/>
      <c r="G1" s="123"/>
      <c r="H1" s="123"/>
      <c r="I1" s="123"/>
      <c r="J1" s="1369" t="s">
        <v>374</v>
      </c>
      <c r="K1" s="1369"/>
      <c r="L1" s="1369"/>
      <c r="M1" s="1369"/>
      <c r="N1" s="1369"/>
      <c r="O1" s="1369"/>
      <c r="P1" s="1369"/>
      <c r="Q1" s="1369"/>
    </row>
    <row r="2" spans="1:17" ht="16.5" customHeight="1">
      <c r="A2" s="1366" t="s">
        <v>32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</row>
    <row r="3" spans="1:17" ht="15" customHeight="1">
      <c r="A3" s="1367" t="s">
        <v>496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</row>
    <row r="4" spans="1:17" ht="15" customHeight="1">
      <c r="A4" s="1368" t="s">
        <v>158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</row>
    <row r="5" spans="2:16" ht="13.5" thickBot="1">
      <c r="B5" s="14"/>
      <c r="C5" s="14"/>
      <c r="P5" s="101" t="s">
        <v>390</v>
      </c>
    </row>
    <row r="6" spans="1:22" s="170" customFormat="1" ht="41.25" customHeight="1" thickBot="1">
      <c r="A6" s="169" t="s">
        <v>5</v>
      </c>
      <c r="B6" s="1356" t="s">
        <v>3</v>
      </c>
      <c r="C6" s="1356"/>
      <c r="D6" s="1353" t="s">
        <v>4</v>
      </c>
      <c r="E6" s="1354"/>
      <c r="F6" s="1354"/>
      <c r="G6" s="1354"/>
      <c r="H6" s="1354"/>
      <c r="I6" s="1355"/>
      <c r="J6" s="1353" t="s">
        <v>66</v>
      </c>
      <c r="K6" s="1354"/>
      <c r="L6" s="1354"/>
      <c r="M6" s="1354"/>
      <c r="N6" s="1354"/>
      <c r="O6" s="1355"/>
      <c r="P6" s="1353" t="s">
        <v>67</v>
      </c>
      <c r="Q6" s="1354"/>
      <c r="R6" s="1354"/>
      <c r="S6" s="1354"/>
      <c r="T6" s="1354"/>
      <c r="U6" s="1355"/>
      <c r="V6" s="1217"/>
    </row>
    <row r="7" spans="1:22" s="170" customFormat="1" ht="41.25" customHeight="1">
      <c r="A7" s="365"/>
      <c r="B7" s="366"/>
      <c r="C7" s="366"/>
      <c r="D7" s="570" t="s">
        <v>70</v>
      </c>
      <c r="E7" s="571" t="s">
        <v>189</v>
      </c>
      <c r="F7" s="571" t="s">
        <v>193</v>
      </c>
      <c r="G7" s="571" t="s">
        <v>195</v>
      </c>
      <c r="H7" s="571" t="s">
        <v>199</v>
      </c>
      <c r="I7" s="572" t="s">
        <v>206</v>
      </c>
      <c r="J7" s="570" t="s">
        <v>70</v>
      </c>
      <c r="K7" s="571" t="s">
        <v>189</v>
      </c>
      <c r="L7" s="571" t="s">
        <v>193</v>
      </c>
      <c r="M7" s="571" t="s">
        <v>195</v>
      </c>
      <c r="N7" s="571" t="s">
        <v>199</v>
      </c>
      <c r="O7" s="572" t="s">
        <v>206</v>
      </c>
      <c r="P7" s="570" t="s">
        <v>70</v>
      </c>
      <c r="Q7" s="571" t="s">
        <v>189</v>
      </c>
      <c r="R7" s="571" t="s">
        <v>193</v>
      </c>
      <c r="S7" s="571" t="s">
        <v>195</v>
      </c>
      <c r="T7" s="571" t="s">
        <v>199</v>
      </c>
      <c r="U7" s="572" t="s">
        <v>206</v>
      </c>
      <c r="V7" s="1217"/>
    </row>
    <row r="8" spans="1:22" ht="27.75" customHeight="1" hidden="1">
      <c r="A8" s="73">
        <v>1</v>
      </c>
      <c r="B8" s="1357" t="s">
        <v>359</v>
      </c>
      <c r="C8" s="1358"/>
      <c r="D8" s="573">
        <v>0</v>
      </c>
      <c r="E8" s="574">
        <v>0</v>
      </c>
      <c r="F8" s="574">
        <v>0</v>
      </c>
      <c r="G8" s="574">
        <v>0</v>
      </c>
      <c r="H8" s="574"/>
      <c r="I8" s="1219"/>
      <c r="J8" s="573">
        <v>0</v>
      </c>
      <c r="K8" s="574">
        <v>0</v>
      </c>
      <c r="L8" s="574">
        <v>0</v>
      </c>
      <c r="M8" s="574"/>
      <c r="N8" s="574"/>
      <c r="O8" s="1219"/>
      <c r="P8" s="573"/>
      <c r="Q8" s="574"/>
      <c r="R8" s="574"/>
      <c r="S8" s="574"/>
      <c r="T8" s="574"/>
      <c r="U8" s="575"/>
      <c r="V8" s="1218"/>
    </row>
    <row r="9" spans="1:22" ht="27.75" customHeight="1">
      <c r="A9" s="74">
        <v>1</v>
      </c>
      <c r="B9" s="1361" t="s">
        <v>360</v>
      </c>
      <c r="C9" s="1361"/>
      <c r="D9" s="576"/>
      <c r="E9" s="577"/>
      <c r="F9" s="577"/>
      <c r="G9" s="577">
        <v>40359</v>
      </c>
      <c r="H9" s="577"/>
      <c r="I9" s="1220"/>
      <c r="J9" s="576"/>
      <c r="K9" s="577"/>
      <c r="L9" s="577"/>
      <c r="M9" s="577">
        <v>40359</v>
      </c>
      <c r="N9" s="577"/>
      <c r="O9" s="1220"/>
      <c r="P9" s="576"/>
      <c r="Q9" s="577"/>
      <c r="R9" s="577"/>
      <c r="S9" s="577"/>
      <c r="T9" s="577"/>
      <c r="U9" s="1224"/>
      <c r="V9" s="1218"/>
    </row>
    <row r="10" spans="1:22" ht="27.75" customHeight="1">
      <c r="A10" s="74">
        <v>2</v>
      </c>
      <c r="B10" s="1361" t="s">
        <v>356</v>
      </c>
      <c r="C10" s="1361"/>
      <c r="D10" s="576">
        <v>816059</v>
      </c>
      <c r="E10" s="577">
        <v>816059</v>
      </c>
      <c r="F10" s="577">
        <v>1045059</v>
      </c>
      <c r="G10" s="577">
        <v>1091458</v>
      </c>
      <c r="H10" s="577"/>
      <c r="I10" s="1220"/>
      <c r="J10" s="576">
        <v>816059</v>
      </c>
      <c r="K10" s="577">
        <v>816059</v>
      </c>
      <c r="L10" s="577">
        <v>1045059</v>
      </c>
      <c r="M10" s="577">
        <v>1091458</v>
      </c>
      <c r="N10" s="577"/>
      <c r="O10" s="1220"/>
      <c r="P10" s="576"/>
      <c r="Q10" s="577"/>
      <c r="R10" s="577"/>
      <c r="S10" s="577"/>
      <c r="T10" s="577"/>
      <c r="U10" s="1220"/>
      <c r="V10" s="1218"/>
    </row>
    <row r="11" spans="1:22" ht="27.75" customHeight="1">
      <c r="A11" s="74">
        <v>3</v>
      </c>
      <c r="B11" s="1361" t="s">
        <v>377</v>
      </c>
      <c r="C11" s="1361"/>
      <c r="D11" s="576">
        <v>374650</v>
      </c>
      <c r="E11" s="577">
        <v>374650</v>
      </c>
      <c r="F11" s="577">
        <v>374650</v>
      </c>
      <c r="G11" s="577">
        <v>374650</v>
      </c>
      <c r="H11" s="577"/>
      <c r="I11" s="1220"/>
      <c r="J11" s="576">
        <v>374650</v>
      </c>
      <c r="K11" s="577">
        <v>374650</v>
      </c>
      <c r="L11" s="577">
        <v>374650</v>
      </c>
      <c r="M11" s="577">
        <v>374650</v>
      </c>
      <c r="N11" s="577"/>
      <c r="O11" s="1220"/>
      <c r="P11" s="576"/>
      <c r="Q11" s="577"/>
      <c r="R11" s="577"/>
      <c r="S11" s="577"/>
      <c r="T11" s="577"/>
      <c r="U11" s="1224"/>
      <c r="V11" s="1218"/>
    </row>
    <row r="12" spans="1:22" ht="27.75" customHeight="1">
      <c r="A12" s="74">
        <v>4</v>
      </c>
      <c r="B12" s="1361" t="s">
        <v>361</v>
      </c>
      <c r="C12" s="1361"/>
      <c r="D12" s="576">
        <v>2712599</v>
      </c>
      <c r="E12" s="577">
        <v>2712599</v>
      </c>
      <c r="F12" s="577">
        <v>2712599</v>
      </c>
      <c r="G12" s="577">
        <v>5525856</v>
      </c>
      <c r="H12" s="577"/>
      <c r="I12" s="1220"/>
      <c r="J12" s="576">
        <v>2712599</v>
      </c>
      <c r="K12" s="577">
        <v>2712599</v>
      </c>
      <c r="L12" s="577">
        <v>2712599</v>
      </c>
      <c r="M12" s="577">
        <v>5525856</v>
      </c>
      <c r="N12" s="577"/>
      <c r="O12" s="1220"/>
      <c r="P12" s="576"/>
      <c r="Q12" s="577"/>
      <c r="R12" s="577"/>
      <c r="S12" s="577"/>
      <c r="T12" s="577"/>
      <c r="U12" s="1224"/>
      <c r="V12" s="1218"/>
    </row>
    <row r="13" spans="1:22" ht="27.75" customHeight="1">
      <c r="A13" s="74">
        <v>5</v>
      </c>
      <c r="B13" s="1361" t="s">
        <v>362</v>
      </c>
      <c r="C13" s="1361"/>
      <c r="D13" s="576">
        <v>171450</v>
      </c>
      <c r="E13" s="577">
        <v>171450</v>
      </c>
      <c r="F13" s="577">
        <v>171450</v>
      </c>
      <c r="G13" s="577">
        <v>221994</v>
      </c>
      <c r="H13" s="577"/>
      <c r="I13" s="1220"/>
      <c r="J13" s="576">
        <v>171450</v>
      </c>
      <c r="K13" s="577">
        <v>171450</v>
      </c>
      <c r="L13" s="577">
        <v>171450</v>
      </c>
      <c r="M13" s="577">
        <v>221994</v>
      </c>
      <c r="N13" s="577"/>
      <c r="O13" s="1220"/>
      <c r="P13" s="576"/>
      <c r="Q13" s="577"/>
      <c r="R13" s="577"/>
      <c r="S13" s="577"/>
      <c r="T13" s="577"/>
      <c r="U13" s="1224"/>
      <c r="V13" s="1218"/>
    </row>
    <row r="14" spans="1:22" ht="27.75" customHeight="1">
      <c r="A14" s="74">
        <v>6</v>
      </c>
      <c r="B14" s="1361" t="s">
        <v>399</v>
      </c>
      <c r="C14" s="1361"/>
      <c r="D14" s="576">
        <v>180000</v>
      </c>
      <c r="E14" s="577">
        <v>180000</v>
      </c>
      <c r="F14" s="577">
        <v>180000</v>
      </c>
      <c r="G14" s="577">
        <v>201411</v>
      </c>
      <c r="H14" s="577"/>
      <c r="I14" s="1220"/>
      <c r="J14" s="576">
        <v>180000</v>
      </c>
      <c r="K14" s="577">
        <v>180000</v>
      </c>
      <c r="L14" s="577">
        <v>180000</v>
      </c>
      <c r="M14" s="577">
        <v>201411</v>
      </c>
      <c r="N14" s="577"/>
      <c r="O14" s="1220"/>
      <c r="P14" s="576"/>
      <c r="Q14" s="577"/>
      <c r="R14" s="577"/>
      <c r="S14" s="577"/>
      <c r="T14" s="577"/>
      <c r="U14" s="1224"/>
      <c r="V14" s="1218"/>
    </row>
    <row r="15" spans="1:22" ht="27.75" customHeight="1">
      <c r="A15" s="74">
        <v>7</v>
      </c>
      <c r="B15" s="1361" t="s">
        <v>363</v>
      </c>
      <c r="C15" s="1361"/>
      <c r="D15" s="576">
        <v>681065</v>
      </c>
      <c r="E15" s="577">
        <v>681065</v>
      </c>
      <c r="F15" s="577">
        <v>681065</v>
      </c>
      <c r="G15" s="577">
        <v>427065</v>
      </c>
      <c r="H15" s="577"/>
      <c r="I15" s="1220"/>
      <c r="J15" s="576">
        <f>+D15</f>
        <v>681065</v>
      </c>
      <c r="K15" s="577">
        <f>+E15</f>
        <v>681065</v>
      </c>
      <c r="L15" s="577">
        <v>681065</v>
      </c>
      <c r="M15" s="577">
        <v>427065</v>
      </c>
      <c r="N15" s="577"/>
      <c r="O15" s="1220"/>
      <c r="P15" s="576"/>
      <c r="Q15" s="577"/>
      <c r="R15" s="577"/>
      <c r="S15" s="577"/>
      <c r="T15" s="577"/>
      <c r="U15" s="1224"/>
      <c r="V15" s="1218"/>
    </row>
    <row r="16" spans="1:22" ht="27.75" customHeight="1">
      <c r="A16" s="74">
        <v>8</v>
      </c>
      <c r="B16" s="1361" t="s">
        <v>398</v>
      </c>
      <c r="C16" s="1361"/>
      <c r="D16" s="576">
        <v>901360</v>
      </c>
      <c r="E16" s="577">
        <v>901360</v>
      </c>
      <c r="F16" s="577">
        <v>901360</v>
      </c>
      <c r="G16" s="577">
        <v>821528</v>
      </c>
      <c r="H16" s="577"/>
      <c r="I16" s="1220"/>
      <c r="J16" s="576">
        <v>901360</v>
      </c>
      <c r="K16" s="577">
        <v>901360</v>
      </c>
      <c r="L16" s="577">
        <v>901360</v>
      </c>
      <c r="M16" s="577">
        <v>821528</v>
      </c>
      <c r="N16" s="577"/>
      <c r="O16" s="1220"/>
      <c r="P16" s="576"/>
      <c r="Q16" s="577"/>
      <c r="R16" s="577"/>
      <c r="S16" s="577"/>
      <c r="T16" s="577"/>
      <c r="U16" s="1224"/>
      <c r="V16" s="1218"/>
    </row>
    <row r="17" spans="1:22" ht="36" customHeight="1">
      <c r="A17" s="74">
        <v>9</v>
      </c>
      <c r="B17" s="1359" t="s">
        <v>364</v>
      </c>
      <c r="C17" s="1360"/>
      <c r="D17" s="578">
        <v>25000</v>
      </c>
      <c r="E17" s="579">
        <v>25000</v>
      </c>
      <c r="F17" s="579">
        <v>25000</v>
      </c>
      <c r="G17" s="579">
        <v>25000</v>
      </c>
      <c r="H17" s="579"/>
      <c r="I17" s="1221"/>
      <c r="J17" s="578">
        <v>25000</v>
      </c>
      <c r="K17" s="579">
        <v>25000</v>
      </c>
      <c r="L17" s="579">
        <v>25000</v>
      </c>
      <c r="M17" s="579">
        <v>25000</v>
      </c>
      <c r="N17" s="577"/>
      <c r="O17" s="1220"/>
      <c r="P17" s="576"/>
      <c r="Q17" s="577"/>
      <c r="R17" s="577"/>
      <c r="S17" s="577"/>
      <c r="T17" s="577"/>
      <c r="U17" s="1224"/>
      <c r="V17" s="1218"/>
    </row>
    <row r="18" spans="1:22" ht="27.75" customHeight="1">
      <c r="A18" s="74">
        <v>10</v>
      </c>
      <c r="B18" s="1362" t="s">
        <v>365</v>
      </c>
      <c r="C18" s="1362"/>
      <c r="D18" s="578">
        <v>285020</v>
      </c>
      <c r="E18" s="579">
        <v>285020</v>
      </c>
      <c r="F18" s="579">
        <v>285020</v>
      </c>
      <c r="G18" s="579">
        <v>285020</v>
      </c>
      <c r="H18" s="579"/>
      <c r="I18" s="1220"/>
      <c r="J18" s="578">
        <v>285020</v>
      </c>
      <c r="K18" s="579">
        <v>285020</v>
      </c>
      <c r="L18" s="579">
        <v>285020</v>
      </c>
      <c r="M18" s="579">
        <v>285020</v>
      </c>
      <c r="N18" s="579"/>
      <c r="O18" s="1220"/>
      <c r="P18" s="578"/>
      <c r="Q18" s="579"/>
      <c r="R18" s="579"/>
      <c r="S18" s="579"/>
      <c r="T18" s="579"/>
      <c r="U18" s="1225"/>
      <c r="V18" s="1218"/>
    </row>
    <row r="19" spans="1:22" ht="27.75" customHeight="1">
      <c r="A19" s="74">
        <v>11</v>
      </c>
      <c r="B19" s="1362" t="s">
        <v>382</v>
      </c>
      <c r="C19" s="1362"/>
      <c r="D19" s="578">
        <v>279400</v>
      </c>
      <c r="E19" s="579">
        <v>279400</v>
      </c>
      <c r="F19" s="579">
        <v>279400</v>
      </c>
      <c r="G19" s="579">
        <v>279400</v>
      </c>
      <c r="H19" s="579"/>
      <c r="I19" s="1220"/>
      <c r="J19" s="578">
        <v>279400</v>
      </c>
      <c r="K19" s="579">
        <v>279400</v>
      </c>
      <c r="L19" s="579">
        <v>279400</v>
      </c>
      <c r="M19" s="579">
        <v>279400</v>
      </c>
      <c r="N19" s="579"/>
      <c r="O19" s="1220"/>
      <c r="P19" s="578"/>
      <c r="Q19" s="579"/>
      <c r="R19" s="579"/>
      <c r="S19" s="579"/>
      <c r="T19" s="579"/>
      <c r="U19" s="1225"/>
      <c r="V19" s="1218"/>
    </row>
    <row r="20" spans="1:22" ht="27.75" customHeight="1" thickBot="1">
      <c r="A20" s="74">
        <v>12</v>
      </c>
      <c r="B20" s="1362" t="s">
        <v>464</v>
      </c>
      <c r="C20" s="1362"/>
      <c r="D20" s="578">
        <v>5570000</v>
      </c>
      <c r="E20" s="579">
        <v>5570000</v>
      </c>
      <c r="F20" s="579">
        <v>5570000</v>
      </c>
      <c r="G20" s="579">
        <v>5570000</v>
      </c>
      <c r="H20" s="579"/>
      <c r="I20" s="1220"/>
      <c r="J20" s="578"/>
      <c r="K20" s="579"/>
      <c r="L20" s="579"/>
      <c r="M20" s="579"/>
      <c r="N20" s="579"/>
      <c r="O20" s="1220"/>
      <c r="P20" s="578">
        <v>5570000</v>
      </c>
      <c r="Q20" s="579">
        <v>5570000</v>
      </c>
      <c r="R20" s="579">
        <v>5570000</v>
      </c>
      <c r="S20" s="579">
        <v>5570000</v>
      </c>
      <c r="T20" s="582"/>
      <c r="U20" s="1226"/>
      <c r="V20" s="1218"/>
    </row>
    <row r="21" spans="1:22" ht="27.75" customHeight="1" thickBot="1">
      <c r="A21" s="74">
        <v>13</v>
      </c>
      <c r="B21" s="1362" t="s">
        <v>465</v>
      </c>
      <c r="C21" s="1362"/>
      <c r="D21" s="578">
        <v>121853</v>
      </c>
      <c r="E21" s="579">
        <v>121853</v>
      </c>
      <c r="F21" s="579">
        <v>0</v>
      </c>
      <c r="G21" s="579">
        <v>0</v>
      </c>
      <c r="H21" s="579"/>
      <c r="I21" s="1220"/>
      <c r="J21" s="578">
        <v>121853</v>
      </c>
      <c r="K21" s="579">
        <v>121853</v>
      </c>
      <c r="L21" s="579">
        <v>0</v>
      </c>
      <c r="M21" s="579">
        <v>0</v>
      </c>
      <c r="N21" s="579"/>
      <c r="O21" s="1220"/>
      <c r="P21" s="578"/>
      <c r="Q21" s="579"/>
      <c r="R21" s="579"/>
      <c r="S21" s="579"/>
      <c r="T21" s="1227"/>
      <c r="U21" s="1228"/>
      <c r="V21" s="1218"/>
    </row>
    <row r="22" spans="1:22" ht="27.75" customHeight="1" thickBot="1">
      <c r="A22" s="74">
        <v>14</v>
      </c>
      <c r="B22" s="1364" t="s">
        <v>529</v>
      </c>
      <c r="C22" s="1365"/>
      <c r="D22" s="578"/>
      <c r="E22" s="579"/>
      <c r="F22" s="579">
        <v>243840</v>
      </c>
      <c r="G22" s="579">
        <v>556998</v>
      </c>
      <c r="H22" s="579"/>
      <c r="I22" s="1221"/>
      <c r="J22" s="578"/>
      <c r="K22" s="579"/>
      <c r="L22" s="579">
        <v>243840</v>
      </c>
      <c r="M22" s="579">
        <v>556998</v>
      </c>
      <c r="N22" s="579"/>
      <c r="O22" s="1221"/>
      <c r="P22" s="578"/>
      <c r="Q22" s="579"/>
      <c r="R22" s="579"/>
      <c r="S22" s="579"/>
      <c r="T22" s="1227"/>
      <c r="U22" s="1228"/>
      <c r="V22" s="1218"/>
    </row>
    <row r="23" spans="1:22" ht="27.75" customHeight="1" hidden="1" thickBot="1">
      <c r="A23" s="74">
        <v>15</v>
      </c>
      <c r="B23" s="1362" t="s">
        <v>480</v>
      </c>
      <c r="C23" s="1362"/>
      <c r="D23" s="578"/>
      <c r="E23" s="579"/>
      <c r="F23" s="579"/>
      <c r="G23" s="579"/>
      <c r="H23" s="579"/>
      <c r="I23" s="1220"/>
      <c r="J23" s="578"/>
      <c r="K23" s="579"/>
      <c r="L23" s="579"/>
      <c r="M23" s="579"/>
      <c r="N23" s="579"/>
      <c r="O23" s="1220"/>
      <c r="P23" s="578"/>
      <c r="Q23" s="579"/>
      <c r="R23" s="579"/>
      <c r="S23" s="579"/>
      <c r="T23" s="1227"/>
      <c r="U23" s="1228"/>
      <c r="V23" s="1218"/>
    </row>
    <row r="24" spans="1:22" ht="27.75" customHeight="1" hidden="1" thickBot="1">
      <c r="A24" s="74">
        <v>16</v>
      </c>
      <c r="B24" s="1362" t="s">
        <v>481</v>
      </c>
      <c r="C24" s="1362"/>
      <c r="D24" s="578"/>
      <c r="E24" s="579"/>
      <c r="F24" s="579"/>
      <c r="G24" s="579"/>
      <c r="H24" s="579"/>
      <c r="I24" s="1220"/>
      <c r="J24" s="578"/>
      <c r="K24" s="579"/>
      <c r="L24" s="579"/>
      <c r="M24" s="579"/>
      <c r="N24" s="579"/>
      <c r="O24" s="1220"/>
      <c r="P24" s="578"/>
      <c r="Q24" s="579"/>
      <c r="R24" s="579"/>
      <c r="S24" s="579"/>
      <c r="T24" s="1227"/>
      <c r="U24" s="1228"/>
      <c r="V24" s="1218"/>
    </row>
    <row r="25" spans="1:22" ht="27.75" customHeight="1" hidden="1" thickBot="1">
      <c r="A25" s="74">
        <v>17</v>
      </c>
      <c r="B25" s="1362" t="s">
        <v>482</v>
      </c>
      <c r="C25" s="1362"/>
      <c r="D25" s="578"/>
      <c r="E25" s="579"/>
      <c r="F25" s="579"/>
      <c r="G25" s="579"/>
      <c r="H25" s="579"/>
      <c r="I25" s="1220"/>
      <c r="J25" s="578"/>
      <c r="K25" s="579"/>
      <c r="L25" s="579"/>
      <c r="M25" s="579"/>
      <c r="N25" s="579"/>
      <c r="O25" s="1220"/>
      <c r="P25" s="578"/>
      <c r="Q25" s="579"/>
      <c r="R25" s="579"/>
      <c r="S25" s="579"/>
      <c r="T25" s="1227"/>
      <c r="U25" s="1228"/>
      <c r="V25" s="1218"/>
    </row>
    <row r="26" spans="1:22" ht="27.75" customHeight="1" thickBot="1">
      <c r="A26" s="74">
        <v>15</v>
      </c>
      <c r="B26" s="1362" t="s">
        <v>528</v>
      </c>
      <c r="C26" s="1362"/>
      <c r="D26" s="578"/>
      <c r="E26" s="579"/>
      <c r="F26" s="579"/>
      <c r="G26" s="579">
        <v>32475</v>
      </c>
      <c r="H26" s="579"/>
      <c r="I26" s="1220"/>
      <c r="J26" s="578"/>
      <c r="K26" s="579"/>
      <c r="L26" s="579"/>
      <c r="M26" s="579">
        <v>32475</v>
      </c>
      <c r="N26" s="579"/>
      <c r="O26" s="1220"/>
      <c r="P26" s="578"/>
      <c r="Q26" s="579"/>
      <c r="R26" s="579"/>
      <c r="S26" s="579"/>
      <c r="T26" s="1227"/>
      <c r="U26" s="1228"/>
      <c r="V26" s="1218"/>
    </row>
    <row r="27" spans="1:22" ht="27.75" customHeight="1" hidden="1" thickBot="1">
      <c r="A27" s="74"/>
      <c r="B27" s="1362"/>
      <c r="C27" s="1362"/>
      <c r="D27" s="578"/>
      <c r="E27" s="579"/>
      <c r="F27" s="579"/>
      <c r="G27" s="579"/>
      <c r="H27" s="579"/>
      <c r="I27" s="1220"/>
      <c r="J27" s="578"/>
      <c r="K27" s="579"/>
      <c r="L27" s="579"/>
      <c r="M27" s="579"/>
      <c r="N27" s="579"/>
      <c r="O27" s="1220"/>
      <c r="P27" s="578"/>
      <c r="Q27" s="579"/>
      <c r="R27" s="579"/>
      <c r="S27" s="1227"/>
      <c r="T27" s="1227"/>
      <c r="U27" s="1228"/>
      <c r="V27" s="1218"/>
    </row>
    <row r="28" spans="1:22" ht="32.25" customHeight="1" thickBot="1">
      <c r="A28" s="288"/>
      <c r="B28" s="1363" t="s">
        <v>14</v>
      </c>
      <c r="C28" s="1363"/>
      <c r="D28" s="580">
        <f aca="true" t="shared" si="0" ref="D28:I28">SUM(D8:D22)</f>
        <v>12118456</v>
      </c>
      <c r="E28" s="581">
        <f>SUM(E8:E22)</f>
        <v>12118456</v>
      </c>
      <c r="F28" s="581">
        <f>SUM(F8:F22)</f>
        <v>12469443</v>
      </c>
      <c r="G28" s="581">
        <f>SUM(G8:G27)</f>
        <v>15453214</v>
      </c>
      <c r="H28" s="581">
        <f t="shared" si="0"/>
        <v>0</v>
      </c>
      <c r="I28" s="1222">
        <f t="shared" si="0"/>
        <v>0</v>
      </c>
      <c r="J28" s="580">
        <f>SUM(J8:J22)</f>
        <v>6548456</v>
      </c>
      <c r="K28" s="581">
        <f>SUM(K8:K22)</f>
        <v>6548456</v>
      </c>
      <c r="L28" s="581">
        <f>SUM(L8:L22)</f>
        <v>6899443</v>
      </c>
      <c r="M28" s="581">
        <f>SUM(M8:M27)</f>
        <v>9883214</v>
      </c>
      <c r="N28" s="581"/>
      <c r="O28" s="1223"/>
      <c r="P28" s="580">
        <f>SUM(P8:P22)</f>
        <v>5570000</v>
      </c>
      <c r="Q28" s="581">
        <f>SUM(Q8:Q22)</f>
        <v>5570000</v>
      </c>
      <c r="R28" s="581">
        <f>SUM(R8:R22)</f>
        <v>5570000</v>
      </c>
      <c r="S28" s="581">
        <f>SUM(S8:S22)</f>
        <v>5570000</v>
      </c>
      <c r="T28" s="581"/>
      <c r="U28" s="1223"/>
      <c r="V28" s="1218"/>
    </row>
    <row r="29" spans="4:11" ht="12.75">
      <c r="D29" s="1149"/>
      <c r="F29" s="1149"/>
      <c r="G29" s="1149"/>
      <c r="K29" s="55"/>
    </row>
    <row r="30" spans="4:17" ht="12.75" hidden="1">
      <c r="D30" s="10">
        <v>5781</v>
      </c>
      <c r="E30" s="10"/>
      <c r="F30" s="10"/>
      <c r="G30" s="10"/>
      <c r="H30" s="10"/>
      <c r="I30" s="10"/>
      <c r="J30" s="10"/>
      <c r="K30" s="10"/>
      <c r="P30" s="10"/>
      <c r="Q30" s="10"/>
    </row>
    <row r="31" spans="4:17" ht="12.75">
      <c r="D31" s="101"/>
      <c r="E31" s="101"/>
      <c r="F31" s="101"/>
      <c r="G31" s="101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086"/>
      <c r="D32" s="101"/>
      <c r="E32" s="10"/>
      <c r="F32" s="101"/>
      <c r="G32" s="10"/>
      <c r="H32" s="101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086"/>
      <c r="D33" s="10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08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3:17" ht="12.75">
      <c r="C35" s="108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08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3:17" ht="12.75">
      <c r="C37" s="108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3:17" ht="12.75">
      <c r="C38" s="108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/>
  <mergeCells count="29">
    <mergeCell ref="A2:Q2"/>
    <mergeCell ref="A3:Q3"/>
    <mergeCell ref="A4:Q4"/>
    <mergeCell ref="J1:Q1"/>
    <mergeCell ref="B25:C25"/>
    <mergeCell ref="B26:C26"/>
    <mergeCell ref="B24:C24"/>
    <mergeCell ref="B11:C11"/>
    <mergeCell ref="B10:C10"/>
    <mergeCell ref="B15:C15"/>
    <mergeCell ref="B27:C27"/>
    <mergeCell ref="B28:C28"/>
    <mergeCell ref="B12:C12"/>
    <mergeCell ref="B13:C13"/>
    <mergeCell ref="B18:C18"/>
    <mergeCell ref="B19:C19"/>
    <mergeCell ref="B20:C20"/>
    <mergeCell ref="B22:C22"/>
    <mergeCell ref="B21:C21"/>
    <mergeCell ref="B23:C23"/>
    <mergeCell ref="P6:U6"/>
    <mergeCell ref="B6:C6"/>
    <mergeCell ref="B8:C8"/>
    <mergeCell ref="B17:C17"/>
    <mergeCell ref="B14:C14"/>
    <mergeCell ref="B16:C16"/>
    <mergeCell ref="B9:C9"/>
    <mergeCell ref="D6:I6"/>
    <mergeCell ref="J6:O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E2">
      <selection activeCell="L10" sqref="L10:L17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customWidth="1"/>
    <col min="6" max="6" width="14.00390625" style="36" customWidth="1"/>
    <col min="7" max="7" width="14.00390625" style="36" hidden="1" customWidth="1"/>
    <col min="8" max="8" width="17.00390625" style="36" hidden="1" customWidth="1"/>
    <col min="9" max="9" width="16.00390625" style="36" customWidth="1"/>
    <col min="10" max="10" width="14.28125" style="36" customWidth="1"/>
    <col min="11" max="11" width="13.421875" style="36" customWidth="1"/>
    <col min="12" max="12" width="14.7109375" style="36" customWidth="1"/>
    <col min="13" max="13" width="12.57421875" style="36" hidden="1" customWidth="1"/>
    <col min="14" max="14" width="15.7109375" style="36" customWidth="1"/>
    <col min="15" max="15" width="14.28125" style="15" customWidth="1"/>
    <col min="16" max="16" width="12.57421875" style="15" customWidth="1"/>
    <col min="17" max="17" width="12.7109375" style="15" customWidth="1"/>
    <col min="18" max="18" width="13.28125" style="15" hidden="1" customWidth="1"/>
    <col min="19" max="19" width="17.7109375" style="15" customWidth="1"/>
    <col min="20" max="20" width="9.140625" style="15" customWidth="1"/>
    <col min="21" max="21" width="13.28125" style="15" bestFit="1" customWidth="1"/>
    <col min="22" max="22" width="15.57421875" style="15" bestFit="1" customWidth="1"/>
    <col min="23" max="16384" width="9.140625" style="15" customWidth="1"/>
  </cols>
  <sheetData>
    <row r="1" spans="9:14" ht="24.75" customHeight="1">
      <c r="I1" s="1370" t="s">
        <v>162</v>
      </c>
      <c r="J1" s="1370"/>
      <c r="K1" s="1370"/>
      <c r="L1" s="1370"/>
      <c r="M1" s="1370"/>
      <c r="N1" s="1370"/>
    </row>
    <row r="2" spans="1:14" ht="37.5" customHeight="1">
      <c r="A2" s="1374" t="s">
        <v>397</v>
      </c>
      <c r="B2" s="1374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</row>
    <row r="3" spans="1:14" ht="18.75" customHeight="1">
      <c r="A3" s="1376" t="s">
        <v>496</v>
      </c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</row>
    <row r="4" spans="1:14" ht="15.75">
      <c r="A4" s="1380" t="s">
        <v>63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</row>
    <row r="5" spans="1:14" ht="19.5" thickBot="1">
      <c r="A5" s="56"/>
      <c r="B5" s="56"/>
      <c r="N5" s="929" t="s">
        <v>387</v>
      </c>
    </row>
    <row r="6" spans="1:19" ht="19.5" customHeight="1">
      <c r="A6" s="1377" t="s">
        <v>23</v>
      </c>
      <c r="B6" s="1371" t="s">
        <v>173</v>
      </c>
      <c r="C6" s="1381" t="s">
        <v>4</v>
      </c>
      <c r="D6" s="1382"/>
      <c r="E6" s="1382"/>
      <c r="F6" s="1382"/>
      <c r="G6" s="1382"/>
      <c r="H6" s="1383"/>
      <c r="I6" s="1381" t="s">
        <v>201</v>
      </c>
      <c r="J6" s="1382"/>
      <c r="K6" s="1382"/>
      <c r="L6" s="1382"/>
      <c r="M6" s="1383"/>
      <c r="N6" s="1381" t="s">
        <v>24</v>
      </c>
      <c r="O6" s="1382"/>
      <c r="P6" s="1382"/>
      <c r="Q6" s="1382"/>
      <c r="R6" s="1392"/>
      <c r="S6" s="697"/>
    </row>
    <row r="7" spans="1:19" ht="12.75" customHeight="1">
      <c r="A7" s="1378"/>
      <c r="B7" s="1372"/>
      <c r="C7" s="1384"/>
      <c r="D7" s="1385"/>
      <c r="E7" s="1385"/>
      <c r="F7" s="1385"/>
      <c r="G7" s="1385"/>
      <c r="H7" s="1386"/>
      <c r="I7" s="1384"/>
      <c r="J7" s="1385"/>
      <c r="K7" s="1385"/>
      <c r="L7" s="1385"/>
      <c r="M7" s="1386"/>
      <c r="N7" s="1384"/>
      <c r="O7" s="1385"/>
      <c r="P7" s="1385"/>
      <c r="Q7" s="1385"/>
      <c r="R7" s="1393"/>
      <c r="S7" s="698"/>
    </row>
    <row r="8" spans="1:19" ht="20.25" customHeight="1" thickBot="1">
      <c r="A8" s="1379"/>
      <c r="B8" s="1373"/>
      <c r="C8" s="1387"/>
      <c r="D8" s="1388"/>
      <c r="E8" s="1388"/>
      <c r="F8" s="1388"/>
      <c r="G8" s="1388"/>
      <c r="H8" s="1389"/>
      <c r="I8" s="1387"/>
      <c r="J8" s="1388"/>
      <c r="K8" s="1388"/>
      <c r="L8" s="1388"/>
      <c r="M8" s="1389"/>
      <c r="N8" s="1387"/>
      <c r="O8" s="1388"/>
      <c r="P8" s="1388"/>
      <c r="Q8" s="1388"/>
      <c r="R8" s="1394"/>
      <c r="S8" s="698"/>
    </row>
    <row r="9" spans="1:19" ht="19.5" thickTop="1">
      <c r="A9" s="367"/>
      <c r="B9" s="368"/>
      <c r="C9" s="482" t="s">
        <v>70</v>
      </c>
      <c r="D9" s="482" t="s">
        <v>189</v>
      </c>
      <c r="E9" s="482" t="s">
        <v>193</v>
      </c>
      <c r="F9" s="447" t="s">
        <v>195</v>
      </c>
      <c r="G9" s="447" t="s">
        <v>199</v>
      </c>
      <c r="H9" s="447" t="s">
        <v>200</v>
      </c>
      <c r="I9" s="482" t="s">
        <v>70</v>
      </c>
      <c r="J9" s="482" t="s">
        <v>189</v>
      </c>
      <c r="K9" s="482" t="s">
        <v>193</v>
      </c>
      <c r="L9" s="447" t="s">
        <v>195</v>
      </c>
      <c r="M9" s="447" t="s">
        <v>200</v>
      </c>
      <c r="N9" s="482" t="s">
        <v>70</v>
      </c>
      <c r="O9" s="482" t="s">
        <v>189</v>
      </c>
      <c r="P9" s="482" t="s">
        <v>193</v>
      </c>
      <c r="Q9" s="447" t="s">
        <v>195</v>
      </c>
      <c r="R9" s="692" t="s">
        <v>200</v>
      </c>
      <c r="S9" s="698"/>
    </row>
    <row r="10" spans="1:19" ht="32.25" customHeight="1">
      <c r="A10" s="104" t="s">
        <v>385</v>
      </c>
      <c r="B10" s="315" t="s">
        <v>175</v>
      </c>
      <c r="C10" s="30">
        <v>200000</v>
      </c>
      <c r="D10" s="30">
        <v>200000</v>
      </c>
      <c r="E10" s="30">
        <v>200000</v>
      </c>
      <c r="F10" s="30">
        <f>134000+6000</f>
        <v>140000</v>
      </c>
      <c r="G10" s="382"/>
      <c r="H10" s="479"/>
      <c r="I10" s="30">
        <v>200000</v>
      </c>
      <c r="J10" s="30">
        <v>200000</v>
      </c>
      <c r="K10" s="30">
        <v>200000</v>
      </c>
      <c r="L10" s="30">
        <f>134000+6000</f>
        <v>140000</v>
      </c>
      <c r="M10" s="479"/>
      <c r="N10" s="30"/>
      <c r="O10" s="30"/>
      <c r="P10" s="30"/>
      <c r="Q10" s="382"/>
      <c r="R10" s="693"/>
      <c r="S10" s="698"/>
    </row>
    <row r="11" spans="1:19" ht="34.5" customHeight="1">
      <c r="A11" s="104" t="s">
        <v>434</v>
      </c>
      <c r="B11" s="315" t="s">
        <v>175</v>
      </c>
      <c r="C11" s="30">
        <v>84000</v>
      </c>
      <c r="D11" s="30">
        <v>84000</v>
      </c>
      <c r="E11" s="30">
        <v>84000</v>
      </c>
      <c r="F11" s="30">
        <v>150000</v>
      </c>
      <c r="G11" s="382">
        <v>150000</v>
      </c>
      <c r="H11" s="479"/>
      <c r="I11" s="30">
        <v>84000</v>
      </c>
      <c r="J11" s="30">
        <v>84000</v>
      </c>
      <c r="K11" s="30">
        <v>84000</v>
      </c>
      <c r="L11" s="30">
        <v>150000</v>
      </c>
      <c r="M11" s="479"/>
      <c r="N11" s="30"/>
      <c r="O11" s="30"/>
      <c r="P11" s="30"/>
      <c r="Q11" s="382"/>
      <c r="R11" s="693"/>
      <c r="S11" s="698"/>
    </row>
    <row r="12" spans="1:21" ht="15.75" customHeight="1" thickBot="1">
      <c r="A12" s="104" t="s">
        <v>435</v>
      </c>
      <c r="B12" s="315" t="s">
        <v>175</v>
      </c>
      <c r="C12" s="30">
        <f>1134000-84000</f>
        <v>1050000</v>
      </c>
      <c r="D12" s="30">
        <f>1134000-84000</f>
        <v>1050000</v>
      </c>
      <c r="E12" s="30">
        <f>1134000-84000+77623</f>
        <v>1127623</v>
      </c>
      <c r="F12" s="30">
        <f>1134000-84000+77623-82016-6000-25922</f>
        <v>1013685</v>
      </c>
      <c r="G12" s="382">
        <f>982422-25922</f>
        <v>956500</v>
      </c>
      <c r="H12" s="480"/>
      <c r="I12" s="30">
        <f>1134000-84000</f>
        <v>1050000</v>
      </c>
      <c r="J12" s="30">
        <f>1134000-84000</f>
        <v>1050000</v>
      </c>
      <c r="K12" s="30">
        <f>1134000-84000+77623</f>
        <v>1127623</v>
      </c>
      <c r="L12" s="30">
        <f>1134000-84000+77623-82016-6000-25922</f>
        <v>1013685</v>
      </c>
      <c r="M12" s="480"/>
      <c r="N12" s="30"/>
      <c r="O12" s="30"/>
      <c r="P12" s="30"/>
      <c r="Q12" s="30"/>
      <c r="R12" s="694"/>
      <c r="S12" s="698"/>
      <c r="U12" s="36"/>
    </row>
    <row r="13" spans="1:19" ht="29.25" customHeight="1" hidden="1" thickBot="1">
      <c r="A13" s="104"/>
      <c r="B13" s="315"/>
      <c r="C13" s="30"/>
      <c r="D13" s="30"/>
      <c r="E13" s="30"/>
      <c r="F13" s="30"/>
      <c r="G13" s="30"/>
      <c r="H13" s="480"/>
      <c r="I13" s="30"/>
      <c r="J13" s="30"/>
      <c r="K13" s="30"/>
      <c r="L13" s="30"/>
      <c r="M13" s="480"/>
      <c r="N13" s="30"/>
      <c r="O13" s="30"/>
      <c r="P13" s="30"/>
      <c r="Q13" s="30"/>
      <c r="R13" s="694"/>
      <c r="S13" s="698"/>
    </row>
    <row r="14" spans="1:19" ht="28.5" customHeight="1" hidden="1">
      <c r="A14" s="104" t="s">
        <v>357</v>
      </c>
      <c r="B14" s="315" t="s">
        <v>174</v>
      </c>
      <c r="C14" s="30"/>
      <c r="D14" s="30"/>
      <c r="E14" s="30"/>
      <c r="F14" s="30"/>
      <c r="G14" s="30"/>
      <c r="H14" s="480"/>
      <c r="I14" s="30">
        <v>0</v>
      </c>
      <c r="J14" s="30"/>
      <c r="K14" s="30"/>
      <c r="L14" s="30"/>
      <c r="M14" s="480"/>
      <c r="N14" s="30"/>
      <c r="O14" s="30"/>
      <c r="P14" s="30"/>
      <c r="Q14" s="30"/>
      <c r="R14" s="694"/>
      <c r="S14" s="698"/>
    </row>
    <row r="15" spans="1:19" ht="32.25" customHeight="1" hidden="1">
      <c r="A15" s="104" t="s">
        <v>352</v>
      </c>
      <c r="B15" s="315" t="s">
        <v>174</v>
      </c>
      <c r="C15" s="30"/>
      <c r="D15" s="30"/>
      <c r="E15" s="30"/>
      <c r="F15" s="30"/>
      <c r="G15" s="30"/>
      <c r="H15" s="480"/>
      <c r="I15" s="30">
        <v>0</v>
      </c>
      <c r="J15" s="30"/>
      <c r="K15" s="30"/>
      <c r="L15" s="30"/>
      <c r="M15" s="480"/>
      <c r="N15" s="30"/>
      <c r="O15" s="30"/>
      <c r="P15" s="30"/>
      <c r="Q15" s="30"/>
      <c r="R15" s="694"/>
      <c r="S15" s="698"/>
    </row>
    <row r="16" spans="1:19" ht="33" customHeight="1" hidden="1" thickBot="1">
      <c r="A16" s="104" t="s">
        <v>351</v>
      </c>
      <c r="B16" s="315" t="s">
        <v>174</v>
      </c>
      <c r="C16" s="111"/>
      <c r="D16" s="111"/>
      <c r="E16" s="111"/>
      <c r="F16" s="111"/>
      <c r="G16" s="111"/>
      <c r="H16" s="480"/>
      <c r="I16" s="111"/>
      <c r="J16" s="111"/>
      <c r="K16" s="111"/>
      <c r="L16" s="111"/>
      <c r="M16" s="480"/>
      <c r="N16" s="111"/>
      <c r="O16" s="111"/>
      <c r="P16" s="111"/>
      <c r="Q16" s="111"/>
      <c r="R16" s="694"/>
      <c r="S16" s="698"/>
    </row>
    <row r="17" spans="1:19" ht="39" customHeight="1" thickBot="1" thickTop="1">
      <c r="A17" s="112" t="s">
        <v>16</v>
      </c>
      <c r="B17" s="314"/>
      <c r="C17" s="113">
        <f>SUM(C10:C16)</f>
        <v>1334000</v>
      </c>
      <c r="D17" s="113">
        <f>SUM(D10:D16)</f>
        <v>1334000</v>
      </c>
      <c r="E17" s="113">
        <f>SUM(E10:E16)</f>
        <v>1411623</v>
      </c>
      <c r="F17" s="113">
        <f>SUM(F10:F16)</f>
        <v>1303685</v>
      </c>
      <c r="G17" s="113">
        <f>SUM(G10:G16)</f>
        <v>1106500</v>
      </c>
      <c r="H17" s="481">
        <f>F17/E17</f>
        <v>0.9235362416169189</v>
      </c>
      <c r="I17" s="113">
        <f>SUM(I10:I16)</f>
        <v>1334000</v>
      </c>
      <c r="J17" s="113">
        <f>SUM(J10:J16)</f>
        <v>1334000</v>
      </c>
      <c r="K17" s="113">
        <f>SUM(K10:K16)</f>
        <v>1411623</v>
      </c>
      <c r="L17" s="113">
        <f>SUM(L10:L16)</f>
        <v>1303685</v>
      </c>
      <c r="M17" s="481"/>
      <c r="N17" s="113">
        <f>SUM(N10:N16)</f>
        <v>0</v>
      </c>
      <c r="O17" s="113">
        <f>SUM(O10:O16)</f>
        <v>0</v>
      </c>
      <c r="P17" s="113">
        <f>SUM(P10:P16)</f>
        <v>0</v>
      </c>
      <c r="Q17" s="113">
        <f>SUM(Q10:Q16)</f>
        <v>0</v>
      </c>
      <c r="R17" s="695"/>
      <c r="S17" s="698"/>
    </row>
    <row r="18" spans="1:19" ht="19.5" customHeight="1">
      <c r="A18" s="105"/>
      <c r="B18" s="105"/>
      <c r="C18" s="106"/>
      <c r="D18" s="106"/>
      <c r="E18" s="106"/>
      <c r="F18" s="106"/>
      <c r="H18" s="106"/>
      <c r="I18" s="106"/>
      <c r="J18" s="106"/>
      <c r="K18" s="106"/>
      <c r="L18" s="106"/>
      <c r="M18" s="106"/>
      <c r="N18" s="106"/>
      <c r="S18" s="57"/>
    </row>
    <row r="19" spans="1:14" ht="66" customHeight="1" hidden="1" thickBot="1">
      <c r="A19" s="1390"/>
      <c r="B19" s="1390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</row>
    <row r="20" spans="1:19" ht="19.5" customHeight="1" hidden="1">
      <c r="A20" s="1377"/>
      <c r="B20" s="1371"/>
      <c r="C20" s="1381"/>
      <c r="D20" s="1382"/>
      <c r="E20" s="1382"/>
      <c r="F20" s="1382"/>
      <c r="G20" s="1382"/>
      <c r="H20" s="1383"/>
      <c r="I20" s="1381"/>
      <c r="J20" s="1382"/>
      <c r="K20" s="1382"/>
      <c r="L20" s="1382"/>
      <c r="M20" s="1383"/>
      <c r="N20" s="1381"/>
      <c r="O20" s="1382"/>
      <c r="P20" s="1382"/>
      <c r="Q20" s="1382"/>
      <c r="R20" s="1392"/>
      <c r="S20" s="698"/>
    </row>
    <row r="21" spans="1:19" s="107" customFormat="1" ht="19.5" customHeight="1" hidden="1">
      <c r="A21" s="1378"/>
      <c r="B21" s="1372"/>
      <c r="C21" s="1384"/>
      <c r="D21" s="1385"/>
      <c r="E21" s="1385"/>
      <c r="F21" s="1385"/>
      <c r="G21" s="1385"/>
      <c r="H21" s="1386"/>
      <c r="I21" s="1384"/>
      <c r="J21" s="1385"/>
      <c r="K21" s="1385"/>
      <c r="L21" s="1385"/>
      <c r="M21" s="1386"/>
      <c r="N21" s="1384"/>
      <c r="O21" s="1385"/>
      <c r="P21" s="1385"/>
      <c r="Q21" s="1385"/>
      <c r="R21" s="1393"/>
      <c r="S21" s="699"/>
    </row>
    <row r="22" spans="1:19" s="107" customFormat="1" ht="19.5" customHeight="1" hidden="1" thickBot="1">
      <c r="A22" s="1379"/>
      <c r="B22" s="1373"/>
      <c r="C22" s="1387"/>
      <c r="D22" s="1388"/>
      <c r="E22" s="1388"/>
      <c r="F22" s="1388"/>
      <c r="G22" s="1388"/>
      <c r="H22" s="1389"/>
      <c r="I22" s="1387"/>
      <c r="J22" s="1388"/>
      <c r="K22" s="1388"/>
      <c r="L22" s="1388"/>
      <c r="M22" s="1389"/>
      <c r="N22" s="1387"/>
      <c r="O22" s="1388"/>
      <c r="P22" s="1388"/>
      <c r="Q22" s="1388"/>
      <c r="R22" s="1394"/>
      <c r="S22" s="699"/>
    </row>
    <row r="23" spans="1:19" s="107" customFormat="1" ht="57.75" customHeight="1" hidden="1" thickTop="1">
      <c r="A23" s="448"/>
      <c r="B23" s="449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696"/>
      <c r="S23" s="699"/>
    </row>
    <row r="24" spans="1:19" s="107" customFormat="1" ht="34.5" customHeight="1" hidden="1" thickTop="1">
      <c r="A24" s="369"/>
      <c r="B24" s="370"/>
      <c r="C24" s="371"/>
      <c r="D24" s="371"/>
      <c r="E24" s="371"/>
      <c r="F24" s="371"/>
      <c r="G24" s="371"/>
      <c r="H24" s="479"/>
      <c r="I24" s="371"/>
      <c r="J24" s="371"/>
      <c r="K24" s="371"/>
      <c r="L24" s="371"/>
      <c r="M24" s="479"/>
      <c r="N24" s="371"/>
      <c r="O24" s="371"/>
      <c r="P24" s="371"/>
      <c r="Q24" s="109"/>
      <c r="R24" s="694"/>
      <c r="S24" s="699"/>
    </row>
    <row r="25" spans="1:19" s="107" customFormat="1" ht="15" hidden="1">
      <c r="A25" s="108"/>
      <c r="B25" s="316"/>
      <c r="C25" s="109"/>
      <c r="D25" s="109"/>
      <c r="E25" s="109"/>
      <c r="F25" s="109"/>
      <c r="G25" s="109"/>
      <c r="H25" s="480"/>
      <c r="I25" s="109"/>
      <c r="J25" s="109"/>
      <c r="K25" s="109"/>
      <c r="L25" s="109"/>
      <c r="M25" s="480"/>
      <c r="N25" s="371"/>
      <c r="O25" s="109"/>
      <c r="P25" s="109"/>
      <c r="Q25" s="109"/>
      <c r="R25" s="694"/>
      <c r="S25" s="699"/>
    </row>
    <row r="26" spans="1:19" s="107" customFormat="1" ht="30.75" customHeight="1" hidden="1" thickTop="1">
      <c r="A26" s="108"/>
      <c r="B26" s="316"/>
      <c r="C26" s="109"/>
      <c r="D26" s="109"/>
      <c r="E26" s="109"/>
      <c r="F26" s="109"/>
      <c r="G26" s="109"/>
      <c r="H26" s="480"/>
      <c r="I26" s="109"/>
      <c r="J26" s="109"/>
      <c r="K26" s="109"/>
      <c r="L26" s="109"/>
      <c r="M26" s="480"/>
      <c r="N26" s="371"/>
      <c r="O26" s="109"/>
      <c r="P26" s="109"/>
      <c r="Q26" s="109"/>
      <c r="R26" s="694"/>
      <c r="S26" s="699"/>
    </row>
    <row r="27" spans="1:19" s="107" customFormat="1" ht="31.5" customHeight="1" hidden="1" thickBot="1">
      <c r="A27" s="108"/>
      <c r="B27" s="316"/>
      <c r="C27" s="109"/>
      <c r="D27" s="109"/>
      <c r="E27" s="109"/>
      <c r="F27" s="109"/>
      <c r="G27" s="109"/>
      <c r="H27" s="480"/>
      <c r="I27" s="109"/>
      <c r="J27" s="109"/>
      <c r="K27" s="109"/>
      <c r="L27" s="109"/>
      <c r="M27" s="480"/>
      <c r="N27" s="371"/>
      <c r="O27" s="109"/>
      <c r="P27" s="109"/>
      <c r="Q27" s="109"/>
      <c r="R27" s="694"/>
      <c r="S27" s="699"/>
    </row>
    <row r="28" spans="1:19" s="107" customFormat="1" ht="31.5" customHeight="1" hidden="1" thickTop="1">
      <c r="A28" s="108"/>
      <c r="B28" s="316"/>
      <c r="C28" s="111"/>
      <c r="D28" s="111"/>
      <c r="E28" s="111"/>
      <c r="F28" s="111"/>
      <c r="G28" s="111"/>
      <c r="H28" s="480"/>
      <c r="I28" s="111"/>
      <c r="J28" s="111"/>
      <c r="K28" s="111"/>
      <c r="L28" s="111"/>
      <c r="M28" s="480"/>
      <c r="N28" s="111"/>
      <c r="O28" s="111"/>
      <c r="P28" s="111"/>
      <c r="Q28" s="111"/>
      <c r="R28" s="694"/>
      <c r="S28" s="699"/>
    </row>
    <row r="29" spans="1:19" s="107" customFormat="1" ht="27.75" customHeight="1" hidden="1">
      <c r="A29" s="108"/>
      <c r="B29" s="316"/>
      <c r="C29" s="111"/>
      <c r="D29" s="111"/>
      <c r="E29" s="111"/>
      <c r="F29" s="111"/>
      <c r="G29" s="111"/>
      <c r="H29" s="480"/>
      <c r="I29" s="111"/>
      <c r="J29" s="111"/>
      <c r="K29" s="111"/>
      <c r="L29" s="111"/>
      <c r="M29" s="480"/>
      <c r="N29" s="111"/>
      <c r="O29" s="111"/>
      <c r="P29" s="111"/>
      <c r="Q29" s="111"/>
      <c r="R29" s="694"/>
      <c r="S29" s="699"/>
    </row>
    <row r="30" spans="1:19" ht="33" customHeight="1" hidden="1" thickBot="1">
      <c r="A30" s="110"/>
      <c r="B30" s="317"/>
      <c r="C30" s="483"/>
      <c r="D30" s="483"/>
      <c r="E30" s="483"/>
      <c r="F30" s="483"/>
      <c r="G30" s="483"/>
      <c r="H30" s="480"/>
      <c r="I30" s="483"/>
      <c r="J30" s="483"/>
      <c r="K30" s="483"/>
      <c r="L30" s="483"/>
      <c r="M30" s="480"/>
      <c r="N30" s="483"/>
      <c r="O30" s="483"/>
      <c r="P30" s="483"/>
      <c r="Q30" s="483"/>
      <c r="R30" s="694"/>
      <c r="S30" s="698"/>
    </row>
    <row r="31" spans="1:19" ht="33" customHeight="1" hidden="1" thickBot="1" thickTop="1">
      <c r="A31" s="476"/>
      <c r="B31" s="477"/>
      <c r="C31" s="478"/>
      <c r="D31" s="478"/>
      <c r="E31" s="478"/>
      <c r="F31" s="478"/>
      <c r="G31" s="478"/>
      <c r="H31" s="480"/>
      <c r="I31" s="478"/>
      <c r="J31" s="478"/>
      <c r="K31" s="478"/>
      <c r="L31" s="478"/>
      <c r="M31" s="480"/>
      <c r="N31" s="478"/>
      <c r="O31" s="478"/>
      <c r="P31" s="478"/>
      <c r="Q31" s="478"/>
      <c r="R31" s="694"/>
      <c r="S31" s="698"/>
    </row>
    <row r="32" spans="1:19" ht="33" customHeight="1" hidden="1" thickBot="1" thickTop="1">
      <c r="A32" s="112"/>
      <c r="B32" s="314"/>
      <c r="C32" s="113"/>
      <c r="D32" s="113"/>
      <c r="E32" s="113"/>
      <c r="F32" s="113"/>
      <c r="G32" s="113"/>
      <c r="H32" s="481"/>
      <c r="I32" s="113"/>
      <c r="J32" s="113"/>
      <c r="K32" s="113"/>
      <c r="L32" s="113"/>
      <c r="M32" s="481"/>
      <c r="N32" s="113"/>
      <c r="O32" s="113"/>
      <c r="P32" s="113"/>
      <c r="Q32" s="113"/>
      <c r="R32" s="695"/>
      <c r="S32" s="698"/>
    </row>
    <row r="35" ht="12.75">
      <c r="J35" s="458"/>
    </row>
    <row r="36" ht="12.75">
      <c r="J36" s="458"/>
    </row>
    <row r="37" ht="12.75">
      <c r="J37" s="458"/>
    </row>
    <row r="38" ht="12.75">
      <c r="J38" s="458"/>
    </row>
  </sheetData>
  <sheetProtection/>
  <mergeCells count="15">
    <mergeCell ref="C20:H22"/>
    <mergeCell ref="I20:M22"/>
    <mergeCell ref="A19:N19"/>
    <mergeCell ref="N6:R8"/>
    <mergeCell ref="N20:R22"/>
    <mergeCell ref="I1:N1"/>
    <mergeCell ref="B6:B8"/>
    <mergeCell ref="B20:B22"/>
    <mergeCell ref="A2:N2"/>
    <mergeCell ref="A3:N3"/>
    <mergeCell ref="A20:A22"/>
    <mergeCell ref="A4:N4"/>
    <mergeCell ref="A6:A8"/>
    <mergeCell ref="I6:M8"/>
    <mergeCell ref="C6:H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2021-03-02T08:46:14Z</dcterms:modified>
  <cp:category/>
  <cp:version/>
  <cp:contentType/>
  <cp:contentStatus/>
</cp:coreProperties>
</file>