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9" activeTab="13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mell. - beruházások" sheetId="9" r:id="rId9"/>
    <sheet name="9.mell. -tartalék" sheetId="10" r:id="rId10"/>
    <sheet name="10.mell. - közgazd.mérleg" sheetId="11" r:id="rId11"/>
    <sheet name="11.mell. -ei.felh.ütemt." sheetId="12" r:id="rId12"/>
    <sheet name="12. felújítások" sheetId="13" r:id="rId13"/>
    <sheet name="Levezetés" sheetId="14" r:id="rId14"/>
  </sheets>
  <definedNames/>
  <calcPr fullCalcOnLoad="1"/>
</workbook>
</file>

<file path=xl/sharedStrings.xml><?xml version="1.0" encoding="utf-8"?>
<sst xmlns="http://schemas.openxmlformats.org/spreadsheetml/2006/main" count="881" uniqueCount="510">
  <si>
    <t>Megnevezés</t>
  </si>
  <si>
    <t>Összesen:</t>
  </si>
  <si>
    <t>létszám</t>
  </si>
  <si>
    <t>Sitke község Önkormányzata</t>
  </si>
  <si>
    <t>( e Ft-ban)</t>
  </si>
  <si>
    <t>e Ft</t>
  </si>
  <si>
    <t>TÁMOGATÁSOK ÖSSZESEN:</t>
  </si>
  <si>
    <t>(e Ft-ban)</t>
  </si>
  <si>
    <t>állandó</t>
  </si>
  <si>
    <t>juttatások</t>
  </si>
  <si>
    <t>előirányzat</t>
  </si>
  <si>
    <t>tervezett 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</si>
  <si>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</si>
  <si>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</si>
  <si>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</si>
  <si>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</si>
  <si>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</si>
  <si>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</si>
  <si>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</si>
  <si>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</si>
  <si>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Körjegyzőségi feladatok ellátása</t>
  </si>
  <si>
    <t>Bursa Hungarica Alapítvány támogatása</t>
  </si>
  <si>
    <t>Citerazenekar támogatása</t>
  </si>
  <si>
    <t>Hímzőszakkör támogatása</t>
  </si>
  <si>
    <t>2.</t>
  </si>
  <si>
    <t>Kistérségi tagsági díj</t>
  </si>
  <si>
    <t xml:space="preserve">Rendszeres társadalom, szociálpolitikai és egyéb társadalombiztosítási </t>
  </si>
  <si>
    <t>juttatások  összesen: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</si>
  <si>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</si>
  <si>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</si>
  <si>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</si>
  <si>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</si>
  <si>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</si>
  <si>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ebből: igényel- hető költség- vetési támogatás</t>
  </si>
  <si>
    <t>hető költség-</t>
  </si>
  <si>
    <t>vetési támogatás</t>
  </si>
  <si>
    <t>Háziorvosi alapellátás</t>
  </si>
  <si>
    <t>Gyermekjóléti szolgáltatás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</si>
  <si>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</si>
  <si>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</si>
  <si>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</si>
  <si>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</si>
  <si>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</si>
  <si>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</si>
  <si>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</si>
  <si>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</si>
  <si>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</si>
  <si>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</si>
  <si>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</si>
  <si>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</si>
  <si>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>Nyugdíjas Klub</t>
  </si>
  <si>
    <t xml:space="preserve">Tekeszakosztály </t>
  </si>
  <si>
    <t>TÁRGYÉVI KIADÁSOK ÖSSZESEN:</t>
  </si>
  <si>
    <t>TÁRGYÉVI BEVÉTELEK ÉS KIADÁSOK EGYENLEGE:</t>
  </si>
  <si>
    <t xml:space="preserve">Rendszeres szociális segély     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</si>
  <si>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</si>
  <si>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</si>
  <si>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</si>
  <si>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</si>
  <si>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</si>
  <si>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</si>
  <si>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</si>
  <si>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</si>
  <si>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</si>
  <si>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</si>
  <si>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</si>
  <si>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</si>
  <si>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2014. év</t>
  </si>
  <si>
    <t>KÖZHATALMI BEVÉTELEK ÖSSZESEN:</t>
  </si>
  <si>
    <t>ravatalozó használati díj</t>
  </si>
  <si>
    <t>vendégebéd térítési díja</t>
  </si>
  <si>
    <t>működési kiadások</t>
  </si>
  <si>
    <t>felhalmozási kiadások</t>
  </si>
  <si>
    <t>felújítások</t>
  </si>
  <si>
    <t>Sághegy Leader tagdíj</t>
  </si>
  <si>
    <t>Labdarugó Szakosztály támogatása</t>
  </si>
  <si>
    <t>Foglalkoztatást helyettesítő juttatás</t>
  </si>
  <si>
    <t xml:space="preserve">Tanévkezdési támogatás </t>
  </si>
  <si>
    <t>TÁRGYÉVI KÖLTSÉGVETÉSI HIÁNY:</t>
  </si>
  <si>
    <t xml:space="preserve">       - egyéb működési kiadások</t>
  </si>
  <si>
    <t xml:space="preserve">       - egyéb felhalmozási kiadások</t>
  </si>
  <si>
    <t>szociális étkeztetés térítési díja</t>
  </si>
  <si>
    <t xml:space="preserve">Normatív lakásfenntartási támogatás </t>
  </si>
  <si>
    <t>táborozás támogatása</t>
  </si>
  <si>
    <t>talajterhelési díj</t>
  </si>
  <si>
    <t>„A közösségi közlekedés feltételrendszereinek fejlesztése Sárváron és a környező településeken” (NYDOP-3.2.1/B-12 )</t>
  </si>
  <si>
    <t>"Sitke község Önkormányzatának egészségre nevelő programja" projekt  (TÁMOP-6.12-11/1-2012-1244) 2014. évi üteme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</si>
  <si>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</si>
  <si>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</si>
  <si>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</si>
  <si>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</si>
  <si>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</si>
  <si>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</si>
  <si>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</si>
  <si>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</si>
  <si>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</si>
  <si>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</si>
  <si>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</si>
  <si>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</si>
  <si>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</si>
  <si>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</si>
  <si>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</si>
  <si>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</si>
  <si>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</si>
  <si>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</si>
  <si>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</si>
  <si>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</si>
  <si>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Kistelepülések szociális feladatainak támogatása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</si>
  <si>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</si>
  <si>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</si>
  <si>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</si>
  <si>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</si>
  <si>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</si>
  <si>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</si>
  <si>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</si>
  <si>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Működési célú központosított előirányzatok</t>
  </si>
  <si>
    <t>üdülőhelyi feladatok támogatása</t>
  </si>
  <si>
    <t>lakott külterületekkel kapcsolatos feladatok támogatása</t>
  </si>
  <si>
    <t>Helyi önkormányzatok  működésének  általános támogatása összesen:</t>
  </si>
  <si>
    <t>Egyéb működési célú támogatások bevételei államháztartáson belülről</t>
  </si>
  <si>
    <t>közfoglalkoztatás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</si>
  <si>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</si>
  <si>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</si>
  <si>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</si>
  <si>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</si>
  <si>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Egyéb felhalmozási célú támogatások bevételei államháztartáson belülről összesen:</t>
  </si>
  <si>
    <t>FELHALMOZÁSI CÉLÚ TÁMOGATÁSOK ÁLLAMHÁZ- TARTÁSON BELÜLRŐL ÖSSZESEN: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</si>
  <si>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</si>
  <si>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</si>
  <si>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</si>
  <si>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</si>
  <si>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</si>
  <si>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</si>
  <si>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</si>
  <si>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</si>
  <si>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</si>
  <si>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</si>
  <si>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</si>
  <si>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</si>
  <si>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</si>
  <si>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</si>
  <si>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</si>
  <si>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</si>
  <si>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</si>
  <si>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</si>
  <si>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</si>
  <si>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Tulajdonosi bevételek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</si>
  <si>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</si>
  <si>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</si>
  <si>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</si>
  <si>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</si>
  <si>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</si>
  <si>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</si>
  <si>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</si>
  <si>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</si>
  <si>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</si>
  <si>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</si>
  <si>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</si>
  <si>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</si>
  <si>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</si>
  <si>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</si>
  <si>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</si>
  <si>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2015. év</t>
  </si>
  <si>
    <t>Működési célú központosított előirányzatok összesen:</t>
  </si>
  <si>
    <t>lakott külterülettel kapcsolatos feladatok</t>
  </si>
  <si>
    <t>e.</t>
  </si>
  <si>
    <t>2014. évről áthúzódó bérkompenzáció támogatása</t>
  </si>
  <si>
    <t>Pénzbeni szociális ellátások kiegészítése</t>
  </si>
  <si>
    <t>Települési önkormányzatok szociális feladatainak egyéb támogatása</t>
  </si>
  <si>
    <t>Vidéki gazdaság és lakosság számára nyújtott alapszolgáltatások fejlesztése (mikrobusz beszerzése)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</si>
  <si>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</si>
  <si>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</si>
  <si>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</si>
  <si>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</si>
  <si>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</si>
  <si>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</si>
  <si>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</si>
  <si>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</si>
  <si>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</si>
  <si>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</si>
  <si>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</si>
  <si>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</si>
  <si>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</si>
  <si>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</si>
  <si>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</si>
  <si>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</si>
  <si>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</si>
  <si>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</si>
  <si>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</si>
  <si>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</si>
  <si>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</si>
  <si>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</si>
  <si>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</si>
  <si>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</si>
  <si>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</si>
  <si>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</si>
  <si>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</si>
  <si>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</si>
  <si>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</si>
  <si>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</si>
  <si>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</si>
  <si>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</si>
  <si>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</si>
  <si>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</si>
  <si>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</si>
  <si>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</si>
  <si>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irányító szervi támogatás folyósítása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</si>
  <si>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</si>
  <si>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</si>
  <si>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</si>
  <si>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</si>
  <si>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</si>
  <si>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</si>
  <si>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</si>
  <si>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</si>
  <si>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</si>
  <si>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</si>
  <si>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</si>
  <si>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</si>
  <si>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</si>
  <si>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</si>
  <si>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</si>
  <si>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</si>
  <si>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</si>
  <si>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</si>
  <si>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</si>
  <si>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</si>
  <si>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</si>
  <si>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</si>
  <si>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</si>
  <si>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</si>
  <si>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</si>
  <si>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</si>
  <si>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</si>
  <si>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086020</t>
  </si>
  <si>
    <t>Helyi, térségi közösségi tér biztosítása, működtetése</t>
  </si>
  <si>
    <t>094260</t>
  </si>
  <si>
    <t>Hallgatói és oktatói ösztöndíjak, egyéb juttatások</t>
  </si>
  <si>
    <t>Betegséggel kapcsolatos pénzbeni ellátások, támogatások</t>
  </si>
  <si>
    <t>104042</t>
  </si>
  <si>
    <t>Munkanélküli aktív korúak ellátásai</t>
  </si>
  <si>
    <t>Lakásfenntartással, lakhatással összefüggő ellátások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</si>
  <si>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</si>
  <si>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</si>
  <si>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</si>
  <si>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</si>
  <si>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</si>
  <si>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</si>
  <si>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</si>
  <si>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</si>
  <si>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</si>
  <si>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2015. évre</t>
  </si>
  <si>
    <t>2015.év</t>
  </si>
  <si>
    <t>Önkormányzati segélyek</t>
  </si>
  <si>
    <t>Sor-</t>
  </si>
  <si>
    <t>Feladat</t>
  </si>
  <si>
    <t>(a Ft-ban)</t>
  </si>
  <si>
    <t>Mindösszesen:</t>
  </si>
  <si>
    <t>2015-ben kiírásra kerülő pályázatok önrésze, saját forrásokból megvalósuló fejlesztések forrása</t>
  </si>
  <si>
    <t>ELŐZŐ ÉVEKI KÖLTSÉGVETÉSI MARADVÁNY IGÉNYBEVÉTELE 2014. ÉVRŐL ÁTHÚZÓDÓ FELADATOKRA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</si>
  <si>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</si>
  <si>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</si>
  <si>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</si>
  <si>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</si>
  <si>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</si>
  <si>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</si>
  <si>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</si>
  <si>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</si>
  <si>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</si>
  <si>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</si>
  <si>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</si>
  <si>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</si>
  <si>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</si>
  <si>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</si>
  <si>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</si>
  <si>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</si>
  <si>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</si>
  <si>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</si>
  <si>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</si>
  <si>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</si>
  <si>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</si>
  <si>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</si>
  <si>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</si>
  <si>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</si>
  <si>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</si>
  <si>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</si>
  <si>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</si>
  <si>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</si>
  <si>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</si>
  <si>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</si>
  <si>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</si>
  <si>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</si>
  <si>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</si>
  <si>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</si>
  <si>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</si>
  <si>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</si>
  <si>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</si>
  <si>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</si>
  <si>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</si>
  <si>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</si>
  <si>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</si>
  <si>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</si>
  <si>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</si>
  <si>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</si>
  <si>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</si>
  <si>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</si>
  <si>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</si>
  <si>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</si>
  <si>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</si>
  <si>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</si>
  <si>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</si>
  <si>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</si>
  <si>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</si>
  <si>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</si>
  <si>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</si>
  <si>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</si>
  <si>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</si>
  <si>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Egyéb felhalmozási kiadások államháztartáson kívülre összesen:</t>
  </si>
  <si>
    <t>FELHALMOZÁSI CÉLÚ VISSZATÉRÍTENDŐ TÁMOGATÁSOK, KÖLCSÖNÖK NYÚJTÁSA ÁLLAMHÁZTARTÁSON KÍVÜLRE</t>
  </si>
  <si>
    <t>Kápolnáért Kulturális és Sport Egyesület visszatérítendő támogatása a művelődési ház kialakításához</t>
  </si>
  <si>
    <t>FELHALMOZÁSI CÉLÚ VISSZATÉRÍTENDŐ TÁMOGATÁSOK, KÖLCSÖNÖK NYÚJTÁSA ÁLLAMHÁZTARTÁSON KÍVÜLRE ÖSSZESEN:</t>
  </si>
  <si>
    <t>Általános tartalék</t>
  </si>
  <si>
    <t>Általános tartalék összesen:</t>
  </si>
  <si>
    <t>Felhalmozási célú céltartalék összesen:</t>
  </si>
  <si>
    <t>Működési és felhalmozási célú tartalékok és céltartalékok</t>
  </si>
  <si>
    <t>Költségvetési (működési és felhalmozási ) mérlege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</si>
  <si>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</si>
  <si>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</si>
  <si>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</si>
  <si>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</si>
  <si>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</si>
  <si>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</si>
  <si>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</si>
  <si>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</si>
  <si>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</si>
  <si>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</si>
  <si>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</si>
  <si>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</si>
  <si>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</si>
  <si>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</si>
  <si>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</si>
  <si>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</si>
  <si>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</si>
  <si>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045160</t>
  </si>
  <si>
    <t>Közutak, hidak, alagutak üzemeltetése, fenntartása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</si>
  <si>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</si>
  <si>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</si>
  <si>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</si>
  <si>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</si>
  <si>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</si>
  <si>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</si>
  <si>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( e Ft-ban )</t>
  </si>
  <si>
    <t>Előzetesen felszámított általános forgalmi adó</t>
  </si>
  <si>
    <t>BERUHÁZÁSOK ÖSSZESEN:</t>
  </si>
  <si>
    <t>045160 Közutak, hidak, alagutak üzemeltetése, fenntartása</t>
  </si>
  <si>
    <t>Forgalmi tükör felszerelése (2014. évről áthúzódó)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</si>
  <si>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</si>
  <si>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</si>
  <si>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</si>
  <si>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</si>
  <si>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</si>
  <si>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</si>
  <si>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</si>
  <si>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</si>
  <si>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</si>
  <si>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</si>
  <si>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</si>
  <si>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</si>
  <si>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</si>
  <si>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</si>
  <si>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</si>
  <si>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</si>
  <si>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</si>
  <si>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</si>
  <si>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</si>
  <si>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</si>
  <si>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</si>
  <si>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</si>
  <si>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</si>
  <si>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</si>
  <si>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</si>
  <si>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</si>
  <si>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</si>
  <si>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</si>
  <si>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</si>
  <si>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</si>
  <si>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</si>
  <si>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</si>
  <si>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</si>
  <si>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</si>
  <si>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</si>
  <si>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</si>
  <si>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</si>
  <si>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</si>
  <si>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</si>
  <si>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</si>
  <si>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</si>
  <si>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</si>
  <si>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</si>
  <si>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</si>
  <si>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Szociális étkeztetés (562920)</t>
  </si>
  <si>
    <t>Gyermekvédelmi pénzbeni és természetbeni ellátások</t>
  </si>
  <si>
    <t>Fejezeti és általános tartalékok elszámolása</t>
  </si>
  <si>
    <t xml:space="preserve">ápolási díj </t>
  </si>
  <si>
    <t xml:space="preserve">Méltányossági közgyógyellátás    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</si>
  <si>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</si>
  <si>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</si>
  <si>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</si>
  <si>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</si>
  <si>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>Rendszeres gyermekvédelmi kedvezményben részesülők Erzsébet utalványa támogatása</t>
  </si>
  <si>
    <t xml:space="preserve"> 013350 Önkormányzati vagyonnal való gazdálkodással kapcsolatos feladatok</t>
  </si>
  <si>
    <t>Sitke, 379/2 hrsz-ú ingatlan vételára</t>
  </si>
  <si>
    <t>066020 Városi és községgazdálkodási egyéb szolgáltatások</t>
  </si>
  <si>
    <t>településrendezési eszközök módosítása 2014. évi áthúzódó</t>
  </si>
  <si>
    <t>Működési célú költségvetési és kiegészítő támogatás</t>
  </si>
  <si>
    <t>2015. évi bérkompenzáció támogatása</t>
  </si>
  <si>
    <t>Működési célú költségvetési és kiegészítő támogatás összesen:</t>
  </si>
  <si>
    <t>041233</t>
  </si>
  <si>
    <t>Hosszabb időtartamú közfoglalkoztatás</t>
  </si>
  <si>
    <t>államháztartáson belüli megelőlegezések visszafizetése</t>
  </si>
  <si>
    <t>2014. évi jövedelempótló támogatás visszafizetése</t>
  </si>
  <si>
    <t>2014. évi állami támogatások elszámolás utáni visszafizetési kötelezettség</t>
  </si>
  <si>
    <t xml:space="preserve"> - államháztartáson belüli megelőlegezések visszafizetése</t>
  </si>
  <si>
    <t xml:space="preserve">           államháztartáson belüli megelőlegezések visszafizetése</t>
  </si>
  <si>
    <t>011130 Önkormányzatok és önkormányzati hivatalok jogalkotó és általános igazgatási tevékenysége</t>
  </si>
  <si>
    <t>Kisértékű tárgyi eszközök beszerzése</t>
  </si>
  <si>
    <t>Forgatási célú belföldi befektetési jegyek beváltása</t>
  </si>
  <si>
    <t>FORGATÁSI CÉLÚ BELFÖLDI BEFEKTETÉSI JEGYEK BEVÁLTÁSA</t>
  </si>
  <si>
    <t>forgatási célú belföldi befektetési jegyek beváltása</t>
  </si>
  <si>
    <t>082093</t>
  </si>
  <si>
    <t>Közművelődés - egész életre kiterjedő tanulás</t>
  </si>
  <si>
    <t>közterületfoglalási díjak</t>
  </si>
  <si>
    <t>földbérleti díjak</t>
  </si>
  <si>
    <t>szennyvízcsatorna használati díj</t>
  </si>
  <si>
    <t>Kápolnáért Kulturális és Sport Egyesület művelődési ház kialakításával kapcsolatos támogatásának visszatérülése</t>
  </si>
  <si>
    <t>Első lakáshoz jutók lakásépítésének és - vásárlásának vissza nem térítendő támogatása</t>
  </si>
  <si>
    <t>2015. évi költségvetésének</t>
  </si>
  <si>
    <t xml:space="preserve">Költségvetés főösszege </t>
  </si>
  <si>
    <t>1. sz.módosítás után</t>
  </si>
  <si>
    <t>1.1.1.1.</t>
  </si>
  <si>
    <t>-19</t>
  </si>
  <si>
    <t>főösszeg változása</t>
  </si>
  <si>
    <t>1.1.1.2</t>
  </si>
  <si>
    <t>151</t>
  </si>
  <si>
    <t>1.2</t>
  </si>
  <si>
    <t>22697</t>
  </si>
  <si>
    <t>Önkormányzati feladatellátást szolgáló fejlesztések támogatása</t>
  </si>
  <si>
    <t>FELÚJÍTÁSI KIADÁSOK</t>
  </si>
  <si>
    <t>072111 Háziorvosi alapellátás</t>
  </si>
  <si>
    <t>Orvosi rendelő felújítása</t>
  </si>
  <si>
    <t>FELÚJÍTÁSOK ÖSSZESEN:</t>
  </si>
  <si>
    <t>2.1</t>
  </si>
  <si>
    <t>35</t>
  </si>
  <si>
    <t>2.2</t>
  </si>
  <si>
    <t>10000</t>
  </si>
  <si>
    <t>2015. évi egyéb működési és felhalmozási kiadásai</t>
  </si>
  <si>
    <t>Sitkei Citerazenekar Kulturális Egyesület visszaatérítendő támogatása mikrobusz beszerzéséhez</t>
  </si>
  <si>
    <t>Sitkei Citerazenekar Kulturális Egyesület mikrobusz beszerzésével kapcsolaatos támogatásánk visszaterülése</t>
  </si>
  <si>
    <t>2.3</t>
  </si>
  <si>
    <t>Adósságkonszolidációban nem részesült települések fejlesztési támogatása</t>
  </si>
  <si>
    <t>045120</t>
  </si>
  <si>
    <t>Út, autópálya építése</t>
  </si>
  <si>
    <t>045120 Út, autópálya építése</t>
  </si>
  <si>
    <t>Zrínyi u. burkolatának felújítása</t>
  </si>
  <si>
    <t>2.4</t>
  </si>
  <si>
    <t>140</t>
  </si>
  <si>
    <t>3</t>
  </si>
  <si>
    <t>250</t>
  </si>
  <si>
    <t>Sitke, 383 hrsz. Ingatlan után megváltási ár kifizetése</t>
  </si>
  <si>
    <t>480</t>
  </si>
  <si>
    <t>191</t>
  </si>
  <si>
    <t>096015 Gyermekétkeztetés köznevelési intézményben</t>
  </si>
  <si>
    <t>Konyha nyilvántartási szoftver beszerzése</t>
  </si>
  <si>
    <t>20</t>
  </si>
  <si>
    <t>Szociális tüzifa elszámolásból eredő visszafizetési kötelezettség</t>
  </si>
  <si>
    <t>5.1</t>
  </si>
  <si>
    <t>714</t>
  </si>
  <si>
    <t>052080 Szennyvízcsatorna építése, fenntartása, üzemeltetése</t>
  </si>
  <si>
    <t>Szenyvíztisztítótelep és 2 db átemelő folyamatirányítási jeleinek megjelenítése</t>
  </si>
  <si>
    <t>Iszapvezeték, iszapfelvételi helyek rekonstrukciós munkái</t>
  </si>
  <si>
    <t>Oxigénmérő szonda beépítése 1 db közös jelfeldolgozó kijelző egység telepítésével</t>
  </si>
  <si>
    <t>753</t>
  </si>
  <si>
    <t>1130</t>
  </si>
  <si>
    <t>76</t>
  </si>
  <si>
    <t>Gáztűzhely vásárlása</t>
  </si>
  <si>
    <t>-2-</t>
  </si>
  <si>
    <t>-3-</t>
  </si>
  <si>
    <t>15357</t>
  </si>
  <si>
    <t>508</t>
  </si>
  <si>
    <t>Orvosi rendelő felújítása gépészeti, villamossági tervezések</t>
  </si>
  <si>
    <t>3. számú módosítása</t>
  </si>
  <si>
    <t>052020</t>
  </si>
  <si>
    <t>Szennyvíz gyűjtése,tisztítása, elhelyezése</t>
  </si>
  <si>
    <t>3.sz</t>
  </si>
  <si>
    <t>2,2</t>
  </si>
  <si>
    <t>Szociális tüzelőanyag vásárlás támogatása</t>
  </si>
  <si>
    <t>Nyári diákmunka támogatása</t>
  </si>
  <si>
    <t>-4-</t>
  </si>
  <si>
    <t>1. melléklet  a  19/2015. (XI.24.) önkormányzati rendelethez</t>
  </si>
  <si>
    <t>2. melléklet  a 19/2015. (XI.24.)  önkormányzati rendelethez</t>
  </si>
  <si>
    <t>3. melléklet  a 19/2015. (XI.24.)  önkormányzati rendelethez</t>
  </si>
  <si>
    <t>4. melléklet  a 19/2015. (XI.24.)  önkormányzati rendelethez</t>
  </si>
  <si>
    <t>5. melléklet  a  19/2015. (XI.24.)  önkormányzati rendelethez</t>
  </si>
  <si>
    <t>6. melléklet  a  19/2015. (XI.24.)  önkormányzati rendelethez</t>
  </si>
  <si>
    <t>7. melléklet  a 19/2015. (XI.24.) önkormányzati rendelethez</t>
  </si>
  <si>
    <t>8. melléklet a 19/2015. (XI.24.) önkormányzati rendelethez</t>
  </si>
  <si>
    <t>9. melléklet a 19/2015. (XI.24.)  önkormányzati rendelethez</t>
  </si>
  <si>
    <t>10. melléklet a 19/2015. (XI.24.)  önkormányzati rendelethez</t>
  </si>
  <si>
    <t>11. melléklet a 19/2015. (XI.24.)  önkormányzati rendelethez</t>
  </si>
  <si>
    <t>12. melléklet a 19/2015. (XI.24.) 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</si>
</sst>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</numFmts>
  <fonts count="73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u val="singleAccounting"/>
      <sz val="12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sz val="22"/>
      <name val="Arial Narrow"/>
      <family val="2"/>
    </font>
    <font>
      <sz val="10"/>
      <name val="Arial Narrow"/>
      <family val="2"/>
    </font>
    <font>
      <sz val="22"/>
      <name val="Arial Narrow"/>
      <family val="2"/>
    </font>
    <font>
      <sz val="14"/>
      <name val="Arial Narrow"/>
      <family val="2"/>
    </font>
    <font>
      <u val="singleAccounting"/>
      <sz val="11"/>
      <name val="Times New Roman"/>
      <family val="1"/>
    </font>
    <font>
      <sz val="11"/>
      <name val="Arial Narrow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20"/>
      <name val="Times New Roman"/>
      <family val="1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1" borderId="7" applyNumberFormat="0" applyFon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6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6" applyFont="1">
      <alignment/>
      <protection/>
    </xf>
    <xf numFmtId="0" fontId="6" fillId="0" borderId="0" xfId="56" applyFont="1">
      <alignment/>
      <protection/>
    </xf>
    <xf numFmtId="164" fontId="12" fillId="0" borderId="0" xfId="56" applyNumberFormat="1" applyFont="1">
      <alignment/>
      <protection/>
    </xf>
    <xf numFmtId="0" fontId="4" fillId="0" borderId="0" xfId="59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58" applyFont="1">
      <alignment/>
      <protection/>
    </xf>
    <xf numFmtId="0" fontId="12" fillId="0" borderId="0" xfId="59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58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58" applyFont="1" applyBorder="1">
      <alignment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11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1" xfId="58" applyFont="1" applyBorder="1" applyAlignment="1">
      <alignment horizontal="center"/>
      <protection/>
    </xf>
    <xf numFmtId="0" fontId="10" fillId="0" borderId="12" xfId="58" applyFont="1" applyBorder="1" applyAlignment="1">
      <alignment horizontal="center"/>
      <protection/>
    </xf>
    <xf numFmtId="0" fontId="11" fillId="0" borderId="13" xfId="58" applyFont="1" applyBorder="1">
      <alignment/>
      <protection/>
    </xf>
    <xf numFmtId="0" fontId="10" fillId="0" borderId="14" xfId="58" applyFont="1" applyBorder="1" applyAlignment="1">
      <alignment horizontal="center"/>
      <protection/>
    </xf>
    <xf numFmtId="0" fontId="10" fillId="0" borderId="15" xfId="58" applyFont="1" applyBorder="1" applyAlignment="1">
      <alignment horizontal="center"/>
      <protection/>
    </xf>
    <xf numFmtId="0" fontId="10" fillId="0" borderId="0" xfId="58" applyFont="1">
      <alignment/>
      <protection/>
    </xf>
    <xf numFmtId="0" fontId="13" fillId="0" borderId="0" xfId="58" applyFont="1">
      <alignment/>
      <protection/>
    </xf>
    <xf numFmtId="0" fontId="14" fillId="0" borderId="0" xfId="58" applyFont="1">
      <alignment/>
      <protection/>
    </xf>
    <xf numFmtId="168" fontId="12" fillId="0" borderId="0" xfId="40" applyNumberFormat="1" applyFont="1" applyAlignment="1">
      <alignment horizontal="centerContinuous"/>
    </xf>
    <xf numFmtId="168" fontId="12" fillId="0" borderId="0" xfId="40" applyNumberFormat="1" applyFont="1" applyAlignment="1">
      <alignment horizontal="center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6" fillId="0" borderId="11" xfId="40" applyNumberFormat="1" applyFont="1" applyBorder="1" applyAlignment="1">
      <alignment horizontal="center" wrapText="1"/>
    </xf>
    <xf numFmtId="168" fontId="6" fillId="0" borderId="13" xfId="40" applyNumberFormat="1" applyFont="1" applyBorder="1" applyAlignment="1">
      <alignment horizontal="center" wrapText="1"/>
    </xf>
    <xf numFmtId="168" fontId="6" fillId="0" borderId="15" xfId="40" applyNumberFormat="1" applyFont="1" applyBorder="1" applyAlignment="1">
      <alignment horizontal="center" wrapText="1"/>
    </xf>
    <xf numFmtId="168" fontId="11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56" applyFont="1">
      <alignment/>
      <protection/>
    </xf>
    <xf numFmtId="0" fontId="9" fillId="0" borderId="0" xfId="0" applyFont="1" applyAlignment="1">
      <alignment horizontal="center"/>
    </xf>
    <xf numFmtId="168" fontId="11" fillId="0" borderId="0" xfId="40" applyNumberFormat="1" applyFont="1" applyAlignment="1">
      <alignment horizontal="right"/>
    </xf>
    <xf numFmtId="168" fontId="11" fillId="0" borderId="0" xfId="40" applyNumberFormat="1" applyFont="1" applyBorder="1" applyAlignment="1">
      <alignment/>
    </xf>
    <xf numFmtId="168" fontId="14" fillId="0" borderId="0" xfId="40" applyNumberFormat="1" applyFont="1" applyAlignment="1">
      <alignment/>
    </xf>
    <xf numFmtId="168" fontId="13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58" applyNumberFormat="1" applyFont="1" applyBorder="1">
      <alignment/>
      <protection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/>
      <protection/>
    </xf>
    <xf numFmtId="0" fontId="12" fillId="0" borderId="0" xfId="56" applyFont="1" applyAlignment="1">
      <alignment horizontal="left"/>
      <protection/>
    </xf>
    <xf numFmtId="0" fontId="12" fillId="0" borderId="11" xfId="56" applyFont="1" applyBorder="1" applyAlignment="1">
      <alignment horizontal="center"/>
      <protection/>
    </xf>
    <xf numFmtId="0" fontId="12" fillId="0" borderId="13" xfId="56" applyFont="1" applyBorder="1" applyAlignment="1">
      <alignment horizontal="center"/>
      <protection/>
    </xf>
    <xf numFmtId="0" fontId="12" fillId="0" borderId="13" xfId="56" applyFont="1" applyBorder="1">
      <alignment/>
      <protection/>
    </xf>
    <xf numFmtId="0" fontId="12" fillId="0" borderId="15" xfId="56" applyFont="1" applyBorder="1" applyAlignment="1">
      <alignment horizontal="center"/>
      <protection/>
    </xf>
    <xf numFmtId="0" fontId="18" fillId="0" borderId="0" xfId="56" applyFont="1">
      <alignment/>
      <protection/>
    </xf>
    <xf numFmtId="0" fontId="10" fillId="0" borderId="0" xfId="56" applyFont="1" applyAlignment="1">
      <alignment/>
      <protection/>
    </xf>
    <xf numFmtId="0" fontId="4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6" applyNumberFormat="1" applyFont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168" fontId="15" fillId="0" borderId="0" xfId="40" applyNumberFormat="1" applyFont="1" applyAlignment="1">
      <alignment wrapText="1"/>
    </xf>
    <xf numFmtId="168" fontId="15" fillId="0" borderId="0" xfId="40" applyNumberFormat="1" applyFont="1" applyAlignment="1">
      <alignment/>
    </xf>
    <xf numFmtId="168" fontId="12" fillId="0" borderId="11" xfId="40" applyNumberFormat="1" applyFont="1" applyBorder="1" applyAlignment="1">
      <alignment horizontal="center"/>
    </xf>
    <xf numFmtId="0" fontId="11" fillId="0" borderId="11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 vertical="center"/>
      <protection/>
    </xf>
    <xf numFmtId="168" fontId="12" fillId="0" borderId="13" xfId="40" applyNumberFormat="1" applyFont="1" applyBorder="1" applyAlignment="1">
      <alignment horizontal="center"/>
    </xf>
    <xf numFmtId="168" fontId="12" fillId="0" borderId="15" xfId="4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6" fillId="0" borderId="0" xfId="56" applyFont="1" applyBorder="1" applyAlignment="1">
      <alignment horizontal="center" vertical="center"/>
      <protection/>
    </xf>
    <xf numFmtId="168" fontId="12" fillId="0" borderId="0" xfId="40" applyNumberFormat="1" applyFont="1" applyBorder="1" applyAlignment="1">
      <alignment horizontal="center"/>
    </xf>
    <xf numFmtId="0" fontId="12" fillId="0" borderId="0" xfId="56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12" fillId="0" borderId="0" xfId="0" applyNumberFormat="1" applyFont="1" applyAlignment="1">
      <alignment wrapText="1"/>
    </xf>
    <xf numFmtId="168" fontId="12" fillId="0" borderId="0" xfId="40" applyNumberFormat="1" applyFont="1" applyBorder="1" applyAlignment="1">
      <alignment horizontal="center"/>
    </xf>
    <xf numFmtId="168" fontId="12" fillId="0" borderId="0" xfId="40" applyNumberFormat="1" applyFont="1" applyAlignment="1">
      <alignment horizontal="left" wrapText="1"/>
    </xf>
    <xf numFmtId="168" fontId="6" fillId="0" borderId="0" xfId="0" applyNumberFormat="1" applyFont="1" applyAlignment="1">
      <alignment/>
    </xf>
    <xf numFmtId="0" fontId="13" fillId="0" borderId="0" xfId="0" applyFont="1" applyAlignment="1">
      <alignment/>
    </xf>
    <xf numFmtId="168" fontId="13" fillId="0" borderId="0" xfId="0" applyNumberFormat="1" applyFont="1" applyAlignment="1">
      <alignment/>
    </xf>
    <xf numFmtId="0" fontId="20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2" fillId="0" borderId="0" xfId="58" applyFont="1">
      <alignment/>
      <protection/>
    </xf>
    <xf numFmtId="168" fontId="7" fillId="0" borderId="0" xfId="4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10" fillId="0" borderId="0" xfId="59" applyFont="1" applyAlignment="1">
      <alignment horizontal="center"/>
      <protection/>
    </xf>
    <xf numFmtId="0" fontId="11" fillId="0" borderId="0" xfId="59" applyFont="1">
      <alignment/>
      <protection/>
    </xf>
    <xf numFmtId="0" fontId="11" fillId="0" borderId="0" xfId="56" applyFont="1">
      <alignment/>
      <protection/>
    </xf>
    <xf numFmtId="0" fontId="11" fillId="0" borderId="16" xfId="58" applyFont="1" applyBorder="1" applyAlignment="1" quotePrefix="1">
      <alignment horizontal="center" vertical="center" wrapText="1"/>
      <protection/>
    </xf>
    <xf numFmtId="0" fontId="11" fillId="0" borderId="17" xfId="58" applyFont="1" applyBorder="1" applyAlignment="1">
      <alignment horizontal="left" wrapText="1"/>
      <protection/>
    </xf>
    <xf numFmtId="0" fontId="11" fillId="0" borderId="18" xfId="59" applyFont="1" applyBorder="1">
      <alignment/>
      <protection/>
    </xf>
    <xf numFmtId="0" fontId="11" fillId="0" borderId="19" xfId="59" applyFont="1" applyBorder="1">
      <alignment/>
      <protection/>
    </xf>
    <xf numFmtId="0" fontId="11" fillId="0" borderId="20" xfId="58" applyFont="1" applyBorder="1" applyAlignment="1" quotePrefix="1">
      <alignment horizontal="center" vertical="center" wrapText="1"/>
      <protection/>
    </xf>
    <xf numFmtId="0" fontId="11" fillId="0" borderId="21" xfId="59" applyFont="1" applyBorder="1">
      <alignment/>
      <protection/>
    </xf>
    <xf numFmtId="0" fontId="11" fillId="0" borderId="22" xfId="59" applyFont="1" applyBorder="1">
      <alignment/>
      <protection/>
    </xf>
    <xf numFmtId="0" fontId="11" fillId="0" borderId="23" xfId="59" applyFont="1" applyBorder="1">
      <alignment/>
      <protection/>
    </xf>
    <xf numFmtId="0" fontId="11" fillId="0" borderId="17" xfId="59" applyFont="1" applyBorder="1">
      <alignment/>
      <protection/>
    </xf>
    <xf numFmtId="0" fontId="10" fillId="0" borderId="24" xfId="59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58" applyFont="1" applyAlignment="1">
      <alignment horizontal="center"/>
      <protection/>
    </xf>
    <xf numFmtId="0" fontId="12" fillId="0" borderId="0" xfId="59" applyFont="1" applyAlignment="1">
      <alignment horizontal="center"/>
      <protection/>
    </xf>
    <xf numFmtId="0" fontId="11" fillId="0" borderId="23" xfId="58" applyFont="1" applyBorder="1" applyAlignment="1">
      <alignment horizontal="right"/>
      <protection/>
    </xf>
    <xf numFmtId="0" fontId="11" fillId="0" borderId="18" xfId="58" applyFont="1" applyBorder="1" applyAlignment="1">
      <alignment horizontal="right"/>
      <protection/>
    </xf>
    <xf numFmtId="0" fontId="11" fillId="0" borderId="18" xfId="58" applyFont="1" applyBorder="1">
      <alignment/>
      <protection/>
    </xf>
    <xf numFmtId="0" fontId="12" fillId="0" borderId="0" xfId="56" applyFont="1">
      <alignment/>
      <protection/>
    </xf>
    <xf numFmtId="0" fontId="15" fillId="0" borderId="0" xfId="56" applyFont="1">
      <alignment/>
      <protection/>
    </xf>
    <xf numFmtId="0" fontId="15" fillId="0" borderId="0" xfId="0" applyFont="1" applyAlignment="1">
      <alignment/>
    </xf>
    <xf numFmtId="0" fontId="6" fillId="0" borderId="11" xfId="56" applyFont="1" applyBorder="1">
      <alignment/>
      <protection/>
    </xf>
    <xf numFmtId="0" fontId="6" fillId="0" borderId="10" xfId="56" applyFont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0" fontId="6" fillId="0" borderId="13" xfId="56" applyFont="1" applyBorder="1">
      <alignment/>
      <protection/>
    </xf>
    <xf numFmtId="0" fontId="6" fillId="0" borderId="12" xfId="56" applyFont="1" applyBorder="1" applyAlignment="1">
      <alignment horizontal="center"/>
      <protection/>
    </xf>
    <xf numFmtId="0" fontId="6" fillId="0" borderId="13" xfId="56" applyFont="1" applyBorder="1" applyAlignment="1">
      <alignment horizontal="center"/>
      <protection/>
    </xf>
    <xf numFmtId="0" fontId="6" fillId="0" borderId="15" xfId="56" applyFont="1" applyBorder="1">
      <alignment/>
      <protection/>
    </xf>
    <xf numFmtId="0" fontId="4" fillId="0" borderId="15" xfId="56" applyFont="1" applyBorder="1" applyAlignment="1">
      <alignment horizontal="center"/>
      <protection/>
    </xf>
    <xf numFmtId="168" fontId="6" fillId="0" borderId="24" xfId="40" applyNumberFormat="1" applyFont="1" applyBorder="1" applyAlignment="1">
      <alignment/>
    </xf>
    <xf numFmtId="0" fontId="12" fillId="0" borderId="24" xfId="56" applyFont="1" applyBorder="1">
      <alignment/>
      <protection/>
    </xf>
    <xf numFmtId="0" fontId="6" fillId="0" borderId="25" xfId="56" applyFont="1" applyBorder="1">
      <alignment/>
      <protection/>
    </xf>
    <xf numFmtId="0" fontId="6" fillId="0" borderId="26" xfId="56" applyFont="1" applyBorder="1">
      <alignment/>
      <protection/>
    </xf>
    <xf numFmtId="168" fontId="6" fillId="0" borderId="15" xfId="40" applyNumberFormat="1" applyFont="1" applyBorder="1" applyAlignment="1">
      <alignment/>
    </xf>
    <xf numFmtId="0" fontId="6" fillId="0" borderId="0" xfId="56" applyFont="1">
      <alignment/>
      <protection/>
    </xf>
    <xf numFmtId="0" fontId="12" fillId="0" borderId="24" xfId="56" applyFont="1" applyBorder="1" applyAlignment="1">
      <alignment horizontal="right"/>
      <protection/>
    </xf>
    <xf numFmtId="0" fontId="12" fillId="0" borderId="25" xfId="56" applyFont="1" applyBorder="1" applyAlignment="1">
      <alignment wrapText="1"/>
      <protection/>
    </xf>
    <xf numFmtId="168" fontId="12" fillId="0" borderId="24" xfId="40" applyNumberFormat="1" applyFont="1" applyBorder="1" applyAlignment="1">
      <alignment/>
    </xf>
    <xf numFmtId="168" fontId="15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6" applyFont="1" applyAlignment="1">
      <alignment horizontal="right"/>
      <protection/>
    </xf>
    <xf numFmtId="0" fontId="6" fillId="0" borderId="11" xfId="56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3" xfId="40" applyNumberFormat="1" applyFont="1" applyBorder="1" applyAlignment="1">
      <alignment horizontal="center"/>
    </xf>
    <xf numFmtId="0" fontId="6" fillId="0" borderId="15" xfId="56" applyFont="1" applyBorder="1" applyAlignment="1">
      <alignment horizontal="center"/>
      <protection/>
    </xf>
    <xf numFmtId="168" fontId="6" fillId="0" borderId="15" xfId="40" applyNumberFormat="1" applyFont="1" applyBorder="1" applyAlignment="1">
      <alignment horizontal="center"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6" applyFont="1" applyBorder="1" applyAlignment="1">
      <alignment wrapText="1"/>
      <protection/>
    </xf>
    <xf numFmtId="0" fontId="12" fillId="0" borderId="18" xfId="56" applyFont="1" applyBorder="1" applyAlignment="1">
      <alignment horizontal="right"/>
      <protection/>
    </xf>
    <xf numFmtId="0" fontId="12" fillId="0" borderId="18" xfId="56" applyFont="1" applyBorder="1" applyAlignment="1">
      <alignment/>
      <protection/>
    </xf>
    <xf numFmtId="168" fontId="12" fillId="0" borderId="18" xfId="4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6" applyNumberFormat="1" applyFont="1">
      <alignment/>
      <protection/>
    </xf>
    <xf numFmtId="0" fontId="6" fillId="0" borderId="24" xfId="56" applyFont="1" applyBorder="1" applyAlignment="1">
      <alignment horizontal="right"/>
      <protection/>
    </xf>
    <xf numFmtId="0" fontId="6" fillId="0" borderId="24" xfId="56" applyFont="1" applyBorder="1">
      <alignment/>
      <protection/>
    </xf>
    <xf numFmtId="168" fontId="6" fillId="0" borderId="24" xfId="40" applyNumberFormat="1" applyFont="1" applyBorder="1" applyAlignment="1">
      <alignment/>
    </xf>
    <xf numFmtId="0" fontId="6" fillId="0" borderId="0" xfId="56" applyFont="1" applyBorder="1" applyAlignment="1">
      <alignment horizontal="right"/>
      <protection/>
    </xf>
    <xf numFmtId="0" fontId="6" fillId="0" borderId="0" xfId="56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7" applyFont="1">
      <alignment/>
      <protection/>
    </xf>
    <xf numFmtId="0" fontId="6" fillId="0" borderId="0" xfId="57" applyFont="1" applyBorder="1" applyAlignment="1">
      <alignment horizontal="center"/>
      <protection/>
    </xf>
    <xf numFmtId="0" fontId="22" fillId="0" borderId="18" xfId="0" applyFont="1" applyBorder="1" applyAlignment="1">
      <alignment/>
    </xf>
    <xf numFmtId="168" fontId="6" fillId="0" borderId="18" xfId="40" applyNumberFormat="1" applyFont="1" applyBorder="1" applyAlignment="1">
      <alignment/>
    </xf>
    <xf numFmtId="0" fontId="6" fillId="0" borderId="0" xfId="57" applyFont="1">
      <alignment/>
      <protection/>
    </xf>
    <xf numFmtId="0" fontId="6" fillId="0" borderId="24" xfId="57" applyFont="1" applyBorder="1" applyAlignment="1">
      <alignment horizontal="right"/>
      <protection/>
    </xf>
    <xf numFmtId="0" fontId="6" fillId="0" borderId="24" xfId="57" applyFont="1" applyBorder="1">
      <alignment/>
      <protection/>
    </xf>
    <xf numFmtId="168" fontId="6" fillId="0" borderId="24" xfId="57" applyNumberFormat="1" applyFont="1" applyBorder="1" applyAlignment="1">
      <alignment/>
      <protection/>
    </xf>
    <xf numFmtId="168" fontId="6" fillId="0" borderId="0" xfId="57" applyNumberFormat="1" applyFont="1">
      <alignment/>
      <protection/>
    </xf>
    <xf numFmtId="0" fontId="12" fillId="0" borderId="0" xfId="57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1" fillId="0" borderId="0" xfId="58" applyFont="1" applyAlignment="1">
      <alignment horizontal="left" wrapText="1"/>
      <protection/>
    </xf>
    <xf numFmtId="0" fontId="6" fillId="0" borderId="14" xfId="56" applyFont="1" applyBorder="1" applyAlignment="1">
      <alignment horizontal="center"/>
      <protection/>
    </xf>
    <xf numFmtId="14" fontId="4" fillId="0" borderId="0" xfId="0" applyNumberFormat="1" applyFont="1" applyAlignment="1">
      <alignment/>
    </xf>
    <xf numFmtId="0" fontId="11" fillId="0" borderId="27" xfId="59" applyFont="1" applyBorder="1">
      <alignment/>
      <protection/>
    </xf>
    <xf numFmtId="0" fontId="20" fillId="0" borderId="24" xfId="56" applyFont="1" applyBorder="1" applyAlignment="1">
      <alignment horizontal="center"/>
      <protection/>
    </xf>
    <xf numFmtId="0" fontId="7" fillId="0" borderId="24" xfId="56" applyFont="1" applyBorder="1" applyAlignment="1">
      <alignment horizontal="center"/>
      <protection/>
    </xf>
    <xf numFmtId="164" fontId="11" fillId="0" borderId="22" xfId="59" applyNumberFormat="1" applyFont="1" applyBorder="1">
      <alignment/>
      <protection/>
    </xf>
    <xf numFmtId="164" fontId="11" fillId="0" borderId="18" xfId="59" applyNumberFormat="1" applyFont="1" applyBorder="1">
      <alignment/>
      <protection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168" fontId="23" fillId="0" borderId="0" xfId="40" applyNumberFormat="1" applyFont="1" applyAlignment="1">
      <alignment/>
    </xf>
    <xf numFmtId="0" fontId="11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20" fillId="0" borderId="0" xfId="56" applyFont="1" applyAlignment="1">
      <alignment horizontal="center"/>
      <protection/>
    </xf>
    <xf numFmtId="168" fontId="20" fillId="0" borderId="0" xfId="40" applyNumberFormat="1" applyFont="1" applyAlignment="1">
      <alignment horizontal="centerContinuous"/>
    </xf>
    <xf numFmtId="168" fontId="20" fillId="0" borderId="0" xfId="40" applyNumberFormat="1" applyFont="1" applyAlignment="1">
      <alignment/>
    </xf>
    <xf numFmtId="168" fontId="20" fillId="0" borderId="28" xfId="40" applyNumberFormat="1" applyFont="1" applyBorder="1" applyAlignment="1">
      <alignment horizontal="center"/>
    </xf>
    <xf numFmtId="168" fontId="20" fillId="0" borderId="11" xfId="40" applyNumberFormat="1" applyFont="1" applyBorder="1" applyAlignment="1">
      <alignment horizontal="center"/>
    </xf>
    <xf numFmtId="168" fontId="20" fillId="0" borderId="11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1" fillId="0" borderId="29" xfId="58" applyFont="1" applyBorder="1" applyAlignment="1" quotePrefix="1">
      <alignment horizontal="center" vertical="center" wrapText="1"/>
      <protection/>
    </xf>
    <xf numFmtId="0" fontId="11" fillId="0" borderId="0" xfId="58" applyFont="1" applyBorder="1" applyAlignment="1">
      <alignment horizontal="left" wrapText="1"/>
      <protection/>
    </xf>
    <xf numFmtId="168" fontId="4" fillId="0" borderId="27" xfId="40" applyNumberFormat="1" applyFont="1" applyBorder="1" applyAlignment="1">
      <alignment/>
    </xf>
    <xf numFmtId="168" fontId="4" fillId="0" borderId="30" xfId="40" applyNumberFormat="1" applyFont="1" applyBorder="1" applyAlignment="1">
      <alignment/>
    </xf>
    <xf numFmtId="168" fontId="4" fillId="0" borderId="18" xfId="40" applyNumberFormat="1" applyFont="1" applyBorder="1" applyAlignment="1">
      <alignment/>
    </xf>
    <xf numFmtId="168" fontId="4" fillId="0" borderId="31" xfId="40" applyNumberFormat="1" applyFont="1" applyBorder="1" applyAlignment="1">
      <alignment/>
    </xf>
    <xf numFmtId="0" fontId="10" fillId="0" borderId="32" xfId="59" applyFont="1" applyBorder="1">
      <alignment/>
      <protection/>
    </xf>
    <xf numFmtId="0" fontId="10" fillId="0" borderId="24" xfId="59" applyFont="1" applyBorder="1">
      <alignment/>
      <protection/>
    </xf>
    <xf numFmtId="168" fontId="4" fillId="0" borderId="24" xfId="40" applyNumberFormat="1" applyFont="1" applyBorder="1" applyAlignment="1">
      <alignment/>
    </xf>
    <xf numFmtId="0" fontId="11" fillId="0" borderId="33" xfId="58" applyFont="1" applyBorder="1" applyAlignment="1" quotePrefix="1">
      <alignment horizontal="center" vertical="center" wrapText="1"/>
      <protection/>
    </xf>
    <xf numFmtId="0" fontId="4" fillId="0" borderId="24" xfId="0" applyFont="1" applyBorder="1" applyAlignment="1">
      <alignment/>
    </xf>
    <xf numFmtId="0" fontId="19" fillId="0" borderId="0" xfId="0" applyFont="1" applyAlignment="1">
      <alignment/>
    </xf>
    <xf numFmtId="0" fontId="11" fillId="0" borderId="19" xfId="58" applyFont="1" applyBorder="1" applyAlignment="1">
      <alignment horizontal="right"/>
      <protection/>
    </xf>
    <xf numFmtId="0" fontId="19" fillId="0" borderId="18" xfId="58" applyFont="1" applyBorder="1">
      <alignment/>
      <protection/>
    </xf>
    <xf numFmtId="0" fontId="19" fillId="0" borderId="22" xfId="58" applyFont="1" applyBorder="1">
      <alignment/>
      <protection/>
    </xf>
    <xf numFmtId="0" fontId="11" fillId="0" borderId="22" xfId="58" applyFont="1" applyBorder="1">
      <alignment/>
      <protection/>
    </xf>
    <xf numFmtId="0" fontId="11" fillId="0" borderId="31" xfId="58" applyFont="1" applyBorder="1">
      <alignment/>
      <protection/>
    </xf>
    <xf numFmtId="0" fontId="11" fillId="0" borderId="34" xfId="58" applyFont="1" applyBorder="1">
      <alignment/>
      <protection/>
    </xf>
    <xf numFmtId="0" fontId="10" fillId="0" borderId="32" xfId="58" applyFont="1" applyBorder="1">
      <alignment/>
      <protection/>
    </xf>
    <xf numFmtId="0" fontId="10" fillId="0" borderId="24" xfId="58" applyFont="1" applyBorder="1">
      <alignment/>
      <protection/>
    </xf>
    <xf numFmtId="0" fontId="10" fillId="0" borderId="32" xfId="58" applyFont="1" applyBorder="1" applyAlignment="1">
      <alignment horizontal="right"/>
      <protection/>
    </xf>
    <xf numFmtId="0" fontId="19" fillId="0" borderId="0" xfId="58" applyFont="1">
      <alignment/>
      <protection/>
    </xf>
    <xf numFmtId="0" fontId="7" fillId="0" borderId="0" xfId="58" applyFont="1" applyAlignment="1">
      <alignment/>
      <protection/>
    </xf>
    <xf numFmtId="0" fontId="24" fillId="0" borderId="0" xfId="0" applyFont="1" applyAlignment="1">
      <alignment horizontal="left"/>
    </xf>
    <xf numFmtId="0" fontId="6" fillId="0" borderId="0" xfId="59" applyFont="1" applyAlignment="1">
      <alignment horizontal="centerContinuous"/>
      <protection/>
    </xf>
    <xf numFmtId="0" fontId="25" fillId="0" borderId="0" xfId="59" applyFont="1">
      <alignment/>
      <protection/>
    </xf>
    <xf numFmtId="0" fontId="6" fillId="0" borderId="11" xfId="59" applyFont="1" applyBorder="1">
      <alignment/>
      <protection/>
    </xf>
    <xf numFmtId="0" fontId="6" fillId="0" borderId="11" xfId="59" applyFont="1" applyBorder="1" applyAlignment="1">
      <alignment horizontal="center"/>
      <protection/>
    </xf>
    <xf numFmtId="0" fontId="6" fillId="0" borderId="13" xfId="59" applyFont="1" applyBorder="1" applyAlignment="1">
      <alignment horizontal="center"/>
      <protection/>
    </xf>
    <xf numFmtId="0" fontId="6" fillId="0" borderId="15" xfId="59" applyFont="1" applyBorder="1">
      <alignment/>
      <protection/>
    </xf>
    <xf numFmtId="0" fontId="6" fillId="0" borderId="15" xfId="59" applyFont="1" applyBorder="1" applyAlignment="1">
      <alignment horizontal="center"/>
      <protection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horizontal="center"/>
      <protection/>
    </xf>
    <xf numFmtId="0" fontId="6" fillId="0" borderId="0" xfId="59" applyFont="1" applyBorder="1" applyAlignment="1">
      <alignment horizontal="right"/>
      <protection/>
    </xf>
    <xf numFmtId="168" fontId="12" fillId="0" borderId="0" xfId="40" applyNumberFormat="1" applyFont="1" applyBorder="1" applyAlignment="1">
      <alignment horizontal="right"/>
    </xf>
    <xf numFmtId="44" fontId="12" fillId="0" borderId="0" xfId="61" applyFont="1" applyAlignment="1">
      <alignment horizontal="left" wrapText="1"/>
    </xf>
    <xf numFmtId="168" fontId="12" fillId="0" borderId="0" xfId="40" applyNumberFormat="1" applyFont="1" applyAlignment="1">
      <alignment wrapText="1"/>
    </xf>
    <xf numFmtId="44" fontId="12" fillId="0" borderId="0" xfId="61" applyFont="1" applyAlignment="1">
      <alignment wrapText="1"/>
    </xf>
    <xf numFmtId="0" fontId="12" fillId="0" borderId="0" xfId="59" applyFont="1" applyBorder="1">
      <alignment/>
      <protection/>
    </xf>
    <xf numFmtId="168" fontId="26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 horizontal="right"/>
    </xf>
    <xf numFmtId="0" fontId="10" fillId="0" borderId="0" xfId="58" applyFont="1" applyBorder="1" quotePrefix="1">
      <alignment/>
      <protection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35" xfId="40" applyNumberFormat="1" applyFont="1" applyBorder="1" applyAlignment="1">
      <alignment/>
    </xf>
    <xf numFmtId="168" fontId="6" fillId="0" borderId="36" xfId="40" applyNumberFormat="1" applyFont="1" applyBorder="1" applyAlignment="1">
      <alignment/>
    </xf>
    <xf numFmtId="168" fontId="6" fillId="0" borderId="37" xfId="40" applyNumberFormat="1" applyFont="1" applyBorder="1" applyAlignment="1">
      <alignment/>
    </xf>
    <xf numFmtId="168" fontId="12" fillId="0" borderId="37" xfId="40" applyNumberFormat="1" applyFont="1" applyBorder="1" applyAlignment="1">
      <alignment/>
    </xf>
    <xf numFmtId="168" fontId="12" fillId="0" borderId="36" xfId="40" applyNumberFormat="1" applyFont="1" applyBorder="1" applyAlignment="1">
      <alignment/>
    </xf>
    <xf numFmtId="168" fontId="12" fillId="0" borderId="11" xfId="4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168" fontId="12" fillId="0" borderId="38" xfId="40" applyNumberFormat="1" applyFont="1" applyBorder="1" applyAlignment="1">
      <alignment horizontal="center"/>
    </xf>
    <xf numFmtId="168" fontId="12" fillId="0" borderId="39" xfId="40" applyNumberFormat="1" applyFont="1" applyBorder="1" applyAlignment="1">
      <alignment horizontal="center"/>
    </xf>
    <xf numFmtId="168" fontId="12" fillId="0" borderId="40" xfId="4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168" fontId="12" fillId="0" borderId="15" xfId="40" applyNumberFormat="1" applyFont="1" applyBorder="1" applyAlignment="1">
      <alignment/>
    </xf>
    <xf numFmtId="168" fontId="12" fillId="0" borderId="41" xfId="40" applyNumberFormat="1" applyFont="1" applyBorder="1" applyAlignment="1">
      <alignment/>
    </xf>
    <xf numFmtId="168" fontId="12" fillId="0" borderId="42" xfId="40" applyNumberFormat="1" applyFont="1" applyBorder="1" applyAlignment="1">
      <alignment/>
    </xf>
    <xf numFmtId="168" fontId="12" fillId="0" borderId="43" xfId="40" applyNumberFormat="1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168" fontId="12" fillId="0" borderId="18" xfId="40" applyNumberFormat="1" applyFont="1" applyBorder="1" applyAlignment="1">
      <alignment/>
    </xf>
    <xf numFmtId="168" fontId="12" fillId="0" borderId="31" xfId="40" applyNumberFormat="1" applyFont="1" applyBorder="1" applyAlignment="1">
      <alignment/>
    </xf>
    <xf numFmtId="0" fontId="12" fillId="0" borderId="18" xfId="0" applyFont="1" applyBorder="1" applyAlignment="1">
      <alignment/>
    </xf>
    <xf numFmtId="168" fontId="12" fillId="0" borderId="18" xfId="40" applyNumberFormat="1" applyFont="1" applyBorder="1" applyAlignment="1">
      <alignment/>
    </xf>
    <xf numFmtId="168" fontId="27" fillId="0" borderId="18" xfId="40" applyNumberFormat="1" applyFont="1" applyFill="1" applyBorder="1" applyAlignment="1">
      <alignment/>
    </xf>
    <xf numFmtId="168" fontId="27" fillId="0" borderId="22" xfId="40" applyNumberFormat="1" applyFont="1" applyFill="1" applyBorder="1" applyAlignment="1">
      <alignment/>
    </xf>
    <xf numFmtId="168" fontId="12" fillId="0" borderId="18" xfId="40" applyNumberFormat="1" applyFont="1" applyFill="1" applyBorder="1" applyAlignment="1">
      <alignment/>
    </xf>
    <xf numFmtId="168" fontId="12" fillId="0" borderId="22" xfId="40" applyNumberFormat="1" applyFont="1" applyFill="1" applyBorder="1" applyAlignment="1">
      <alignment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/>
    </xf>
    <xf numFmtId="0" fontId="6" fillId="0" borderId="24" xfId="0" applyFont="1" applyBorder="1" applyAlignment="1">
      <alignment/>
    </xf>
    <xf numFmtId="168" fontId="6" fillId="0" borderId="46" xfId="40" applyNumberFormat="1" applyFont="1" applyBorder="1" applyAlignment="1">
      <alignment/>
    </xf>
    <xf numFmtId="168" fontId="6" fillId="0" borderId="24" xfId="40" applyNumberFormat="1" applyFont="1" applyBorder="1" applyAlignment="1">
      <alignment/>
    </xf>
    <xf numFmtId="0" fontId="12" fillId="0" borderId="47" xfId="0" applyFont="1" applyBorder="1" applyAlignment="1">
      <alignment horizontal="center"/>
    </xf>
    <xf numFmtId="0" fontId="6" fillId="0" borderId="27" xfId="0" applyFont="1" applyBorder="1" applyAlignment="1">
      <alignment/>
    </xf>
    <xf numFmtId="168" fontId="12" fillId="0" borderId="48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24" xfId="0" applyFont="1" applyBorder="1" applyAlignment="1">
      <alignment/>
    </xf>
    <xf numFmtId="0" fontId="6" fillId="0" borderId="32" xfId="0" applyFont="1" applyBorder="1" applyAlignment="1">
      <alignment/>
    </xf>
    <xf numFmtId="168" fontId="12" fillId="0" borderId="49" xfId="40" applyNumberFormat="1" applyFont="1" applyBorder="1" applyAlignment="1">
      <alignment/>
    </xf>
    <xf numFmtId="168" fontId="12" fillId="0" borderId="50" xfId="40" applyNumberFormat="1" applyFont="1" applyBorder="1" applyAlignment="1">
      <alignment/>
    </xf>
    <xf numFmtId="0" fontId="12" fillId="0" borderId="18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0" fontId="10" fillId="0" borderId="0" xfId="58" applyFont="1" applyBorder="1" applyAlignment="1">
      <alignment horizontal="left" wrapText="1"/>
      <protection/>
    </xf>
    <xf numFmtId="0" fontId="6" fillId="0" borderId="0" xfId="59" applyFont="1" applyBorder="1" quotePrefix="1">
      <alignment/>
      <protection/>
    </xf>
    <xf numFmtId="14" fontId="17" fillId="0" borderId="0" xfId="0" applyNumberFormat="1" applyFont="1" applyAlignment="1">
      <alignment/>
    </xf>
    <xf numFmtId="0" fontId="7" fillId="0" borderId="0" xfId="59" applyFont="1" applyAlignment="1">
      <alignment horizontal="center"/>
      <protection/>
    </xf>
    <xf numFmtId="0" fontId="4" fillId="0" borderId="0" xfId="58" applyFont="1" applyAlignment="1">
      <alignment wrapText="1"/>
      <protection/>
    </xf>
    <xf numFmtId="0" fontId="19" fillId="0" borderId="31" xfId="58" applyFont="1" applyBorder="1">
      <alignment/>
      <protection/>
    </xf>
    <xf numFmtId="0" fontId="4" fillId="0" borderId="18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41" fontId="32" fillId="0" borderId="0" xfId="0" applyNumberFormat="1" applyFont="1" applyAlignment="1">
      <alignment/>
    </xf>
    <xf numFmtId="49" fontId="0" fillId="0" borderId="0" xfId="0" applyNumberFormat="1" applyAlignment="1">
      <alignment/>
    </xf>
    <xf numFmtId="41" fontId="12" fillId="0" borderId="0" xfId="56" applyNumberFormat="1" applyFont="1">
      <alignment/>
      <protection/>
    </xf>
    <xf numFmtId="41" fontId="15" fillId="0" borderId="0" xfId="56" applyNumberFormat="1" applyFont="1">
      <alignment/>
      <protection/>
    </xf>
    <xf numFmtId="41" fontId="15" fillId="0" borderId="0" xfId="40" applyNumberFormat="1" applyFont="1" applyAlignment="1">
      <alignment wrapText="1"/>
    </xf>
    <xf numFmtId="41" fontId="15" fillId="0" borderId="0" xfId="40" applyNumberFormat="1" applyFont="1" applyAlignment="1">
      <alignment/>
    </xf>
    <xf numFmtId="0" fontId="11" fillId="0" borderId="0" xfId="58" applyFont="1" applyBorder="1" applyAlignment="1">
      <alignment horizontal="left" vertical="center" wrapText="1"/>
      <protection/>
    </xf>
    <xf numFmtId="41" fontId="11" fillId="0" borderId="0" xfId="58" applyNumberFormat="1" applyFont="1" applyBorder="1" applyAlignment="1">
      <alignment horizontal="left" wrapText="1"/>
      <protection/>
    </xf>
    <xf numFmtId="41" fontId="33" fillId="0" borderId="0" xfId="58" applyNumberFormat="1" applyFont="1" applyBorder="1" applyAlignment="1">
      <alignment horizontal="left" wrapText="1"/>
      <protection/>
    </xf>
    <xf numFmtId="41" fontId="10" fillId="0" borderId="0" xfId="58" applyNumberFormat="1" applyFont="1" applyBorder="1" applyAlignment="1">
      <alignment horizontal="left" wrapText="1"/>
      <protection/>
    </xf>
    <xf numFmtId="0" fontId="12" fillId="0" borderId="0" xfId="56" applyFont="1" applyAlignment="1">
      <alignment horizontal="center" vertical="justify" wrapText="1"/>
      <protection/>
    </xf>
    <xf numFmtId="0" fontId="34" fillId="0" borderId="0" xfId="0" applyFont="1" applyAlignment="1">
      <alignment/>
    </xf>
    <xf numFmtId="41" fontId="34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0" fontId="6" fillId="0" borderId="0" xfId="59" applyFont="1" applyBorder="1" applyAlignment="1" quotePrefix="1">
      <alignment horizontal="center"/>
      <protection/>
    </xf>
    <xf numFmtId="0" fontId="12" fillId="0" borderId="0" xfId="56" applyFont="1" applyAlignment="1">
      <alignment horizontal="center"/>
      <protection/>
    </xf>
    <xf numFmtId="0" fontId="36" fillId="0" borderId="0" xfId="0" applyFont="1" applyAlignment="1">
      <alignment/>
    </xf>
    <xf numFmtId="16" fontId="0" fillId="0" borderId="0" xfId="0" applyNumberFormat="1" applyAlignment="1">
      <alignment/>
    </xf>
    <xf numFmtId="0" fontId="2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15" fillId="0" borderId="26" xfId="0" applyFont="1" applyBorder="1" applyAlignment="1" quotePrefix="1">
      <alignment horizontal="center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56" applyFont="1" applyAlignment="1">
      <alignment horizontal="left" wrapText="1"/>
      <protection/>
    </xf>
    <xf numFmtId="0" fontId="10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/>
      <protection/>
    </xf>
    <xf numFmtId="0" fontId="14" fillId="0" borderId="0" xfId="0" applyFont="1" applyAlignment="1" quotePrefix="1">
      <alignment horizontal="center"/>
    </xf>
    <xf numFmtId="0" fontId="14" fillId="0" borderId="26" xfId="0" applyFont="1" applyBorder="1" applyAlignment="1" quotePrefix="1">
      <alignment horizontal="center"/>
    </xf>
    <xf numFmtId="0" fontId="12" fillId="0" borderId="26" xfId="56" applyFont="1" applyBorder="1" applyAlignment="1" quotePrefix="1">
      <alignment horizontal="center"/>
      <protection/>
    </xf>
    <xf numFmtId="0" fontId="12" fillId="0" borderId="10" xfId="56" applyFont="1" applyBorder="1" applyAlignment="1">
      <alignment horizontal="center" vertical="center"/>
      <protection/>
    </xf>
    <xf numFmtId="0" fontId="12" fillId="0" borderId="51" xfId="56" applyFont="1" applyBorder="1" applyAlignment="1">
      <alignment horizontal="center" vertical="center"/>
      <protection/>
    </xf>
    <xf numFmtId="0" fontId="12" fillId="0" borderId="28" xfId="56" applyFont="1" applyBorder="1" applyAlignment="1">
      <alignment horizontal="center" vertical="center"/>
      <protection/>
    </xf>
    <xf numFmtId="0" fontId="12" fillId="0" borderId="12" xfId="56" applyFont="1" applyBorder="1" applyAlignment="1">
      <alignment horizontal="center" vertical="center"/>
      <protection/>
    </xf>
    <xf numFmtId="0" fontId="12" fillId="0" borderId="0" xfId="56" applyFont="1" applyBorder="1" applyAlignment="1">
      <alignment horizontal="center" vertical="center"/>
      <protection/>
    </xf>
    <xf numFmtId="0" fontId="12" fillId="0" borderId="52" xfId="56" applyFont="1" applyBorder="1" applyAlignment="1">
      <alignment horizontal="center" vertical="center"/>
      <protection/>
    </xf>
    <xf numFmtId="0" fontId="12" fillId="0" borderId="14" xfId="56" applyFont="1" applyBorder="1" applyAlignment="1">
      <alignment horizontal="center" vertical="center"/>
      <protection/>
    </xf>
    <xf numFmtId="0" fontId="12" fillId="0" borderId="26" xfId="56" applyFont="1" applyBorder="1" applyAlignment="1">
      <alignment horizontal="center" vertical="center"/>
      <protection/>
    </xf>
    <xf numFmtId="0" fontId="12" fillId="0" borderId="53" xfId="56" applyFont="1" applyBorder="1" applyAlignment="1">
      <alignment horizontal="center" vertical="center"/>
      <protection/>
    </xf>
    <xf numFmtId="0" fontId="18" fillId="0" borderId="0" xfId="0" applyFont="1" applyAlignment="1">
      <alignment horizontal="left" wrapText="1"/>
    </xf>
    <xf numFmtId="0" fontId="7" fillId="0" borderId="0" xfId="56" applyFont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0" fontId="12" fillId="0" borderId="51" xfId="56" applyFont="1" applyBorder="1" applyAlignment="1">
      <alignment horizontal="center"/>
      <protection/>
    </xf>
    <xf numFmtId="0" fontId="12" fillId="0" borderId="28" xfId="56" applyFont="1" applyBorder="1" applyAlignment="1">
      <alignment horizontal="center"/>
      <protection/>
    </xf>
    <xf numFmtId="0" fontId="12" fillId="0" borderId="12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12" fillId="0" borderId="52" xfId="56" applyFont="1" applyBorder="1" applyAlignment="1">
      <alignment horizontal="center"/>
      <protection/>
    </xf>
    <xf numFmtId="0" fontId="12" fillId="0" borderId="14" xfId="56" applyFont="1" applyBorder="1" applyAlignment="1">
      <alignment horizontal="center"/>
      <protection/>
    </xf>
    <xf numFmtId="0" fontId="12" fillId="0" borderId="26" xfId="56" applyFont="1" applyBorder="1" applyAlignment="1">
      <alignment horizontal="center"/>
      <protection/>
    </xf>
    <xf numFmtId="0" fontId="12" fillId="0" borderId="53" xfId="56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5" fillId="0" borderId="0" xfId="0" applyFont="1" applyAlignment="1">
      <alignment horizontal="left" wrapText="1"/>
    </xf>
    <xf numFmtId="0" fontId="12" fillId="0" borderId="26" xfId="56" applyFont="1" applyBorder="1" applyAlignment="1">
      <alignment horizontal="right"/>
      <protection/>
    </xf>
    <xf numFmtId="0" fontId="0" fillId="0" borderId="26" xfId="0" applyBorder="1" applyAlignment="1">
      <alignment horizontal="right"/>
    </xf>
    <xf numFmtId="0" fontId="6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0" xfId="56" applyFont="1" applyAlignment="1">
      <alignment horizontal="center"/>
      <protection/>
    </xf>
    <xf numFmtId="0" fontId="10" fillId="0" borderId="0" xfId="56" applyFont="1" applyAlignment="1">
      <alignment horizont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20" fillId="0" borderId="11" xfId="56" applyFont="1" applyBorder="1" applyAlignment="1">
      <alignment horizontal="center" vertical="center" wrapText="1"/>
      <protection/>
    </xf>
    <xf numFmtId="0" fontId="20" fillId="0" borderId="13" xfId="56" applyFont="1" applyBorder="1" applyAlignment="1">
      <alignment horizontal="center" vertical="center" wrapText="1"/>
      <protection/>
    </xf>
    <xf numFmtId="0" fontId="20" fillId="0" borderId="15" xfId="56" applyFont="1" applyBorder="1" applyAlignment="1">
      <alignment horizontal="center" vertical="center" wrapText="1"/>
      <protection/>
    </xf>
    <xf numFmtId="168" fontId="20" fillId="0" borderId="25" xfId="40" applyNumberFormat="1" applyFont="1" applyBorder="1" applyAlignment="1">
      <alignment horizontal="center"/>
    </xf>
    <xf numFmtId="168" fontId="20" fillId="0" borderId="54" xfId="40" applyNumberFormat="1" applyFont="1" applyBorder="1" applyAlignment="1">
      <alignment horizontal="center"/>
    </xf>
    <xf numFmtId="168" fontId="20" fillId="0" borderId="10" xfId="40" applyNumberFormat="1" applyFont="1" applyBorder="1" applyAlignment="1">
      <alignment horizontal="center"/>
    </xf>
    <xf numFmtId="168" fontId="20" fillId="0" borderId="51" xfId="40" applyNumberFormat="1" applyFont="1" applyBorder="1" applyAlignment="1">
      <alignment horizontal="center"/>
    </xf>
    <xf numFmtId="168" fontId="20" fillId="0" borderId="28" xfId="40" applyNumberFormat="1" applyFont="1" applyBorder="1" applyAlignment="1">
      <alignment horizontal="center"/>
    </xf>
    <xf numFmtId="168" fontId="20" fillId="0" borderId="12" xfId="40" applyNumberFormat="1" applyFont="1" applyBorder="1" applyAlignment="1">
      <alignment horizontal="center"/>
    </xf>
    <xf numFmtId="168" fontId="20" fillId="0" borderId="0" xfId="40" applyNumberFormat="1" applyFont="1" applyBorder="1" applyAlignment="1">
      <alignment horizontal="center"/>
    </xf>
    <xf numFmtId="168" fontId="20" fillId="0" borderId="52" xfId="40" applyNumberFormat="1" applyFont="1" applyBorder="1" applyAlignment="1">
      <alignment horizontal="center"/>
    </xf>
    <xf numFmtId="168" fontId="20" fillId="0" borderId="14" xfId="40" applyNumberFormat="1" applyFont="1" applyBorder="1" applyAlignment="1">
      <alignment horizontal="center"/>
    </xf>
    <xf numFmtId="168" fontId="20" fillId="0" borderId="26" xfId="40" applyNumberFormat="1" applyFont="1" applyBorder="1" applyAlignment="1">
      <alignment horizontal="center"/>
    </xf>
    <xf numFmtId="168" fontId="20" fillId="0" borderId="53" xfId="40" applyNumberFormat="1" applyFont="1" applyBorder="1" applyAlignment="1">
      <alignment horizontal="center"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11" fillId="0" borderId="15" xfId="56" applyFont="1" applyBorder="1" applyAlignment="1">
      <alignment horizontal="center" vertical="center" wrapText="1"/>
      <protection/>
    </xf>
    <xf numFmtId="0" fontId="11" fillId="0" borderId="11" xfId="56" applyFont="1" applyBorder="1" applyAlignment="1">
      <alignment horizontal="center" vertical="center"/>
      <protection/>
    </xf>
    <xf numFmtId="0" fontId="11" fillId="0" borderId="13" xfId="56" applyFont="1" applyBorder="1" applyAlignment="1">
      <alignment horizontal="center" vertical="center"/>
      <protection/>
    </xf>
    <xf numFmtId="0" fontId="11" fillId="0" borderId="15" xfId="56" applyFont="1" applyBorder="1" applyAlignment="1">
      <alignment horizontal="center" vertical="center"/>
      <protection/>
    </xf>
    <xf numFmtId="0" fontId="11" fillId="0" borderId="32" xfId="56" applyFont="1" applyBorder="1" applyAlignment="1">
      <alignment horizontal="center"/>
      <protection/>
    </xf>
    <xf numFmtId="0" fontId="11" fillId="0" borderId="25" xfId="56" applyFont="1" applyBorder="1" applyAlignment="1">
      <alignment horizontal="center"/>
      <protection/>
    </xf>
    <xf numFmtId="0" fontId="11" fillId="0" borderId="54" xfId="56" applyFont="1" applyBorder="1" applyAlignment="1">
      <alignment horizontal="center"/>
      <protection/>
    </xf>
    <xf numFmtId="0" fontId="28" fillId="0" borderId="11" xfId="56" applyFont="1" applyBorder="1" applyAlignment="1">
      <alignment horizontal="center" vertical="center" wrapText="1"/>
      <protection/>
    </xf>
    <xf numFmtId="0" fontId="28" fillId="0" borderId="13" xfId="56" applyFont="1" applyBorder="1" applyAlignment="1">
      <alignment horizontal="center" vertical="center" wrapText="1"/>
      <protection/>
    </xf>
    <xf numFmtId="0" fontId="28" fillId="0" borderId="15" xfId="56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/>
      <protection/>
    </xf>
    <xf numFmtId="0" fontId="7" fillId="0" borderId="53" xfId="56" applyFont="1" applyBorder="1" applyAlignment="1">
      <alignment horizont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1" fillId="0" borderId="32" xfId="56" applyFont="1" applyBorder="1" applyAlignment="1">
      <alignment horizontal="center" wrapText="1"/>
      <protection/>
    </xf>
    <xf numFmtId="0" fontId="11" fillId="0" borderId="25" xfId="56" applyFont="1" applyBorder="1" applyAlignment="1">
      <alignment horizontal="center" wrapText="1"/>
      <protection/>
    </xf>
    <xf numFmtId="0" fontId="11" fillId="0" borderId="54" xfId="56" applyFont="1" applyBorder="1" applyAlignment="1">
      <alignment horizontal="center" wrapText="1"/>
      <protection/>
    </xf>
    <xf numFmtId="0" fontId="10" fillId="0" borderId="0" xfId="59" applyFont="1" applyAlignment="1">
      <alignment horizont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3" xfId="56" applyFont="1" applyBorder="1" applyAlignment="1">
      <alignment horizontal="center" vertical="center" wrapText="1"/>
      <protection/>
    </xf>
    <xf numFmtId="0" fontId="24" fillId="0" borderId="15" xfId="56" applyFont="1" applyBorder="1" applyAlignment="1">
      <alignment horizontal="center" vertical="center" wrapText="1"/>
      <protection/>
    </xf>
    <xf numFmtId="0" fontId="7" fillId="0" borderId="32" xfId="56" applyFont="1" applyBorder="1" applyAlignment="1">
      <alignment horizontal="center"/>
      <protection/>
    </xf>
    <xf numFmtId="0" fontId="7" fillId="0" borderId="54" xfId="56" applyFont="1" applyBorder="1" applyAlignment="1">
      <alignment horizontal="center"/>
      <protection/>
    </xf>
    <xf numFmtId="44" fontId="11" fillId="0" borderId="32" xfId="61" applyFont="1" applyBorder="1" applyAlignment="1">
      <alignment horizontal="center"/>
    </xf>
    <xf numFmtId="44" fontId="11" fillId="0" borderId="25" xfId="61" applyFont="1" applyBorder="1" applyAlignment="1">
      <alignment horizontal="center"/>
    </xf>
    <xf numFmtId="44" fontId="11" fillId="0" borderId="54" xfId="6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26" xfId="59" applyFont="1" applyBorder="1" applyAlignment="1">
      <alignment horizontal="right"/>
      <protection/>
    </xf>
    <xf numFmtId="0" fontId="7" fillId="0" borderId="0" xfId="59" applyFont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7" fillId="0" borderId="52" xfId="56" applyFont="1" applyBorder="1" applyAlignment="1">
      <alignment horizontal="center"/>
      <protection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2" fillId="0" borderId="0" xfId="58" applyFont="1" applyAlignment="1">
      <alignment horizontal="left" wrapText="1"/>
      <protection/>
    </xf>
    <xf numFmtId="0" fontId="10" fillId="0" borderId="5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12" fillId="0" borderId="11" xfId="57" applyFont="1" applyBorder="1" applyAlignment="1">
      <alignment horizontal="center" vertical="center"/>
      <protection/>
    </xf>
    <xf numFmtId="0" fontId="12" fillId="0" borderId="13" xfId="57" applyFont="1" applyBorder="1" applyAlignment="1">
      <alignment horizontal="center" vertical="center"/>
      <protection/>
    </xf>
    <xf numFmtId="0" fontId="12" fillId="0" borderId="15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/>
      <protection/>
    </xf>
    <xf numFmtId="0" fontId="5" fillId="0" borderId="51" xfId="56" applyFont="1" applyBorder="1" applyAlignment="1">
      <alignment horizontal="center"/>
      <protection/>
    </xf>
    <xf numFmtId="0" fontId="12" fillId="0" borderId="26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TGV99" xfId="56"/>
    <cellStyle name="Normál_mérleg" xfId="57"/>
    <cellStyle name="Normál_PHKV99" xfId="58"/>
    <cellStyle name="Normál_SIKONC99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H25">
      <selection activeCell="N44" sqref="N44:U44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4" width="11.25390625" style="1" bestFit="1" customWidth="1"/>
    <col min="15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62"/>
      <c r="J39" s="2"/>
      <c r="N39" s="338" t="s">
        <v>3</v>
      </c>
      <c r="O39" s="338"/>
      <c r="P39" s="338"/>
      <c r="Q39" s="338"/>
      <c r="R39" s="338"/>
      <c r="S39" s="338"/>
      <c r="T39" s="338"/>
      <c r="U39" s="338"/>
    </row>
    <row r="40" spans="9:21" ht="2.25" customHeight="1">
      <c r="I40" s="3"/>
      <c r="J40" s="2"/>
      <c r="N40" s="317"/>
      <c r="O40" s="318"/>
      <c r="P40" s="319"/>
      <c r="Q40" s="319"/>
      <c r="R40" s="319"/>
      <c r="S40" s="319"/>
      <c r="T40" s="319"/>
      <c r="U40" s="319"/>
    </row>
    <row r="41" spans="9:21" ht="27.75">
      <c r="I41" s="53"/>
      <c r="J41" s="2"/>
      <c r="N41" s="338" t="s">
        <v>436</v>
      </c>
      <c r="O41" s="338"/>
      <c r="P41" s="338"/>
      <c r="Q41" s="338"/>
      <c r="R41" s="338"/>
      <c r="S41" s="338"/>
      <c r="T41" s="338"/>
      <c r="U41" s="338"/>
    </row>
    <row r="42" spans="9:21" ht="12.75" customHeight="1" hidden="1">
      <c r="I42" s="3"/>
      <c r="J42" s="2"/>
      <c r="N42" s="317"/>
      <c r="O42" s="318"/>
      <c r="P42" s="319"/>
      <c r="Q42" s="319"/>
      <c r="R42" s="319"/>
      <c r="S42" s="319"/>
      <c r="T42" s="319"/>
      <c r="U42" s="319"/>
    </row>
    <row r="43" spans="9:21" ht="27.75">
      <c r="I43" s="53"/>
      <c r="J43" s="2"/>
      <c r="N43" s="338" t="s">
        <v>490</v>
      </c>
      <c r="O43" s="338"/>
      <c r="P43" s="338"/>
      <c r="Q43" s="338"/>
      <c r="R43" s="338"/>
      <c r="S43" s="338"/>
      <c r="T43" s="338"/>
      <c r="U43" s="338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339"/>
      <c r="O44" s="340"/>
      <c r="P44" s="340"/>
      <c r="Q44" s="340"/>
      <c r="R44" s="340"/>
      <c r="S44" s="340"/>
      <c r="T44" s="340"/>
      <c r="U44" s="340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317"/>
      <c r="O45" s="317"/>
      <c r="P45" s="317"/>
      <c r="Q45" s="317"/>
      <c r="R45" s="317"/>
      <c r="S45" s="317"/>
      <c r="T45" s="317"/>
      <c r="U45" s="317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63"/>
      <c r="M46" s="312"/>
      <c r="N46" s="64"/>
      <c r="O46" s="201"/>
    </row>
    <row r="47" spans="1:10" ht="27.75">
      <c r="A47" s="63"/>
      <c r="B47" s="64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N39:U39"/>
    <mergeCell ref="N41:U41"/>
    <mergeCell ref="N43:U43"/>
    <mergeCell ref="N44:U4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143" customWidth="1"/>
    <col min="2" max="2" width="74.375" style="143" customWidth="1"/>
    <col min="3" max="3" width="19.875" style="143" customWidth="1"/>
    <col min="4" max="16384" width="9.125" style="143" customWidth="1"/>
  </cols>
  <sheetData>
    <row r="1" spans="1:3" ht="15.75">
      <c r="A1" s="231" t="s">
        <v>506</v>
      </c>
      <c r="B1" s="231"/>
      <c r="C1" s="81"/>
    </row>
    <row r="2" spans="1:3" ht="15.75">
      <c r="A2" s="145"/>
      <c r="B2" s="145"/>
      <c r="C2" s="145"/>
    </row>
    <row r="3" spans="1:3" ht="15.75">
      <c r="A3" s="382" t="s">
        <v>3</v>
      </c>
      <c r="B3" s="382"/>
      <c r="C3" s="382"/>
    </row>
    <row r="4" spans="1:3" ht="15.75">
      <c r="A4" s="382" t="s">
        <v>324</v>
      </c>
      <c r="B4" s="382"/>
      <c r="C4" s="382"/>
    </row>
    <row r="5" spans="1:3" ht="15.75">
      <c r="A5" s="382" t="s">
        <v>162</v>
      </c>
      <c r="B5" s="382"/>
      <c r="C5" s="382"/>
    </row>
    <row r="6" spans="1:3" ht="15.75">
      <c r="A6" s="382"/>
      <c r="B6" s="383"/>
      <c r="C6" s="383"/>
    </row>
    <row r="7" ht="16.5" thickBot="1"/>
    <row r="8" spans="1:3" s="5" customFormat="1" ht="15.75">
      <c r="A8" s="146" t="s">
        <v>254</v>
      </c>
      <c r="B8" s="147"/>
      <c r="C8" s="148" t="s">
        <v>15</v>
      </c>
    </row>
    <row r="9" spans="1:3" s="5" customFormat="1" ht="15.75">
      <c r="A9" s="149"/>
      <c r="B9" s="150" t="s">
        <v>255</v>
      </c>
      <c r="C9" s="151" t="s">
        <v>10</v>
      </c>
    </row>
    <row r="10" spans="1:3" s="5" customFormat="1" ht="16.5" thickBot="1">
      <c r="A10" s="152" t="s">
        <v>46</v>
      </c>
      <c r="B10" s="200"/>
      <c r="C10" s="153" t="s">
        <v>256</v>
      </c>
    </row>
    <row r="11" spans="1:3" s="75" customFormat="1" ht="41.25" customHeight="1" thickBot="1">
      <c r="A11" s="160" t="s">
        <v>47</v>
      </c>
      <c r="B11" s="161" t="s">
        <v>321</v>
      </c>
      <c r="C11" s="162">
        <f>2107+185-155-1748-160-35+10000-140-250-480-191-20-20-18+15357-508-9560+13158-267</f>
        <v>27255</v>
      </c>
    </row>
    <row r="12" spans="1:3" s="5" customFormat="1" ht="42" customHeight="1" thickBot="1">
      <c r="A12" s="155"/>
      <c r="B12" s="156" t="s">
        <v>322</v>
      </c>
      <c r="C12" s="154">
        <f>C11</f>
        <v>27255</v>
      </c>
    </row>
    <row r="13" spans="1:3" s="75" customFormat="1" ht="41.25" customHeight="1" thickBot="1">
      <c r="A13" s="160" t="s">
        <v>47</v>
      </c>
      <c r="B13" s="161" t="s">
        <v>258</v>
      </c>
      <c r="C13" s="162">
        <v>8000</v>
      </c>
    </row>
    <row r="14" spans="1:3" s="5" customFormat="1" ht="42" customHeight="1" thickBot="1">
      <c r="A14" s="155"/>
      <c r="B14" s="156" t="s">
        <v>323</v>
      </c>
      <c r="C14" s="154">
        <f>SUM(C13)</f>
        <v>8000</v>
      </c>
    </row>
    <row r="15" spans="1:3" s="5" customFormat="1" ht="42" customHeight="1" thickBot="1">
      <c r="A15" s="152"/>
      <c r="B15" s="157" t="s">
        <v>257</v>
      </c>
      <c r="C15" s="158">
        <f>C12+C14</f>
        <v>35255</v>
      </c>
    </row>
    <row r="19" ht="15.75">
      <c r="A19" s="159"/>
    </row>
    <row r="20" ht="15.75">
      <c r="A20" s="159"/>
    </row>
    <row r="108" ht="15.75">
      <c r="A108" s="159"/>
    </row>
  </sheetData>
  <sheetProtection/>
  <mergeCells count="4">
    <mergeCell ref="A5:C5"/>
    <mergeCell ref="A3:C3"/>
    <mergeCell ref="A4:C4"/>
    <mergeCell ref="A6:C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164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231" t="s">
        <v>507</v>
      </c>
      <c r="B1" s="231"/>
      <c r="C1" s="81"/>
    </row>
    <row r="2" s="144" customFormat="1" ht="15.75">
      <c r="C2" s="163"/>
    </row>
    <row r="3" spans="1:3" s="5" customFormat="1" ht="12.75">
      <c r="A3" s="464"/>
      <c r="B3" s="464"/>
      <c r="C3" s="464"/>
    </row>
    <row r="4" spans="1:3" s="126" customFormat="1" ht="15.75">
      <c r="A4" s="145"/>
      <c r="B4" s="74"/>
      <c r="C4" s="74"/>
    </row>
    <row r="5" spans="1:3" s="126" customFormat="1" ht="15.75">
      <c r="A5" s="145"/>
      <c r="B5" s="74"/>
      <c r="C5" s="74"/>
    </row>
    <row r="6" spans="1:3" ht="15.75">
      <c r="A6" s="382" t="s">
        <v>3</v>
      </c>
      <c r="B6" s="382"/>
      <c r="C6" s="382"/>
    </row>
    <row r="7" spans="1:3" ht="15.75">
      <c r="A7" s="378" t="s">
        <v>325</v>
      </c>
      <c r="B7" s="378"/>
      <c r="C7" s="378"/>
    </row>
    <row r="8" spans="1:3" ht="15.75">
      <c r="A8" s="378" t="s">
        <v>260</v>
      </c>
      <c r="B8" s="378"/>
      <c r="C8" s="378"/>
    </row>
    <row r="9" spans="1:3" ht="15.75">
      <c r="A9" s="378" t="s">
        <v>162</v>
      </c>
      <c r="B9" s="378"/>
      <c r="C9" s="378"/>
    </row>
    <row r="10" spans="1:3" ht="15.75">
      <c r="A10" s="378"/>
      <c r="B10" s="383"/>
      <c r="C10" s="383"/>
    </row>
    <row r="11" ht="16.5" thickBot="1"/>
    <row r="12" spans="1:3" ht="15.75">
      <c r="A12" s="166" t="s">
        <v>45</v>
      </c>
      <c r="B12" s="148"/>
      <c r="C12" s="167" t="s">
        <v>15</v>
      </c>
    </row>
    <row r="13" spans="1:3" ht="15.75">
      <c r="A13" s="149"/>
      <c r="B13" s="151" t="s">
        <v>0</v>
      </c>
      <c r="C13" s="168"/>
    </row>
    <row r="14" spans="1:3" ht="34.5" customHeight="1" thickBot="1">
      <c r="A14" s="152" t="s">
        <v>46</v>
      </c>
      <c r="B14" s="169"/>
      <c r="C14" s="170" t="s">
        <v>10</v>
      </c>
    </row>
    <row r="15" spans="1:3" ht="20.25" customHeight="1">
      <c r="A15" s="469" t="s">
        <v>261</v>
      </c>
      <c r="B15" s="469"/>
      <c r="C15" s="469"/>
    </row>
    <row r="16" spans="1:3" ht="20.25" customHeight="1">
      <c r="A16" s="171" t="s">
        <v>47</v>
      </c>
      <c r="B16" s="172" t="s">
        <v>262</v>
      </c>
      <c r="C16" s="173"/>
    </row>
    <row r="17" spans="1:3" ht="20.25" customHeight="1">
      <c r="A17" s="171"/>
      <c r="B17" s="22" t="s">
        <v>263</v>
      </c>
      <c r="C17" s="173">
        <f>25766+186-19+151+213</f>
        <v>26297</v>
      </c>
    </row>
    <row r="18" spans="1:5" ht="20.25" customHeight="1">
      <c r="A18" s="171"/>
      <c r="B18" s="87" t="s">
        <v>264</v>
      </c>
      <c r="C18" s="173">
        <f>46+633+714+428</f>
        <v>1821</v>
      </c>
      <c r="D18" s="84"/>
      <c r="E18" s="84"/>
    </row>
    <row r="19" spans="1:3" ht="20.25" customHeight="1">
      <c r="A19" s="171" t="s">
        <v>24</v>
      </c>
      <c r="B19" s="172" t="s">
        <v>265</v>
      </c>
      <c r="C19" s="173">
        <v>7813</v>
      </c>
    </row>
    <row r="20" spans="1:3" ht="20.25" customHeight="1">
      <c r="A20" s="171" t="s">
        <v>48</v>
      </c>
      <c r="B20" s="172" t="s">
        <v>266</v>
      </c>
      <c r="C20" s="173">
        <f>9237+756+735+1130</f>
        <v>11858</v>
      </c>
    </row>
    <row r="21" spans="1:3" ht="20.25" customHeight="1">
      <c r="A21" s="171" t="s">
        <v>106</v>
      </c>
      <c r="B21" s="174" t="s">
        <v>267</v>
      </c>
      <c r="C21" s="173"/>
    </row>
    <row r="22" spans="1:5" ht="36" customHeight="1">
      <c r="A22" s="171"/>
      <c r="B22" s="87" t="s">
        <v>268</v>
      </c>
      <c r="C22" s="173"/>
      <c r="D22" s="87"/>
      <c r="E22" s="87"/>
    </row>
    <row r="23" spans="1:3" ht="20.25" customHeight="1">
      <c r="A23" s="171"/>
      <c r="B23" s="22" t="s">
        <v>269</v>
      </c>
      <c r="C23" s="173"/>
    </row>
    <row r="24" spans="1:3" ht="36" customHeight="1">
      <c r="A24" s="175"/>
      <c r="B24" s="176" t="s">
        <v>270</v>
      </c>
      <c r="C24" s="177">
        <f>SUM(C17:C23)</f>
        <v>47789</v>
      </c>
    </row>
    <row r="25" spans="1:3" ht="21" customHeight="1">
      <c r="A25" s="165" t="s">
        <v>108</v>
      </c>
      <c r="B25" s="172" t="s">
        <v>271</v>
      </c>
      <c r="C25" s="26">
        <f>12767+151+104+1376+558+119+629-12+432</f>
        <v>16124</v>
      </c>
    </row>
    <row r="26" spans="1:3" ht="21" customHeight="1">
      <c r="A26" s="165" t="s">
        <v>114</v>
      </c>
      <c r="B26" s="172" t="s">
        <v>272</v>
      </c>
      <c r="C26" s="26">
        <f>3561+35+51+372+75+32+85+12+73</f>
        <v>4296</v>
      </c>
    </row>
    <row r="27" spans="1:3" ht="21" customHeight="1">
      <c r="A27" s="165" t="s">
        <v>273</v>
      </c>
      <c r="B27" s="178" t="s">
        <v>274</v>
      </c>
      <c r="C27" s="26">
        <f>22876+29+8+42+191+119+191+140+480-3293+1130+20+403</f>
        <v>22336</v>
      </c>
    </row>
    <row r="28" spans="1:3" ht="21" customHeight="1">
      <c r="A28" s="165" t="s">
        <v>275</v>
      </c>
      <c r="B28" s="178" t="s">
        <v>276</v>
      </c>
      <c r="C28" s="26">
        <f>2633+160</f>
        <v>2793</v>
      </c>
    </row>
    <row r="29" spans="1:3" ht="21" customHeight="1">
      <c r="A29" s="165" t="s">
        <v>277</v>
      </c>
      <c r="B29" s="178" t="s">
        <v>278</v>
      </c>
      <c r="C29" s="26"/>
    </row>
    <row r="30" spans="1:3" ht="15.75">
      <c r="A30" s="165"/>
      <c r="B30" s="179" t="s">
        <v>279</v>
      </c>
      <c r="C30" s="26">
        <f>112+135+18</f>
        <v>265</v>
      </c>
    </row>
    <row r="31" spans="1:3" ht="32.25" customHeight="1">
      <c r="A31" s="165"/>
      <c r="B31" s="87" t="s">
        <v>280</v>
      </c>
      <c r="C31" s="180"/>
    </row>
    <row r="32" spans="1:3" ht="15.75">
      <c r="A32" s="165"/>
      <c r="B32" s="179" t="s">
        <v>281</v>
      </c>
      <c r="C32" s="180">
        <f>925+35</f>
        <v>960</v>
      </c>
    </row>
    <row r="33" spans="1:5" ht="15.75">
      <c r="A33" s="165"/>
      <c r="B33" s="179" t="s">
        <v>282</v>
      </c>
      <c r="C33" s="164">
        <f>10107+185-155-1748-160-35+10000-140-250-480-191-20-18-20+15357-508-9560+13158-267</f>
        <v>35255</v>
      </c>
      <c r="E33" s="89"/>
    </row>
    <row r="34" spans="1:6" ht="33.75" customHeight="1">
      <c r="A34" s="175"/>
      <c r="B34" s="176" t="s">
        <v>283</v>
      </c>
      <c r="C34" s="177">
        <f>SUM(C25:C33)</f>
        <v>82029</v>
      </c>
      <c r="E34" s="89"/>
      <c r="F34" s="89"/>
    </row>
    <row r="35" spans="1:3" ht="42.75" customHeight="1" thickBot="1">
      <c r="A35" s="373">
        <v>2</v>
      </c>
      <c r="B35" s="373"/>
      <c r="C35" s="373"/>
    </row>
    <row r="36" spans="1:3" ht="15.75">
      <c r="A36" s="166" t="s">
        <v>45</v>
      </c>
      <c r="B36" s="148"/>
      <c r="C36" s="167" t="s">
        <v>15</v>
      </c>
    </row>
    <row r="37" spans="1:3" ht="15.75">
      <c r="A37" s="149"/>
      <c r="B37" s="151" t="s">
        <v>0</v>
      </c>
      <c r="C37" s="168"/>
    </row>
    <row r="38" spans="1:3" ht="31.5" customHeight="1" thickBot="1">
      <c r="A38" s="152" t="s">
        <v>46</v>
      </c>
      <c r="B38" s="169"/>
      <c r="C38" s="170" t="s">
        <v>10</v>
      </c>
    </row>
    <row r="39" spans="1:3" ht="21" customHeight="1">
      <c r="A39" s="471" t="s">
        <v>284</v>
      </c>
      <c r="B39" s="471"/>
      <c r="C39" s="471"/>
    </row>
    <row r="40" spans="1:3" ht="21" customHeight="1">
      <c r="A40" s="165" t="s">
        <v>285</v>
      </c>
      <c r="B40" s="67" t="s">
        <v>286</v>
      </c>
      <c r="C40" s="164">
        <f>9743+185+21562+10000-10000</f>
        <v>31490</v>
      </c>
    </row>
    <row r="41" spans="1:2" ht="21" customHeight="1">
      <c r="A41" s="165" t="s">
        <v>287</v>
      </c>
      <c r="B41" s="67" t="s">
        <v>288</v>
      </c>
    </row>
    <row r="42" spans="1:2" ht="21" customHeight="1">
      <c r="A42" s="165" t="s">
        <v>289</v>
      </c>
      <c r="B42" s="174" t="s">
        <v>290</v>
      </c>
    </row>
    <row r="43" spans="1:3" ht="31.5" customHeight="1">
      <c r="A43" s="165"/>
      <c r="B43" s="118" t="s">
        <v>291</v>
      </c>
      <c r="C43" s="164">
        <f>26215+92-12586-756+10000+13158</f>
        <v>36123</v>
      </c>
    </row>
    <row r="44" spans="1:2" ht="21" customHeight="1">
      <c r="A44" s="165"/>
      <c r="B44" s="51" t="s">
        <v>292</v>
      </c>
    </row>
    <row r="45" spans="1:5" ht="39.75" customHeight="1">
      <c r="A45" s="175"/>
      <c r="B45" s="176" t="s">
        <v>293</v>
      </c>
      <c r="C45" s="177">
        <f>SUM(C40:C44)</f>
        <v>67613</v>
      </c>
      <c r="E45" s="89"/>
    </row>
    <row r="46" spans="1:3" ht="21" customHeight="1">
      <c r="A46" s="165" t="s">
        <v>294</v>
      </c>
      <c r="B46" s="67" t="s">
        <v>295</v>
      </c>
      <c r="C46" s="164">
        <f>231+148+250+191+20+4028+76</f>
        <v>4944</v>
      </c>
    </row>
    <row r="47" spans="1:3" ht="21" customHeight="1">
      <c r="A47" s="165" t="s">
        <v>296</v>
      </c>
      <c r="B47" s="67" t="s">
        <v>297</v>
      </c>
      <c r="C47" s="164">
        <f>22697+10000+508-440</f>
        <v>32765</v>
      </c>
    </row>
    <row r="48" spans="1:2" ht="21" customHeight="1">
      <c r="A48" s="165" t="s">
        <v>298</v>
      </c>
      <c r="B48" s="174" t="s">
        <v>299</v>
      </c>
    </row>
    <row r="49" spans="1:3" ht="33" customHeight="1">
      <c r="A49" s="165"/>
      <c r="B49" s="118" t="s">
        <v>300</v>
      </c>
      <c r="C49" s="164">
        <f>26215+10000</f>
        <v>36215</v>
      </c>
    </row>
    <row r="50" spans="1:3" ht="21" customHeight="1">
      <c r="A50" s="165"/>
      <c r="B50" s="179" t="s">
        <v>301</v>
      </c>
      <c r="C50" s="164">
        <v>600</v>
      </c>
    </row>
    <row r="51" spans="1:2" ht="21" customHeight="1">
      <c r="A51" s="165"/>
      <c r="B51" s="179" t="s">
        <v>282</v>
      </c>
    </row>
    <row r="52" spans="1:6" s="9" customFormat="1" ht="42" customHeight="1" thickBot="1">
      <c r="A52" s="175"/>
      <c r="B52" s="176" t="s">
        <v>302</v>
      </c>
      <c r="C52" s="177">
        <f>SUM(C46:C51)</f>
        <v>74524</v>
      </c>
      <c r="F52" s="181"/>
    </row>
    <row r="53" spans="1:3" s="9" customFormat="1" ht="35.25" customHeight="1" thickBot="1">
      <c r="A53" s="182"/>
      <c r="B53" s="183" t="s">
        <v>303</v>
      </c>
      <c r="C53" s="184">
        <f>C24+C45</f>
        <v>115402</v>
      </c>
    </row>
    <row r="54" spans="1:6" s="9" customFormat="1" ht="35.25" customHeight="1" thickBot="1">
      <c r="A54" s="182"/>
      <c r="B54" s="183" t="s">
        <v>304</v>
      </c>
      <c r="C54" s="184">
        <f>C34+C52</f>
        <v>156553</v>
      </c>
      <c r="F54" s="181"/>
    </row>
    <row r="55" spans="1:3" s="9" customFormat="1" ht="15.75">
      <c r="A55" s="185"/>
      <c r="B55" s="186"/>
      <c r="C55" s="187"/>
    </row>
    <row r="60" spans="1:3" s="188" customFormat="1" ht="15.75">
      <c r="A60" s="186"/>
      <c r="B60" s="197"/>
      <c r="C60" s="198"/>
    </row>
    <row r="61" spans="1:3" s="188" customFormat="1" ht="15.75">
      <c r="A61" s="186"/>
      <c r="B61" s="197"/>
      <c r="C61" s="198"/>
    </row>
    <row r="62" spans="1:3" s="188" customFormat="1" ht="15.75">
      <c r="A62" s="186"/>
      <c r="B62" s="197"/>
      <c r="C62" s="198"/>
    </row>
    <row r="63" spans="1:3" s="188" customFormat="1" ht="15.75">
      <c r="A63" s="186"/>
      <c r="B63" s="197"/>
      <c r="C63" s="198"/>
    </row>
    <row r="64" spans="1:3" s="188" customFormat="1" ht="15.75">
      <c r="A64" s="186"/>
      <c r="B64" s="197"/>
      <c r="C64" s="198"/>
    </row>
    <row r="65" spans="1:3" s="188" customFormat="1" ht="15.75">
      <c r="A65" s="186"/>
      <c r="B65" s="197"/>
      <c r="C65" s="198"/>
    </row>
    <row r="66" spans="1:3" s="188" customFormat="1" ht="15.75">
      <c r="A66" s="186"/>
      <c r="B66" s="197"/>
      <c r="C66" s="198"/>
    </row>
    <row r="67" spans="1:3" s="188" customFormat="1" ht="15.75">
      <c r="A67" s="186"/>
      <c r="B67" s="197"/>
      <c r="C67" s="198"/>
    </row>
    <row r="68" spans="1:3" s="188" customFormat="1" ht="16.5" thickBot="1">
      <c r="A68" s="470">
        <v>3</v>
      </c>
      <c r="B68" s="470"/>
      <c r="C68" s="470"/>
    </row>
    <row r="69" spans="1:3" s="188" customFormat="1" ht="19.5" customHeight="1">
      <c r="A69" s="166" t="s">
        <v>45</v>
      </c>
      <c r="B69" s="465" t="s">
        <v>0</v>
      </c>
      <c r="C69" s="167" t="s">
        <v>15</v>
      </c>
    </row>
    <row r="70" spans="1:3" s="188" customFormat="1" ht="15.75">
      <c r="A70" s="149"/>
      <c r="B70" s="466"/>
      <c r="C70" s="168"/>
    </row>
    <row r="71" spans="1:3" s="188" customFormat="1" ht="16.5" thickBot="1">
      <c r="A71" s="152" t="s">
        <v>46</v>
      </c>
      <c r="B71" s="467"/>
      <c r="C71" s="170" t="s">
        <v>10</v>
      </c>
    </row>
    <row r="72" spans="1:3" s="188" customFormat="1" ht="15.75">
      <c r="A72" s="186"/>
      <c r="B72" s="197"/>
      <c r="C72" s="198"/>
    </row>
    <row r="73" spans="1:3" ht="20.25" customHeight="1">
      <c r="A73" s="468" t="s">
        <v>305</v>
      </c>
      <c r="B73" s="468"/>
      <c r="C73" s="468"/>
    </row>
    <row r="74" spans="1:3" ht="20.25" customHeight="1">
      <c r="A74" s="189"/>
      <c r="B74" s="189"/>
      <c r="C74" s="189"/>
    </row>
    <row r="75" spans="1:3" ht="20.25" customHeight="1">
      <c r="A75" s="175" t="s">
        <v>306</v>
      </c>
      <c r="B75" s="190" t="s">
        <v>307</v>
      </c>
      <c r="C75" s="177">
        <f>1115+1348+148+119+191+19+1135+10000+76+15357</f>
        <v>29508</v>
      </c>
    </row>
    <row r="76" spans="1:3" ht="20.25" customHeight="1">
      <c r="A76" s="175" t="s">
        <v>309</v>
      </c>
      <c r="B76" s="190" t="s">
        <v>426</v>
      </c>
      <c r="C76" s="177">
        <v>12586</v>
      </c>
    </row>
    <row r="77" spans="1:3" ht="21" customHeight="1">
      <c r="A77" s="175"/>
      <c r="B77" s="176" t="s">
        <v>308</v>
      </c>
      <c r="C77" s="191">
        <f>SUM(C75:C76)</f>
        <v>42094</v>
      </c>
    </row>
    <row r="78" spans="1:3" ht="15.75">
      <c r="A78" s="171" t="s">
        <v>311</v>
      </c>
      <c r="B78" s="190" t="s">
        <v>310</v>
      </c>
      <c r="C78" s="177"/>
    </row>
    <row r="79" spans="1:3" ht="15.75">
      <c r="A79" s="171" t="s">
        <v>392</v>
      </c>
      <c r="B79" s="190" t="s">
        <v>312</v>
      </c>
      <c r="C79" s="177"/>
    </row>
    <row r="80" spans="1:3" ht="15.75">
      <c r="A80" s="171" t="s">
        <v>394</v>
      </c>
      <c r="B80" s="190" t="s">
        <v>419</v>
      </c>
      <c r="C80" s="177">
        <v>943</v>
      </c>
    </row>
    <row r="81" spans="1:3" s="192" customFormat="1" ht="30" customHeight="1" thickBot="1">
      <c r="A81" s="175"/>
      <c r="B81" s="176" t="s">
        <v>313</v>
      </c>
      <c r="C81" s="191">
        <f>SUM(C78:C80)</f>
        <v>943</v>
      </c>
    </row>
    <row r="82" spans="1:5" s="192" customFormat="1" ht="30" customHeight="1" thickBot="1">
      <c r="A82" s="193"/>
      <c r="B82" s="194" t="s">
        <v>314</v>
      </c>
      <c r="C82" s="195">
        <f>C53+C77</f>
        <v>157496</v>
      </c>
      <c r="E82" s="196"/>
    </row>
    <row r="83" spans="1:5" ht="35.25" customHeight="1" thickBot="1">
      <c r="A83" s="193"/>
      <c r="B83" s="194" t="s">
        <v>315</v>
      </c>
      <c r="C83" s="195">
        <f>C54+C81</f>
        <v>157496</v>
      </c>
      <c r="E83" s="196"/>
    </row>
  </sheetData>
  <sheetProtection/>
  <mergeCells count="12">
    <mergeCell ref="A35:C35"/>
    <mergeCell ref="A39:C39"/>
    <mergeCell ref="A3:C3"/>
    <mergeCell ref="A6:C6"/>
    <mergeCell ref="A10:C10"/>
    <mergeCell ref="B69:B71"/>
    <mergeCell ref="A73:C73"/>
    <mergeCell ref="A7:C7"/>
    <mergeCell ref="A8:C8"/>
    <mergeCell ref="A9:C9"/>
    <mergeCell ref="A15:C15"/>
    <mergeCell ref="A68:C68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7"/>
  <sheetViews>
    <sheetView zoomScalePageLayoutView="0" workbookViewId="0" topLeftCell="A1">
      <selection activeCell="B6" sqref="B6:O6"/>
    </sheetView>
  </sheetViews>
  <sheetFormatPr defaultColWidth="9.00390625" defaultRowHeight="12.75"/>
  <cols>
    <col min="1" max="1" width="5.125" style="51" customWidth="1"/>
    <col min="2" max="2" width="43.625" style="51" customWidth="1"/>
    <col min="3" max="15" width="15.375" style="26" customWidth="1"/>
    <col min="16" max="16" width="12.625" style="51" bestFit="1" customWidth="1"/>
    <col min="17" max="16384" width="9.125" style="51" customWidth="1"/>
  </cols>
  <sheetData>
    <row r="2" spans="1:15" s="90" customFormat="1" ht="15.75">
      <c r="A2" s="90" t="s">
        <v>508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4" spans="2:15" ht="15.75"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</row>
    <row r="5" spans="2:15" ht="15.75"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</row>
    <row r="6" spans="2:15" ht="15.75">
      <c r="B6" s="343" t="s">
        <v>44</v>
      </c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</row>
    <row r="7" spans="2:15" ht="15.75">
      <c r="B7" s="343" t="s">
        <v>356</v>
      </c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</row>
    <row r="8" spans="2:15" ht="15.75">
      <c r="B8" s="343" t="s">
        <v>162</v>
      </c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</row>
    <row r="9" spans="3:15" ht="16.5" thickBot="1">
      <c r="C9" s="27"/>
      <c r="D9" s="27"/>
      <c r="E9" s="27"/>
      <c r="F9" s="262"/>
      <c r="G9" s="27"/>
      <c r="H9" s="27"/>
      <c r="I9" s="27"/>
      <c r="J9" s="27"/>
      <c r="O9" s="263" t="s">
        <v>7</v>
      </c>
    </row>
    <row r="10" spans="1:15" ht="15.75">
      <c r="A10" s="264" t="s">
        <v>45</v>
      </c>
      <c r="B10" s="265"/>
      <c r="C10" s="266"/>
      <c r="D10" s="267"/>
      <c r="E10" s="268"/>
      <c r="F10" s="269"/>
      <c r="G10" s="269"/>
      <c r="H10" s="269"/>
      <c r="I10" s="269"/>
      <c r="J10" s="269"/>
      <c r="K10" s="270"/>
      <c r="L10" s="270"/>
      <c r="M10" s="270"/>
      <c r="N10" s="271"/>
      <c r="O10" s="272"/>
    </row>
    <row r="11" spans="1:15" ht="15.75">
      <c r="A11" s="273"/>
      <c r="B11" s="274" t="s">
        <v>0</v>
      </c>
      <c r="C11" s="97" t="s">
        <v>357</v>
      </c>
      <c r="D11" s="275" t="s">
        <v>358</v>
      </c>
      <c r="E11" s="276" t="s">
        <v>359</v>
      </c>
      <c r="F11" s="277" t="s">
        <v>360</v>
      </c>
      <c r="G11" s="277" t="s">
        <v>361</v>
      </c>
      <c r="H11" s="277" t="s">
        <v>362</v>
      </c>
      <c r="I11" s="277" t="s">
        <v>363</v>
      </c>
      <c r="J11" s="277" t="s">
        <v>364</v>
      </c>
      <c r="K11" s="277" t="s">
        <v>365</v>
      </c>
      <c r="L11" s="277" t="s">
        <v>366</v>
      </c>
      <c r="M11" s="277" t="s">
        <v>367</v>
      </c>
      <c r="N11" s="276" t="s">
        <v>368</v>
      </c>
      <c r="O11" s="168" t="s">
        <v>345</v>
      </c>
    </row>
    <row r="12" spans="1:15" ht="16.5" thickBot="1">
      <c r="A12" s="278" t="s">
        <v>46</v>
      </c>
      <c r="B12" s="279"/>
      <c r="C12" s="280"/>
      <c r="D12" s="281"/>
      <c r="E12" s="282"/>
      <c r="F12" s="283"/>
      <c r="G12" s="283"/>
      <c r="H12" s="283"/>
      <c r="I12" s="283"/>
      <c r="J12" s="283"/>
      <c r="K12" s="283"/>
      <c r="L12" s="283"/>
      <c r="M12" s="283"/>
      <c r="N12" s="282"/>
      <c r="O12" s="280"/>
    </row>
    <row r="13" spans="1:15" ht="28.5" customHeight="1">
      <c r="A13" s="284"/>
      <c r="B13" s="285" t="s">
        <v>369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7"/>
    </row>
    <row r="14" spans="1:15" ht="28.5" customHeight="1">
      <c r="A14" s="284" t="s">
        <v>47</v>
      </c>
      <c r="B14" s="285" t="s">
        <v>370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7"/>
    </row>
    <row r="15" spans="1:15" ht="28.5" customHeight="1">
      <c r="A15" s="284"/>
      <c r="B15" s="285" t="s">
        <v>371</v>
      </c>
      <c r="C15" s="286">
        <f>3053+109+24</f>
        <v>3186</v>
      </c>
      <c r="D15" s="286">
        <f>2035+109+40</f>
        <v>2184</v>
      </c>
      <c r="E15" s="286">
        <f>2144+41</f>
        <v>2185</v>
      </c>
      <c r="F15" s="286">
        <f>2035+41</f>
        <v>2076</v>
      </c>
      <c r="G15" s="286">
        <f>2035+40</f>
        <v>2075</v>
      </c>
      <c r="H15" s="286">
        <v>2035</v>
      </c>
      <c r="I15" s="286">
        <v>2035</v>
      </c>
      <c r="J15" s="286">
        <v>2035</v>
      </c>
      <c r="K15" s="286">
        <v>2035</v>
      </c>
      <c r="L15" s="286">
        <f>2035-19+151+714</f>
        <v>2881</v>
      </c>
      <c r="M15" s="286">
        <f>2035+213</f>
        <v>2248</v>
      </c>
      <c r="N15" s="286">
        <v>2036</v>
      </c>
      <c r="O15" s="287">
        <f>SUM(C15:N15)</f>
        <v>27011</v>
      </c>
    </row>
    <row r="16" spans="1:15" ht="28.5" customHeight="1">
      <c r="A16" s="284"/>
      <c r="B16" s="285" t="s">
        <v>372</v>
      </c>
      <c r="C16" s="286">
        <f>155+21</f>
        <v>176</v>
      </c>
      <c r="D16" s="286">
        <f>158+21</f>
        <v>179</v>
      </c>
      <c r="E16" s="286">
        <f>159+21</f>
        <v>180</v>
      </c>
      <c r="F16" s="286">
        <f>86+12</f>
        <v>98</v>
      </c>
      <c r="G16" s="286"/>
      <c r="H16" s="286"/>
      <c r="I16" s="286"/>
      <c r="J16" s="286">
        <v>23</v>
      </c>
      <c r="K16" s="286">
        <v>68</v>
      </c>
      <c r="L16" s="286">
        <v>360</v>
      </c>
      <c r="M16" s="286">
        <v>23</v>
      </c>
      <c r="N16" s="286"/>
      <c r="O16" s="287">
        <f>SUM(C16:N16)</f>
        <v>1107</v>
      </c>
    </row>
    <row r="17" spans="1:15" ht="28.5" customHeight="1">
      <c r="A17" s="284" t="s">
        <v>24</v>
      </c>
      <c r="B17" s="285" t="s">
        <v>373</v>
      </c>
      <c r="C17" s="286">
        <f>9743+185</f>
        <v>9928</v>
      </c>
      <c r="D17" s="286"/>
      <c r="E17" s="286"/>
      <c r="F17" s="286"/>
      <c r="G17" s="286"/>
      <c r="H17" s="286"/>
      <c r="I17" s="286"/>
      <c r="J17" s="286"/>
      <c r="K17" s="286"/>
      <c r="L17" s="286">
        <v>21562</v>
      </c>
      <c r="M17" s="286">
        <f>10000-10000</f>
        <v>0</v>
      </c>
      <c r="N17" s="286"/>
      <c r="O17" s="287">
        <f aca="true" t="shared" si="0" ref="O17:O28">SUM(C17:N17)</f>
        <v>31490</v>
      </c>
    </row>
    <row r="18" spans="1:15" ht="15.75">
      <c r="A18" s="284" t="s">
        <v>48</v>
      </c>
      <c r="B18" s="285" t="s">
        <v>374</v>
      </c>
      <c r="C18" s="286">
        <f>12+44+32+31</f>
        <v>119</v>
      </c>
      <c r="D18" s="286">
        <f>19+12+118+253+31</f>
        <v>433</v>
      </c>
      <c r="E18" s="286">
        <f>1127+11+620+382+31</f>
        <v>2171</v>
      </c>
      <c r="F18" s="286">
        <f>9+12+76+34+31+200</f>
        <v>362</v>
      </c>
      <c r="G18" s="286">
        <f>408+12+48+35+31-200</f>
        <v>334</v>
      </c>
      <c r="H18" s="286">
        <f>46+12+20+19+31</f>
        <v>128</v>
      </c>
      <c r="I18" s="286">
        <f>12+2+2+31</f>
        <v>47</v>
      </c>
      <c r="J18" s="286">
        <f>12+237+346+31</f>
        <v>626</v>
      </c>
      <c r="K18" s="286">
        <f>1188+11+601+335+31</f>
        <v>2166</v>
      </c>
      <c r="L18" s="286">
        <f>10+12+27+35+31</f>
        <v>115</v>
      </c>
      <c r="M18" s="286">
        <f>852+11+76+12+31</f>
        <v>982</v>
      </c>
      <c r="N18" s="286">
        <f>241+11+34+15+29</f>
        <v>330</v>
      </c>
      <c r="O18" s="287">
        <f t="shared" si="0"/>
        <v>7813</v>
      </c>
    </row>
    <row r="19" spans="1:17" ht="15.75">
      <c r="A19" s="284" t="s">
        <v>106</v>
      </c>
      <c r="B19" s="285" t="s">
        <v>375</v>
      </c>
      <c r="C19" s="286">
        <f>791+756</f>
        <v>1547</v>
      </c>
      <c r="D19" s="286">
        <v>737</v>
      </c>
      <c r="E19" s="286">
        <v>818</v>
      </c>
      <c r="F19" s="286">
        <f>846+50</f>
        <v>896</v>
      </c>
      <c r="G19" s="286">
        <v>750</v>
      </c>
      <c r="H19" s="286">
        <v>664</v>
      </c>
      <c r="I19" s="286">
        <v>618</v>
      </c>
      <c r="J19" s="286">
        <v>564</v>
      </c>
      <c r="K19" s="286">
        <v>864</v>
      </c>
      <c r="L19" s="286">
        <f>773+120+1130</f>
        <v>2023</v>
      </c>
      <c r="M19" s="286">
        <f>773+735</f>
        <v>1508</v>
      </c>
      <c r="N19" s="286">
        <f>845+24</f>
        <v>869</v>
      </c>
      <c r="O19" s="287">
        <f t="shared" si="0"/>
        <v>11858</v>
      </c>
      <c r="Q19" s="309"/>
    </row>
    <row r="20" spans="1:15" ht="15.75">
      <c r="A20" s="284" t="s">
        <v>108</v>
      </c>
      <c r="B20" s="288" t="s">
        <v>376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7">
        <f t="shared" si="0"/>
        <v>0</v>
      </c>
    </row>
    <row r="21" spans="1:15" ht="15.75">
      <c r="A21" s="284" t="s">
        <v>114</v>
      </c>
      <c r="B21" s="288" t="s">
        <v>267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1"/>
      <c r="O21" s="287">
        <f t="shared" si="0"/>
        <v>0</v>
      </c>
    </row>
    <row r="22" spans="1:15" ht="31.5">
      <c r="A22" s="284"/>
      <c r="B22" s="285" t="s">
        <v>377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3"/>
      <c r="O22" s="287">
        <f t="shared" si="0"/>
        <v>0</v>
      </c>
    </row>
    <row r="23" spans="1:15" ht="17.25" customHeight="1">
      <c r="A23" s="284"/>
      <c r="B23" s="285" t="s">
        <v>378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3"/>
      <c r="O23" s="287">
        <f t="shared" si="0"/>
        <v>0</v>
      </c>
    </row>
    <row r="24" spans="1:15" ht="15.75">
      <c r="A24" s="284" t="s">
        <v>273</v>
      </c>
      <c r="B24" s="288" t="s">
        <v>379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3"/>
      <c r="O24" s="287">
        <f t="shared" si="0"/>
        <v>0</v>
      </c>
    </row>
    <row r="25" spans="1:15" ht="47.25">
      <c r="A25" s="284"/>
      <c r="B25" s="307" t="s">
        <v>380</v>
      </c>
      <c r="C25" s="292">
        <v>8</v>
      </c>
      <c r="D25" s="292">
        <v>8</v>
      </c>
      <c r="E25" s="292">
        <f>10007-6671</f>
        <v>3336</v>
      </c>
      <c r="F25" s="292">
        <v>8</v>
      </c>
      <c r="G25" s="292">
        <v>8</v>
      </c>
      <c r="H25" s="292">
        <f>10007-6671</f>
        <v>3336</v>
      </c>
      <c r="I25" s="292">
        <v>8</v>
      </c>
      <c r="J25" s="292">
        <f>6215+8</f>
        <v>6223</v>
      </c>
      <c r="K25" s="292">
        <v>7</v>
      </c>
      <c r="L25" s="292">
        <v>8</v>
      </c>
      <c r="M25" s="292">
        <f>8+13158</f>
        <v>13166</v>
      </c>
      <c r="N25" s="293">
        <f>7+10000</f>
        <v>10007</v>
      </c>
      <c r="O25" s="287">
        <f t="shared" si="0"/>
        <v>36123</v>
      </c>
    </row>
    <row r="26" spans="1:15" ht="15.75">
      <c r="A26" s="284"/>
      <c r="B26" s="285" t="s">
        <v>381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3"/>
      <c r="O26" s="287">
        <f t="shared" si="0"/>
        <v>0</v>
      </c>
    </row>
    <row r="27" spans="1:15" ht="15.75">
      <c r="A27" s="284" t="s">
        <v>275</v>
      </c>
      <c r="B27" s="288" t="s">
        <v>382</v>
      </c>
      <c r="C27" s="292">
        <f>1115+1348+148+119+191</f>
        <v>2921</v>
      </c>
      <c r="D27" s="292"/>
      <c r="E27" s="292"/>
      <c r="F27" s="292"/>
      <c r="G27" s="292"/>
      <c r="H27" s="292"/>
      <c r="I27" s="292"/>
      <c r="J27" s="292"/>
      <c r="K27" s="292">
        <v>10000</v>
      </c>
      <c r="L27" s="292">
        <f>19+1135+76</f>
        <v>1230</v>
      </c>
      <c r="M27" s="292"/>
      <c r="N27" s="293">
        <v>15357</v>
      </c>
      <c r="O27" s="287">
        <f t="shared" si="0"/>
        <v>29508</v>
      </c>
    </row>
    <row r="28" spans="1:15" ht="15.75">
      <c r="A28" s="294"/>
      <c r="B28" s="295" t="s">
        <v>428</v>
      </c>
      <c r="C28" s="292">
        <v>12586</v>
      </c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3"/>
      <c r="O28" s="287">
        <f t="shared" si="0"/>
        <v>12586</v>
      </c>
    </row>
    <row r="29" spans="1:15" ht="16.5" thickBot="1">
      <c r="A29" s="294" t="s">
        <v>277</v>
      </c>
      <c r="B29" s="295" t="s">
        <v>383</v>
      </c>
      <c r="C29" s="292"/>
      <c r="D29" s="292">
        <f>C51</f>
        <v>15392</v>
      </c>
      <c r="E29" s="292">
        <f aca="true" t="shared" si="1" ref="E29:N29">D51</f>
        <v>15270</v>
      </c>
      <c r="F29" s="292">
        <f t="shared" si="1"/>
        <v>19946</v>
      </c>
      <c r="G29" s="292">
        <f t="shared" si="1"/>
        <v>9327</v>
      </c>
      <c r="H29" s="292">
        <f t="shared" si="1"/>
        <v>7396</v>
      </c>
      <c r="I29" s="292">
        <f t="shared" si="1"/>
        <v>3246</v>
      </c>
      <c r="J29" s="292">
        <f t="shared" si="1"/>
        <v>2638</v>
      </c>
      <c r="K29" s="292">
        <f t="shared" si="1"/>
        <v>8317</v>
      </c>
      <c r="L29" s="292">
        <f t="shared" si="1"/>
        <v>8885</v>
      </c>
      <c r="M29" s="292">
        <f t="shared" si="1"/>
        <v>31169</v>
      </c>
      <c r="N29" s="292">
        <f t="shared" si="1"/>
        <v>13167</v>
      </c>
      <c r="O29" s="287"/>
    </row>
    <row r="30" spans="1:16" s="19" customFormat="1" ht="27.75" customHeight="1" thickBot="1">
      <c r="A30" s="296"/>
      <c r="B30" s="296" t="s">
        <v>384</v>
      </c>
      <c r="C30" s="297">
        <f aca="true" t="shared" si="2" ref="C30:N30">SUM(C15:C29)</f>
        <v>30471</v>
      </c>
      <c r="D30" s="297">
        <f t="shared" si="2"/>
        <v>18933</v>
      </c>
      <c r="E30" s="297">
        <f t="shared" si="2"/>
        <v>23960</v>
      </c>
      <c r="F30" s="297">
        <f t="shared" si="2"/>
        <v>23386</v>
      </c>
      <c r="G30" s="297">
        <f t="shared" si="2"/>
        <v>12494</v>
      </c>
      <c r="H30" s="297">
        <f t="shared" si="2"/>
        <v>13559</v>
      </c>
      <c r="I30" s="297">
        <f t="shared" si="2"/>
        <v>5954</v>
      </c>
      <c r="J30" s="297">
        <f t="shared" si="2"/>
        <v>12109</v>
      </c>
      <c r="K30" s="297">
        <f t="shared" si="2"/>
        <v>23457</v>
      </c>
      <c r="L30" s="297">
        <f t="shared" si="2"/>
        <v>37064</v>
      </c>
      <c r="M30" s="297">
        <f t="shared" si="2"/>
        <v>49096</v>
      </c>
      <c r="N30" s="297">
        <f t="shared" si="2"/>
        <v>41766</v>
      </c>
      <c r="O30" s="298">
        <f>SUM(O14:O29)</f>
        <v>157496</v>
      </c>
      <c r="P30" s="109"/>
    </row>
    <row r="31" spans="1:15" ht="15.75">
      <c r="A31" s="299"/>
      <c r="B31" s="300" t="s">
        <v>385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301"/>
    </row>
    <row r="32" spans="1:16" ht="15.75">
      <c r="A32" s="284" t="s">
        <v>285</v>
      </c>
      <c r="B32" s="288" t="s">
        <v>199</v>
      </c>
      <c r="C32" s="286">
        <f>1061+37+24+155</f>
        <v>1277</v>
      </c>
      <c r="D32" s="286">
        <f>1061+32+158</f>
        <v>1251</v>
      </c>
      <c r="E32" s="286">
        <f>1061+32+104+159</f>
        <v>1356</v>
      </c>
      <c r="F32" s="286">
        <f>1061+32+86</f>
        <v>1179</v>
      </c>
      <c r="G32" s="286">
        <f>1061+31+172</f>
        <v>1264</v>
      </c>
      <c r="H32" s="286">
        <f>1061+172</f>
        <v>1233</v>
      </c>
      <c r="I32" s="286">
        <f>1061+172</f>
        <v>1233</v>
      </c>
      <c r="J32" s="286">
        <f>1061+172</f>
        <v>1233</v>
      </c>
      <c r="K32" s="286">
        <f>1060+172+144</f>
        <v>1376</v>
      </c>
      <c r="L32" s="286">
        <f>1061+172+119+629+144</f>
        <v>2125</v>
      </c>
      <c r="M32" s="286">
        <f>1061+172+144</f>
        <v>1377</v>
      </c>
      <c r="N32" s="286">
        <f>1060+172-12</f>
        <v>1220</v>
      </c>
      <c r="O32" s="287">
        <f aca="true" t="shared" si="3" ref="O32:O49">SUM(C32:N32)</f>
        <v>16124</v>
      </c>
      <c r="P32" s="309"/>
    </row>
    <row r="33" spans="1:15" ht="31.5">
      <c r="A33" s="284" t="s">
        <v>287</v>
      </c>
      <c r="B33" s="307" t="s">
        <v>386</v>
      </c>
      <c r="C33" s="286">
        <f>296+11+21</f>
        <v>328</v>
      </c>
      <c r="D33" s="286">
        <f>296+8+21</f>
        <v>325</v>
      </c>
      <c r="E33" s="286">
        <f>296+9+51+21</f>
        <v>377</v>
      </c>
      <c r="F33" s="286">
        <f>296+9+12</f>
        <v>317</v>
      </c>
      <c r="G33" s="286">
        <f>296+9+46</f>
        <v>351</v>
      </c>
      <c r="H33" s="286">
        <f>296+47</f>
        <v>343</v>
      </c>
      <c r="I33" s="286">
        <f>295+46</f>
        <v>341</v>
      </c>
      <c r="J33" s="286">
        <f>296+47</f>
        <v>343</v>
      </c>
      <c r="K33" s="286">
        <f>296+46+31</f>
        <v>373</v>
      </c>
      <c r="L33" s="286">
        <f>296+47+32+85+21</f>
        <v>481</v>
      </c>
      <c r="M33" s="286">
        <f>295+46+21</f>
        <v>362</v>
      </c>
      <c r="N33" s="286">
        <f>296+47+12</f>
        <v>355</v>
      </c>
      <c r="O33" s="287">
        <f t="shared" si="3"/>
        <v>4296</v>
      </c>
    </row>
    <row r="34" spans="1:15" ht="15.75">
      <c r="A34" s="284" t="s">
        <v>289</v>
      </c>
      <c r="B34" s="288" t="s">
        <v>201</v>
      </c>
      <c r="C34" s="286">
        <f>1827+95+29+8+42+191</f>
        <v>2192</v>
      </c>
      <c r="D34" s="286">
        <f>1701+95</f>
        <v>1796</v>
      </c>
      <c r="E34" s="286">
        <f>1890+95</f>
        <v>1985</v>
      </c>
      <c r="F34" s="286">
        <f>1853+95+119</f>
        <v>2067</v>
      </c>
      <c r="G34" s="286">
        <f>1848+95+635+191</f>
        <v>2769</v>
      </c>
      <c r="H34" s="286">
        <f>1533+95</f>
        <v>1628</v>
      </c>
      <c r="I34" s="286">
        <f>1428+95</f>
        <v>1523</v>
      </c>
      <c r="J34" s="286">
        <f>1302+95</f>
        <v>1397</v>
      </c>
      <c r="K34" s="286">
        <f>1995+95+403</f>
        <v>2493</v>
      </c>
      <c r="L34" s="286">
        <f>1787+95+1130+20</f>
        <v>3032</v>
      </c>
      <c r="M34" s="286">
        <f>1886+95+140+480-1645</f>
        <v>956</v>
      </c>
      <c r="N34" s="286">
        <f>2047+99-1648</f>
        <v>498</v>
      </c>
      <c r="O34" s="287">
        <f t="shared" si="3"/>
        <v>22336</v>
      </c>
    </row>
    <row r="35" spans="1:15" ht="15.75">
      <c r="A35" s="284" t="s">
        <v>294</v>
      </c>
      <c r="B35" s="288" t="s">
        <v>202</v>
      </c>
      <c r="C35" s="286">
        <f>219+4</f>
        <v>223</v>
      </c>
      <c r="D35" s="286">
        <f>219</f>
        <v>219</v>
      </c>
      <c r="E35" s="286">
        <f>219+1</f>
        <v>220</v>
      </c>
      <c r="F35" s="286">
        <f>219</f>
        <v>219</v>
      </c>
      <c r="G35" s="286">
        <f>219+160</f>
        <v>379</v>
      </c>
      <c r="H35" s="286">
        <f>219</f>
        <v>219</v>
      </c>
      <c r="I35" s="286">
        <f>219</f>
        <v>219</v>
      </c>
      <c r="J35" s="286">
        <f>219</f>
        <v>219</v>
      </c>
      <c r="K35" s="286">
        <f>219</f>
        <v>219</v>
      </c>
      <c r="L35" s="286">
        <f>219</f>
        <v>219</v>
      </c>
      <c r="M35" s="286">
        <v>219</v>
      </c>
      <c r="N35" s="286">
        <f>219</f>
        <v>219</v>
      </c>
      <c r="O35" s="287">
        <f t="shared" si="3"/>
        <v>2793</v>
      </c>
    </row>
    <row r="36" spans="1:15" ht="15.75">
      <c r="A36" s="284" t="s">
        <v>296</v>
      </c>
      <c r="B36" s="288" t="s">
        <v>387</v>
      </c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7"/>
    </row>
    <row r="37" spans="1:15" ht="15.75">
      <c r="A37" s="284"/>
      <c r="B37" s="288" t="s">
        <v>388</v>
      </c>
      <c r="C37" s="286"/>
      <c r="D37" s="286"/>
      <c r="E37" s="286"/>
      <c r="F37" s="286">
        <v>112</v>
      </c>
      <c r="G37" s="286">
        <f>135</f>
        <v>135</v>
      </c>
      <c r="H37" s="286"/>
      <c r="I37" s="286"/>
      <c r="J37" s="286"/>
      <c r="K37" s="286"/>
      <c r="L37" s="286">
        <v>18</v>
      </c>
      <c r="M37" s="286"/>
      <c r="N37" s="286"/>
      <c r="O37" s="287">
        <f t="shared" si="3"/>
        <v>265</v>
      </c>
    </row>
    <row r="38" spans="1:16" ht="15.75">
      <c r="A38" s="284"/>
      <c r="B38" s="288" t="s">
        <v>389</v>
      </c>
      <c r="C38" s="286">
        <v>50</v>
      </c>
      <c r="D38" s="286"/>
      <c r="E38" s="286"/>
      <c r="F38" s="286"/>
      <c r="G38" s="286">
        <v>200</v>
      </c>
      <c r="H38" s="286">
        <v>675</v>
      </c>
      <c r="I38" s="286"/>
      <c r="J38" s="286"/>
      <c r="K38" s="286">
        <v>35</v>
      </c>
      <c r="L38" s="286"/>
      <c r="M38" s="286"/>
      <c r="N38" s="286"/>
      <c r="O38" s="287">
        <f t="shared" si="3"/>
        <v>960</v>
      </c>
      <c r="P38" s="309"/>
    </row>
    <row r="39" spans="1:15" ht="15.75">
      <c r="A39" s="284" t="s">
        <v>298</v>
      </c>
      <c r="B39" s="288" t="s">
        <v>205</v>
      </c>
      <c r="C39" s="286">
        <f>58+8</f>
        <v>66</v>
      </c>
      <c r="D39" s="286">
        <v>72</v>
      </c>
      <c r="E39" s="286">
        <f>76</f>
        <v>76</v>
      </c>
      <c r="F39" s="286">
        <v>165</v>
      </c>
      <c r="G39" s="286"/>
      <c r="H39" s="286"/>
      <c r="I39" s="286"/>
      <c r="J39" s="286"/>
      <c r="K39" s="286">
        <v>76</v>
      </c>
      <c r="L39" s="286">
        <v>20</v>
      </c>
      <c r="M39" s="286">
        <v>250</v>
      </c>
      <c r="N39" s="286">
        <f>191+4028</f>
        <v>4219</v>
      </c>
      <c r="O39" s="287">
        <f t="shared" si="3"/>
        <v>4944</v>
      </c>
    </row>
    <row r="40" spans="1:15" ht="15.75">
      <c r="A40" s="284" t="s">
        <v>306</v>
      </c>
      <c r="B40" s="288" t="s">
        <v>73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>
        <f>22697+10000+508-440</f>
        <v>32765</v>
      </c>
      <c r="N40" s="286"/>
      <c r="O40" s="287">
        <f t="shared" si="3"/>
        <v>32765</v>
      </c>
    </row>
    <row r="41" spans="1:15" ht="20.25" customHeight="1">
      <c r="A41" s="284" t="s">
        <v>309</v>
      </c>
      <c r="B41" s="288" t="s">
        <v>299</v>
      </c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7">
        <f t="shared" si="3"/>
        <v>0</v>
      </c>
    </row>
    <row r="42" spans="1:15" ht="20.25" customHeight="1">
      <c r="A42" s="284"/>
      <c r="B42" s="288" t="s">
        <v>388</v>
      </c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7">
        <f t="shared" si="3"/>
        <v>0</v>
      </c>
    </row>
    <row r="43" spans="1:15" ht="15.75">
      <c r="A43" s="284"/>
      <c r="B43" s="288" t="s">
        <v>389</v>
      </c>
      <c r="C43" s="286">
        <v>10000</v>
      </c>
      <c r="D43" s="286"/>
      <c r="E43" s="286"/>
      <c r="F43" s="286">
        <v>10000</v>
      </c>
      <c r="G43" s="286"/>
      <c r="H43" s="286">
        <v>6215</v>
      </c>
      <c r="I43" s="286"/>
      <c r="J43" s="286">
        <v>600</v>
      </c>
      <c r="K43" s="286">
        <v>10000</v>
      </c>
      <c r="L43" s="286"/>
      <c r="M43" s="286"/>
      <c r="N43" s="286"/>
      <c r="O43" s="287">
        <f t="shared" si="3"/>
        <v>36815</v>
      </c>
    </row>
    <row r="44" spans="1:15" ht="15.75">
      <c r="A44" s="284" t="s">
        <v>311</v>
      </c>
      <c r="B44" s="288" t="s">
        <v>198</v>
      </c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7">
        <f t="shared" si="3"/>
        <v>0</v>
      </c>
    </row>
    <row r="45" spans="1:15" ht="15.75">
      <c r="A45" s="284"/>
      <c r="B45" s="288" t="s">
        <v>390</v>
      </c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7">
        <f t="shared" si="3"/>
        <v>0</v>
      </c>
    </row>
    <row r="46" spans="1:15" ht="15.75">
      <c r="A46" s="284"/>
      <c r="B46" s="288" t="s">
        <v>391</v>
      </c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7">
        <f t="shared" si="3"/>
        <v>0</v>
      </c>
    </row>
    <row r="47" spans="1:15" ht="15.75">
      <c r="A47" s="284"/>
      <c r="B47" s="316" t="s">
        <v>422</v>
      </c>
      <c r="C47" s="286">
        <v>943</v>
      </c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7">
        <f t="shared" si="3"/>
        <v>943</v>
      </c>
    </row>
    <row r="48" spans="1:16" ht="15.75">
      <c r="A48" s="284" t="s">
        <v>392</v>
      </c>
      <c r="B48" s="288" t="s">
        <v>393</v>
      </c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>
        <f>600+185-155-241-160-35-140+10000-250-480-191-20-18-20+15357-508-9560+13158-267</f>
        <v>27255</v>
      </c>
      <c r="O48" s="287">
        <f t="shared" si="3"/>
        <v>27255</v>
      </c>
      <c r="P48" s="309"/>
    </row>
    <row r="49" spans="1:15" ht="16.5" thickBot="1">
      <c r="A49" s="294" t="s">
        <v>394</v>
      </c>
      <c r="B49" s="295" t="s">
        <v>395</v>
      </c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>
        <f>8000</f>
        <v>8000</v>
      </c>
      <c r="O49" s="287">
        <f t="shared" si="3"/>
        <v>8000</v>
      </c>
    </row>
    <row r="50" spans="1:19" s="19" customFormat="1" ht="24" customHeight="1" thickBot="1">
      <c r="A50" s="296"/>
      <c r="B50" s="296" t="s">
        <v>396</v>
      </c>
      <c r="C50" s="297">
        <f>SUM(C32:C49)</f>
        <v>15079</v>
      </c>
      <c r="D50" s="297">
        <f aca="true" t="shared" si="4" ref="D50:O50">SUM(D32:D49)</f>
        <v>3663</v>
      </c>
      <c r="E50" s="297">
        <f t="shared" si="4"/>
        <v>4014</v>
      </c>
      <c r="F50" s="297">
        <f t="shared" si="4"/>
        <v>14059</v>
      </c>
      <c r="G50" s="297">
        <f t="shared" si="4"/>
        <v>5098</v>
      </c>
      <c r="H50" s="297">
        <f t="shared" si="4"/>
        <v>10313</v>
      </c>
      <c r="I50" s="297">
        <f t="shared" si="4"/>
        <v>3316</v>
      </c>
      <c r="J50" s="297">
        <f t="shared" si="4"/>
        <v>3792</v>
      </c>
      <c r="K50" s="297">
        <f t="shared" si="4"/>
        <v>14572</v>
      </c>
      <c r="L50" s="297">
        <f t="shared" si="4"/>
        <v>5895</v>
      </c>
      <c r="M50" s="297">
        <f t="shared" si="4"/>
        <v>35929</v>
      </c>
      <c r="N50" s="297">
        <f t="shared" si="4"/>
        <v>41766</v>
      </c>
      <c r="O50" s="298">
        <f t="shared" si="4"/>
        <v>157496</v>
      </c>
      <c r="S50" s="302"/>
    </row>
    <row r="51" spans="1:15" ht="26.25" customHeight="1" thickBot="1">
      <c r="A51" s="303"/>
      <c r="B51" s="304" t="s">
        <v>397</v>
      </c>
      <c r="C51" s="305">
        <f>C30-C50</f>
        <v>15392</v>
      </c>
      <c r="D51" s="305">
        <f aca="true" t="shared" si="5" ref="D51:N51">D30-D50</f>
        <v>15270</v>
      </c>
      <c r="E51" s="305">
        <f t="shared" si="5"/>
        <v>19946</v>
      </c>
      <c r="F51" s="305">
        <f t="shared" si="5"/>
        <v>9327</v>
      </c>
      <c r="G51" s="305">
        <f t="shared" si="5"/>
        <v>7396</v>
      </c>
      <c r="H51" s="305">
        <f t="shared" si="5"/>
        <v>3246</v>
      </c>
      <c r="I51" s="305">
        <f t="shared" si="5"/>
        <v>2638</v>
      </c>
      <c r="J51" s="305">
        <f t="shared" si="5"/>
        <v>8317</v>
      </c>
      <c r="K51" s="305">
        <f t="shared" si="5"/>
        <v>8885</v>
      </c>
      <c r="L51" s="305">
        <f t="shared" si="5"/>
        <v>31169</v>
      </c>
      <c r="M51" s="305">
        <f t="shared" si="5"/>
        <v>13167</v>
      </c>
      <c r="N51" s="305">
        <f t="shared" si="5"/>
        <v>0</v>
      </c>
      <c r="O51" s="306"/>
    </row>
    <row r="53" spans="3:15" ht="15.75"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</row>
    <row r="54" ht="15.75">
      <c r="O54" s="308"/>
    </row>
    <row r="55" ht="15.75">
      <c r="O55" s="308"/>
    </row>
    <row r="56" ht="15.75">
      <c r="O56" s="308"/>
    </row>
    <row r="57" ht="15.75">
      <c r="O57" s="308"/>
    </row>
  </sheetData>
  <sheetProtection/>
  <mergeCells count="5">
    <mergeCell ref="B8:O8"/>
    <mergeCell ref="B4:O4"/>
    <mergeCell ref="B5:O5"/>
    <mergeCell ref="B6:O6"/>
    <mergeCell ref="B7:O7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38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75.75390625" style="16" customWidth="1"/>
    <col min="2" max="2" width="20.00390625" style="16" customWidth="1"/>
    <col min="3" max="16384" width="9.125" style="16" customWidth="1"/>
  </cols>
  <sheetData>
    <row r="2" spans="1:3" s="241" customFormat="1" ht="15">
      <c r="A2" s="231" t="s">
        <v>509</v>
      </c>
      <c r="B2" s="231"/>
      <c r="C2" s="231"/>
    </row>
    <row r="4" spans="1:2" ht="15.75">
      <c r="A4" s="443"/>
      <c r="B4" s="443"/>
    </row>
    <row r="5" spans="1:3" s="28" customFormat="1" ht="15.75" customHeight="1">
      <c r="A5" s="462"/>
      <c r="B5" s="462"/>
      <c r="C5" s="242"/>
    </row>
    <row r="6" spans="1:2" ht="15.75">
      <c r="A6" s="243"/>
      <c r="B6" s="243"/>
    </row>
    <row r="7" spans="1:2" s="245" customFormat="1" ht="18.75">
      <c r="A7" s="244" t="s">
        <v>348</v>
      </c>
      <c r="B7" s="244"/>
    </row>
    <row r="8" spans="1:2" s="245" customFormat="1" ht="18.75">
      <c r="A8" s="382" t="s">
        <v>447</v>
      </c>
      <c r="B8" s="382"/>
    </row>
    <row r="9" spans="1:2" s="245" customFormat="1" ht="18.75">
      <c r="A9" s="382" t="s">
        <v>162</v>
      </c>
      <c r="B9" s="382"/>
    </row>
    <row r="10" spans="1:2" s="245" customFormat="1" ht="18.75">
      <c r="A10" s="382"/>
      <c r="B10" s="383"/>
    </row>
    <row r="11" ht="16.5" thickBot="1"/>
    <row r="12" spans="1:2" ht="15.75">
      <c r="A12" s="246"/>
      <c r="B12" s="247" t="s">
        <v>10</v>
      </c>
    </row>
    <row r="13" spans="1:2" ht="15.75">
      <c r="A13" s="248" t="s">
        <v>350</v>
      </c>
      <c r="B13" s="248"/>
    </row>
    <row r="14" spans="1:2" ht="16.5" thickBot="1">
      <c r="A14" s="249"/>
      <c r="B14" s="250" t="s">
        <v>351</v>
      </c>
    </row>
    <row r="15" spans="1:2" ht="15.75">
      <c r="A15" s="251"/>
      <c r="B15" s="252"/>
    </row>
    <row r="16" spans="1:2" ht="15.75">
      <c r="A16" s="261" t="s">
        <v>462</v>
      </c>
      <c r="B16" s="252"/>
    </row>
    <row r="17" spans="1:2" ht="15.75">
      <c r="A17" s="251"/>
      <c r="B17" s="252"/>
    </row>
    <row r="18" spans="1:2" ht="15.75">
      <c r="A18" s="255" t="s">
        <v>463</v>
      </c>
      <c r="B18" s="327">
        <f>7874-347</f>
        <v>7527</v>
      </c>
    </row>
    <row r="19" spans="1:2" ht="18">
      <c r="A19" s="258" t="s">
        <v>352</v>
      </c>
      <c r="B19" s="328">
        <f>2126-93</f>
        <v>2033</v>
      </c>
    </row>
    <row r="20" spans="1:2" ht="15.75">
      <c r="A20" s="251" t="s">
        <v>1</v>
      </c>
      <c r="B20" s="329">
        <f>SUM(B18:B19)</f>
        <v>9560</v>
      </c>
    </row>
    <row r="21" spans="1:2" ht="15.75">
      <c r="A21" s="251"/>
      <c r="B21" s="252"/>
    </row>
    <row r="22" spans="1:2" ht="15.75">
      <c r="A22" s="310" t="s">
        <v>448</v>
      </c>
      <c r="B22" s="252"/>
    </row>
    <row r="23" spans="1:2" ht="15.75">
      <c r="A23" s="326" t="s">
        <v>449</v>
      </c>
      <c r="B23" s="327">
        <v>17872</v>
      </c>
    </row>
    <row r="24" spans="1:2" ht="18">
      <c r="A24" s="258" t="s">
        <v>352</v>
      </c>
      <c r="B24" s="328">
        <v>4825</v>
      </c>
    </row>
    <row r="25" spans="1:2" ht="15.75">
      <c r="A25" s="251" t="s">
        <v>1</v>
      </c>
      <c r="B25" s="329">
        <f>SUM(B23:B24)</f>
        <v>22697</v>
      </c>
    </row>
    <row r="26" spans="1:2" ht="15.75">
      <c r="A26" s="251"/>
      <c r="B26" s="329"/>
    </row>
    <row r="27" spans="1:2" ht="15.75">
      <c r="A27" s="326" t="s">
        <v>489</v>
      </c>
      <c r="B27" s="327">
        <v>400</v>
      </c>
    </row>
    <row r="28" spans="1:2" ht="18">
      <c r="A28" s="258" t="s">
        <v>352</v>
      </c>
      <c r="B28" s="328">
        <v>108</v>
      </c>
    </row>
    <row r="29" spans="1:2" ht="15.75">
      <c r="A29" s="251" t="s">
        <v>1</v>
      </c>
      <c r="B29" s="329">
        <f>SUM(B27:B28)</f>
        <v>508</v>
      </c>
    </row>
    <row r="31" ht="15.75">
      <c r="A31" s="311" t="s">
        <v>412</v>
      </c>
    </row>
    <row r="33" spans="1:4" ht="15.75">
      <c r="A33" s="314" t="s">
        <v>413</v>
      </c>
      <c r="B33" s="256"/>
      <c r="C33" s="314"/>
      <c r="D33" s="314"/>
    </row>
    <row r="34" spans="1:2" ht="18">
      <c r="A34" s="258" t="s">
        <v>352</v>
      </c>
      <c r="B34" s="259"/>
    </row>
    <row r="35" spans="1:2" ht="13.5" customHeight="1">
      <c r="A35" s="251" t="s">
        <v>1</v>
      </c>
      <c r="B35" s="260"/>
    </row>
    <row r="36" spans="1:2" ht="13.5" customHeight="1">
      <c r="A36" s="251"/>
      <c r="B36" s="260"/>
    </row>
    <row r="37" spans="1:2" ht="15.75">
      <c r="A37" s="251"/>
      <c r="B37" s="253"/>
    </row>
    <row r="38" spans="1:2" ht="15.75">
      <c r="A38" s="251" t="s">
        <v>450</v>
      </c>
      <c r="B38" s="260">
        <f>B20+B25+B29</f>
        <v>32765</v>
      </c>
    </row>
  </sheetData>
  <sheetProtection/>
  <mergeCells count="5">
    <mergeCell ref="A4:B4"/>
    <mergeCell ref="A5:B5"/>
    <mergeCell ref="A8:B8"/>
    <mergeCell ref="A9:B9"/>
    <mergeCell ref="A10:B10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24.75390625" style="0" customWidth="1"/>
    <col min="2" max="2" width="15.375" style="0" customWidth="1"/>
    <col min="3" max="3" width="18.25390625" style="0" customWidth="1"/>
    <col min="4" max="4" width="18.125" style="0" customWidth="1"/>
  </cols>
  <sheetData>
    <row r="1" spans="1:4" ht="16.5">
      <c r="A1" s="331" t="s">
        <v>437</v>
      </c>
      <c r="B1" s="331"/>
      <c r="C1" s="331"/>
      <c r="D1" s="331"/>
    </row>
    <row r="2" spans="1:4" ht="16.5">
      <c r="A2" s="331" t="s">
        <v>438</v>
      </c>
      <c r="B2" s="331"/>
      <c r="C2" s="331" t="s">
        <v>441</v>
      </c>
      <c r="D2" s="332">
        <v>82837</v>
      </c>
    </row>
    <row r="3" spans="1:4" ht="16.5">
      <c r="A3" s="333" t="s">
        <v>439</v>
      </c>
      <c r="B3" s="333" t="s">
        <v>440</v>
      </c>
      <c r="C3" s="332">
        <v>0</v>
      </c>
      <c r="D3" s="332">
        <f>D2+C3</f>
        <v>82837</v>
      </c>
    </row>
    <row r="4" spans="1:4" ht="16.5">
      <c r="A4" s="333" t="s">
        <v>442</v>
      </c>
      <c r="B4" s="333" t="s">
        <v>443</v>
      </c>
      <c r="C4" s="332">
        <v>151</v>
      </c>
      <c r="D4" s="332">
        <f aca="true" t="shared" si="0" ref="D4:D25">D3+C4</f>
        <v>82988</v>
      </c>
    </row>
    <row r="5" spans="1:4" ht="16.5">
      <c r="A5" s="333" t="s">
        <v>444</v>
      </c>
      <c r="B5" s="333" t="s">
        <v>445</v>
      </c>
      <c r="C5" s="332">
        <v>22697</v>
      </c>
      <c r="D5" s="332">
        <f t="shared" si="0"/>
        <v>105685</v>
      </c>
    </row>
    <row r="6" spans="1:4" ht="16.5">
      <c r="A6" s="333" t="s">
        <v>451</v>
      </c>
      <c r="B6" s="333" t="s">
        <v>452</v>
      </c>
      <c r="C6" s="332"/>
      <c r="D6" s="332">
        <f t="shared" si="0"/>
        <v>105685</v>
      </c>
    </row>
    <row r="7" spans="1:4" ht="16.5">
      <c r="A7" s="333" t="s">
        <v>453</v>
      </c>
      <c r="B7" s="333" t="s">
        <v>454</v>
      </c>
      <c r="C7" s="332">
        <v>10000</v>
      </c>
      <c r="D7" s="332">
        <f t="shared" si="0"/>
        <v>115685</v>
      </c>
    </row>
    <row r="8" spans="1:4" ht="16.5">
      <c r="A8" s="333"/>
      <c r="B8" s="333" t="s">
        <v>454</v>
      </c>
      <c r="C8" s="332">
        <v>10000</v>
      </c>
      <c r="D8" s="332">
        <f t="shared" si="0"/>
        <v>125685</v>
      </c>
    </row>
    <row r="9" spans="1:4" ht="16.5">
      <c r="A9" s="333" t="s">
        <v>458</v>
      </c>
      <c r="B9" s="333" t="s">
        <v>454</v>
      </c>
      <c r="C9" s="332">
        <v>10000</v>
      </c>
      <c r="D9" s="332">
        <f t="shared" si="0"/>
        <v>135685</v>
      </c>
    </row>
    <row r="10" spans="1:4" ht="16.5">
      <c r="A10" s="333" t="s">
        <v>464</v>
      </c>
      <c r="B10" s="333" t="s">
        <v>465</v>
      </c>
      <c r="C10" s="332"/>
      <c r="D10" s="332">
        <f t="shared" si="0"/>
        <v>135685</v>
      </c>
    </row>
    <row r="11" spans="1:4" ht="16.5">
      <c r="A11" s="333" t="s">
        <v>466</v>
      </c>
      <c r="B11" s="333" t="s">
        <v>467</v>
      </c>
      <c r="C11" s="332"/>
      <c r="D11" s="332">
        <f t="shared" si="0"/>
        <v>135685</v>
      </c>
    </row>
    <row r="12" spans="1:4" ht="16.5">
      <c r="A12" s="333"/>
      <c r="B12" s="333" t="s">
        <v>469</v>
      </c>
      <c r="C12" s="332"/>
      <c r="D12" s="332">
        <f t="shared" si="0"/>
        <v>135685</v>
      </c>
    </row>
    <row r="13" spans="1:4" ht="16.5">
      <c r="A13" s="333"/>
      <c r="B13" s="333" t="s">
        <v>470</v>
      </c>
      <c r="C13" s="332"/>
      <c r="D13" s="332">
        <f t="shared" si="0"/>
        <v>135685</v>
      </c>
    </row>
    <row r="14" spans="1:4" ht="16.5">
      <c r="A14" s="333"/>
      <c r="B14" s="333" t="s">
        <v>473</v>
      </c>
      <c r="C14" s="332"/>
      <c r="D14" s="332">
        <f t="shared" si="0"/>
        <v>135685</v>
      </c>
    </row>
    <row r="15" spans="1:4" ht="16.5">
      <c r="A15" s="333" t="s">
        <v>475</v>
      </c>
      <c r="B15" s="333" t="s">
        <v>476</v>
      </c>
      <c r="C15" s="332">
        <v>714</v>
      </c>
      <c r="D15" s="332">
        <f t="shared" si="0"/>
        <v>136399</v>
      </c>
    </row>
    <row r="16" spans="1:4" ht="16.5">
      <c r="A16" s="333" t="s">
        <v>444</v>
      </c>
      <c r="B16" s="333" t="s">
        <v>481</v>
      </c>
      <c r="C16" s="332">
        <v>735</v>
      </c>
      <c r="D16" s="332">
        <f t="shared" si="0"/>
        <v>137134</v>
      </c>
    </row>
    <row r="17" spans="1:4" ht="16.5">
      <c r="A17" s="333"/>
      <c r="B17" s="333" t="s">
        <v>482</v>
      </c>
      <c r="C17" s="332">
        <v>1130</v>
      </c>
      <c r="D17" s="332">
        <f t="shared" si="0"/>
        <v>138264</v>
      </c>
    </row>
    <row r="18" spans="1:4" ht="16.5">
      <c r="A18" s="333"/>
      <c r="B18" s="333" t="s">
        <v>483</v>
      </c>
      <c r="C18" s="332">
        <v>76</v>
      </c>
      <c r="D18" s="332">
        <f t="shared" si="0"/>
        <v>138340</v>
      </c>
    </row>
    <row r="19" spans="1:4" ht="16.5">
      <c r="A19" s="333"/>
      <c r="B19" s="333" t="s">
        <v>487</v>
      </c>
      <c r="C19" s="332">
        <v>15357</v>
      </c>
      <c r="D19" s="332">
        <f t="shared" si="0"/>
        <v>153697</v>
      </c>
    </row>
    <row r="20" spans="1:4" ht="16.5">
      <c r="A20" s="321"/>
      <c r="B20" s="333" t="s">
        <v>488</v>
      </c>
      <c r="C20" s="332"/>
      <c r="D20" s="332">
        <f t="shared" si="0"/>
        <v>153697</v>
      </c>
    </row>
    <row r="21" spans="1:4" ht="16.5">
      <c r="A21" s="321" t="s">
        <v>493</v>
      </c>
      <c r="B21" s="321"/>
      <c r="C21" s="332">
        <v>213</v>
      </c>
      <c r="D21" s="332">
        <f t="shared" si="0"/>
        <v>153910</v>
      </c>
    </row>
    <row r="22" spans="1:4" ht="16.5">
      <c r="A22" s="321" t="s">
        <v>494</v>
      </c>
      <c r="B22" s="321"/>
      <c r="C22" s="332">
        <v>-10000</v>
      </c>
      <c r="D22" s="332">
        <f t="shared" si="0"/>
        <v>143910</v>
      </c>
    </row>
    <row r="23" spans="1:4" ht="16.5">
      <c r="A23" s="337"/>
      <c r="C23" s="332">
        <v>13158</v>
      </c>
      <c r="D23" s="332">
        <f t="shared" si="0"/>
        <v>157068</v>
      </c>
    </row>
    <row r="24" spans="1:4" ht="16.5">
      <c r="A24" s="337"/>
      <c r="C24" s="332">
        <v>360</v>
      </c>
      <c r="D24" s="332">
        <f t="shared" si="0"/>
        <v>157428</v>
      </c>
    </row>
    <row r="25" spans="1:4" ht="16.5">
      <c r="A25" s="337"/>
      <c r="C25" s="336">
        <v>68</v>
      </c>
      <c r="D25" s="332">
        <f t="shared" si="0"/>
        <v>157496</v>
      </c>
    </row>
    <row r="26" ht="18">
      <c r="D26" s="320"/>
    </row>
    <row r="27" ht="18">
      <c r="D27" s="320"/>
    </row>
    <row r="28" ht="18">
      <c r="D28" s="320"/>
    </row>
    <row r="29" ht="18">
      <c r="D29" s="320"/>
    </row>
    <row r="30" ht="18">
      <c r="D30" s="320"/>
    </row>
    <row r="31" ht="18">
      <c r="D31" s="320"/>
    </row>
    <row r="32" ht="18">
      <c r="D32" s="32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 topLeftCell="A1">
      <selection activeCell="A1" sqref="A1:E1"/>
    </sheetView>
  </sheetViews>
  <sheetFormatPr defaultColWidth="9.00390625" defaultRowHeight="12.75"/>
  <cols>
    <col min="1" max="1" width="64.625" style="4" customWidth="1"/>
    <col min="2" max="2" width="13.375" style="58" customWidth="1"/>
    <col min="3" max="3" width="4.875" style="4" customWidth="1"/>
    <col min="4" max="4" width="14.25390625" style="58" bestFit="1" customWidth="1"/>
    <col min="5" max="5" width="5.25390625" style="4" customWidth="1"/>
    <col min="6" max="6" width="9.125" style="4" customWidth="1"/>
    <col min="7" max="7" width="14.25390625" style="4" bestFit="1" customWidth="1"/>
    <col min="8" max="16384" width="9.125" style="4" customWidth="1"/>
  </cols>
  <sheetData>
    <row r="1" spans="1:5" ht="15">
      <c r="A1" s="341" t="s">
        <v>498</v>
      </c>
      <c r="B1" s="341"/>
      <c r="C1" s="341"/>
      <c r="D1" s="341"/>
      <c r="E1" s="341"/>
    </row>
    <row r="2" spans="1:5" ht="15">
      <c r="A2" s="82"/>
      <c r="B2" s="82"/>
      <c r="C2" s="82"/>
      <c r="D2" s="82"/>
      <c r="E2" s="82"/>
    </row>
    <row r="3" spans="1:5" s="51" customFormat="1" ht="15.75">
      <c r="A3" s="344"/>
      <c r="B3" s="344"/>
      <c r="C3" s="344"/>
      <c r="D3" s="344"/>
      <c r="E3" s="344"/>
    </row>
    <row r="4" spans="1:5" s="51" customFormat="1" ht="15.75">
      <c r="A4" s="343" t="s">
        <v>44</v>
      </c>
      <c r="B4" s="343"/>
      <c r="C4" s="343"/>
      <c r="D4" s="343"/>
      <c r="E4" s="343"/>
    </row>
    <row r="5" spans="1:5" ht="15.75">
      <c r="A5" s="343" t="s">
        <v>171</v>
      </c>
      <c r="B5" s="343"/>
      <c r="C5" s="343"/>
      <c r="D5" s="343"/>
      <c r="E5" s="343"/>
    </row>
    <row r="6" spans="1:5" ht="12.75" customHeight="1">
      <c r="A6" s="342" t="s">
        <v>251</v>
      </c>
      <c r="B6" s="342"/>
      <c r="C6" s="342"/>
      <c r="D6" s="342"/>
      <c r="E6" s="342"/>
    </row>
    <row r="7" spans="1:5" s="1" customFormat="1" ht="14.25">
      <c r="A7" s="342"/>
      <c r="B7" s="345"/>
      <c r="C7" s="346"/>
      <c r="D7" s="346"/>
      <c r="E7" s="346"/>
    </row>
    <row r="8" spans="1:4" s="1" customFormat="1" ht="18.75">
      <c r="A8" s="115" t="s">
        <v>172</v>
      </c>
      <c r="B8" s="59"/>
      <c r="D8" s="116"/>
    </row>
    <row r="9" spans="1:5" ht="15.75">
      <c r="A9" s="7" t="s">
        <v>173</v>
      </c>
      <c r="B9" s="59"/>
      <c r="C9" s="1"/>
      <c r="D9" s="117">
        <f>B10+B11</f>
        <v>28118</v>
      </c>
      <c r="E9" s="1" t="s">
        <v>5</v>
      </c>
    </row>
    <row r="10" spans="1:7" ht="15.75">
      <c r="A10" s="118" t="s">
        <v>174</v>
      </c>
      <c r="B10" s="58">
        <f>'2.mell - bevétel'!H68</f>
        <v>26297</v>
      </c>
      <c r="C10" s="4" t="s">
        <v>5</v>
      </c>
      <c r="D10" s="48"/>
      <c r="G10" s="76"/>
    </row>
    <row r="11" spans="1:5" s="1" customFormat="1" ht="15.75" customHeight="1">
      <c r="A11" s="118" t="s">
        <v>175</v>
      </c>
      <c r="B11" s="58">
        <f>'2.mell - bevétel'!H75</f>
        <v>1821</v>
      </c>
      <c r="C11" s="4" t="s">
        <v>5</v>
      </c>
      <c r="D11" s="48"/>
      <c r="E11" s="4"/>
    </row>
    <row r="12" spans="1:4" s="1" customFormat="1" ht="15.75">
      <c r="A12" s="7"/>
      <c r="B12" s="59"/>
      <c r="D12" s="117"/>
    </row>
    <row r="13" spans="1:5" s="1" customFormat="1" ht="15.75">
      <c r="A13" s="7" t="s">
        <v>176</v>
      </c>
      <c r="B13" s="59"/>
      <c r="D13" s="117">
        <f>'2.mell - bevétel'!H88</f>
        <v>31490</v>
      </c>
      <c r="E13" s="1" t="s">
        <v>5</v>
      </c>
    </row>
    <row r="14" spans="1:4" s="1" customFormat="1" ht="15.75">
      <c r="A14" s="7"/>
      <c r="B14" s="59"/>
      <c r="D14" s="117"/>
    </row>
    <row r="15" spans="1:5" s="1" customFormat="1" ht="15.75">
      <c r="A15" s="7" t="s">
        <v>127</v>
      </c>
      <c r="B15" s="59"/>
      <c r="D15" s="117">
        <f>'2.mell - bevétel'!H110</f>
        <v>7813</v>
      </c>
      <c r="E15" s="1" t="s">
        <v>5</v>
      </c>
    </row>
    <row r="16" spans="1:7" s="1" customFormat="1" ht="15.75">
      <c r="A16" s="7"/>
      <c r="B16" s="59"/>
      <c r="D16" s="117"/>
      <c r="G16" s="77"/>
    </row>
    <row r="17" spans="1:5" s="1" customFormat="1" ht="15.75">
      <c r="A17" s="7" t="s">
        <v>61</v>
      </c>
      <c r="B17" s="59"/>
      <c r="D17" s="117">
        <f>'2.mell - bevétel'!H134</f>
        <v>11858</v>
      </c>
      <c r="E17" s="1" t="s">
        <v>5</v>
      </c>
    </row>
    <row r="18" spans="1:4" s="1" customFormat="1" ht="15.75">
      <c r="A18" s="8"/>
      <c r="B18" s="60"/>
      <c r="D18" s="117"/>
    </row>
    <row r="19" spans="1:5" s="1" customFormat="1" ht="15.75">
      <c r="A19" s="7" t="s">
        <v>177</v>
      </c>
      <c r="B19" s="59"/>
      <c r="D19" s="117">
        <v>0</v>
      </c>
      <c r="E19" s="1" t="s">
        <v>5</v>
      </c>
    </row>
    <row r="20" spans="1:4" s="1" customFormat="1" ht="15.75">
      <c r="A20" s="8"/>
      <c r="B20" s="59"/>
      <c r="D20" s="117"/>
    </row>
    <row r="21" spans="1:5" s="1" customFormat="1" ht="15.75">
      <c r="A21" s="7" t="s">
        <v>178</v>
      </c>
      <c r="D21" s="117">
        <f>B22+B23</f>
        <v>0</v>
      </c>
      <c r="E21" s="1" t="s">
        <v>5</v>
      </c>
    </row>
    <row r="22" spans="1:7" s="6" customFormat="1" ht="32.25">
      <c r="A22" s="118" t="s">
        <v>179</v>
      </c>
      <c r="B22" s="60">
        <v>0</v>
      </c>
      <c r="C22" s="1" t="s">
        <v>5</v>
      </c>
      <c r="D22" s="117"/>
      <c r="E22" s="1"/>
      <c r="F22" s="1"/>
      <c r="G22" s="78"/>
    </row>
    <row r="23" spans="1:7" ht="18.75">
      <c r="A23" s="51" t="s">
        <v>180</v>
      </c>
      <c r="B23" s="59">
        <v>0</v>
      </c>
      <c r="C23" s="1" t="s">
        <v>5</v>
      </c>
      <c r="D23" s="117"/>
      <c r="E23" s="1"/>
      <c r="F23" s="6"/>
      <c r="G23" s="79"/>
    </row>
    <row r="24" spans="1:7" s="1" customFormat="1" ht="18.75">
      <c r="A24" s="68"/>
      <c r="B24" s="58"/>
      <c r="C24" s="4"/>
      <c r="D24" s="119"/>
      <c r="E24" s="6"/>
      <c r="G24" s="80"/>
    </row>
    <row r="25" spans="1:5" s="1" customFormat="1" ht="15.75">
      <c r="A25" s="7" t="s">
        <v>152</v>
      </c>
      <c r="B25" s="59"/>
      <c r="D25" s="117">
        <f>B26+B27</f>
        <v>36123</v>
      </c>
      <c r="E25" s="1" t="s">
        <v>5</v>
      </c>
    </row>
    <row r="26" spans="1:4" s="1" customFormat="1" ht="31.5">
      <c r="A26" s="118" t="s">
        <v>181</v>
      </c>
      <c r="B26" s="59">
        <f>'2.mell - bevétel'!H142</f>
        <v>36123</v>
      </c>
      <c r="C26" s="1" t="s">
        <v>5</v>
      </c>
      <c r="D26" s="117"/>
    </row>
    <row r="27" spans="1:4" s="1" customFormat="1" ht="15.75">
      <c r="A27" s="51" t="s">
        <v>182</v>
      </c>
      <c r="B27" s="59">
        <v>0</v>
      </c>
      <c r="C27" s="1" t="s">
        <v>5</v>
      </c>
      <c r="D27" s="117"/>
    </row>
    <row r="28" spans="1:4" s="1" customFormat="1" ht="15.75">
      <c r="A28" s="68"/>
      <c r="D28" s="116"/>
    </row>
    <row r="29" spans="1:5" s="1" customFormat="1" ht="15.75">
      <c r="A29" s="7" t="s">
        <v>49</v>
      </c>
      <c r="D29" s="120">
        <f>SUM(D9:D28)</f>
        <v>115402</v>
      </c>
      <c r="E29" s="1" t="s">
        <v>5</v>
      </c>
    </row>
    <row r="30" spans="1:4" s="1" customFormat="1" ht="15.75">
      <c r="A30" s="51"/>
      <c r="D30" s="116"/>
    </row>
    <row r="31" spans="1:4" s="1" customFormat="1" ht="18.75">
      <c r="A31" s="115" t="s">
        <v>183</v>
      </c>
      <c r="D31" s="116"/>
    </row>
    <row r="32" spans="1:5" s="1" customFormat="1" ht="15.75">
      <c r="A32" s="9" t="s">
        <v>13</v>
      </c>
      <c r="B32" s="59"/>
      <c r="D32" s="117">
        <f>B34+B35+B36+B37+B38</f>
        <v>82029</v>
      </c>
      <c r="E32" s="1" t="s">
        <v>5</v>
      </c>
    </row>
    <row r="33" spans="1:4" s="1" customFormat="1" ht="15.75">
      <c r="A33" s="8" t="s">
        <v>12</v>
      </c>
      <c r="B33" s="59"/>
      <c r="D33" s="117"/>
    </row>
    <row r="34" spans="1:4" s="1" customFormat="1" ht="15.75">
      <c r="A34" s="51" t="s">
        <v>184</v>
      </c>
      <c r="B34" s="59">
        <f>'4.mell. - kiadás'!D48</f>
        <v>16124</v>
      </c>
      <c r="C34" s="1" t="s">
        <v>5</v>
      </c>
      <c r="D34" s="117"/>
    </row>
    <row r="35" spans="1:4" s="1" customFormat="1" ht="15.75">
      <c r="A35" s="51" t="s">
        <v>185</v>
      </c>
      <c r="B35" s="59">
        <f>'4.mell. - kiadás'!E48</f>
        <v>4296</v>
      </c>
      <c r="C35" s="1" t="s">
        <v>5</v>
      </c>
      <c r="D35" s="117"/>
    </row>
    <row r="36" spans="1:4" s="1" customFormat="1" ht="15.75">
      <c r="A36" s="51" t="s">
        <v>186</v>
      </c>
      <c r="B36" s="59">
        <f>'4.mell. - kiadás'!F48</f>
        <v>22336</v>
      </c>
      <c r="C36" s="1" t="s">
        <v>5</v>
      </c>
      <c r="D36" s="117"/>
    </row>
    <row r="37" spans="1:4" s="1" customFormat="1" ht="15.75">
      <c r="A37" s="121" t="s">
        <v>187</v>
      </c>
      <c r="B37" s="59">
        <f>'4.mell. - kiadás'!G48</f>
        <v>2793</v>
      </c>
      <c r="C37" s="1" t="s">
        <v>5</v>
      </c>
      <c r="D37" s="117"/>
    </row>
    <row r="38" spans="1:4" s="1" customFormat="1" ht="15.75">
      <c r="A38" s="51" t="s">
        <v>79</v>
      </c>
      <c r="B38" s="59">
        <f>'4.mell. - kiadás'!H48</f>
        <v>36480</v>
      </c>
      <c r="C38" s="1" t="s">
        <v>5</v>
      </c>
      <c r="D38" s="117"/>
    </row>
    <row r="39" spans="1:4" s="1" customFormat="1" ht="15.75">
      <c r="A39" s="51"/>
      <c r="B39" s="60"/>
      <c r="D39" s="117"/>
    </row>
    <row r="40" spans="1:5" s="1" customFormat="1" ht="15.75">
      <c r="A40" s="9" t="s">
        <v>14</v>
      </c>
      <c r="B40" s="59"/>
      <c r="D40" s="122">
        <f>B42+B43+B44</f>
        <v>74524</v>
      </c>
      <c r="E40" s="1" t="s">
        <v>5</v>
      </c>
    </row>
    <row r="41" spans="1:4" s="1" customFormat="1" ht="15.75">
      <c r="A41" s="8" t="s">
        <v>12</v>
      </c>
      <c r="B41" s="59"/>
      <c r="D41" s="117"/>
    </row>
    <row r="42" spans="1:4" s="1" customFormat="1" ht="15.75">
      <c r="A42" s="51" t="s">
        <v>188</v>
      </c>
      <c r="B42" s="60">
        <f>'4.mell. - kiadás'!J48</f>
        <v>4944</v>
      </c>
      <c r="C42" s="1" t="s">
        <v>5</v>
      </c>
      <c r="D42" s="117"/>
    </row>
    <row r="43" spans="1:4" s="1" customFormat="1" ht="15.75">
      <c r="A43" s="51" t="s">
        <v>189</v>
      </c>
      <c r="B43" s="60">
        <f>'4.mell. - kiadás'!K48</f>
        <v>32765</v>
      </c>
      <c r="C43" s="1" t="s">
        <v>5</v>
      </c>
      <c r="D43" s="117"/>
    </row>
    <row r="44" spans="1:6" ht="15.75">
      <c r="A44" s="51" t="s">
        <v>80</v>
      </c>
      <c r="B44" s="60">
        <f>'4.mell. - kiadás'!L48</f>
        <v>36815</v>
      </c>
      <c r="C44" s="1" t="s">
        <v>5</v>
      </c>
      <c r="D44" s="117"/>
      <c r="E44" s="1"/>
      <c r="F44" s="1"/>
    </row>
    <row r="45" spans="1:4" s="1" customFormat="1" ht="15.75">
      <c r="A45" s="51"/>
      <c r="B45" s="60"/>
      <c r="D45" s="117"/>
    </row>
    <row r="46" spans="1:5" s="1" customFormat="1" ht="15.75">
      <c r="A46" s="51" t="s">
        <v>190</v>
      </c>
      <c r="B46" s="60"/>
      <c r="D46" s="117">
        <f>B47+B48+B49</f>
        <v>943</v>
      </c>
      <c r="E46" s="1" t="s">
        <v>5</v>
      </c>
    </row>
    <row r="47" spans="1:4" s="1" customFormat="1" ht="15.75">
      <c r="A47" s="51" t="s">
        <v>191</v>
      </c>
      <c r="B47" s="59"/>
      <c r="C47" s="1" t="s">
        <v>5</v>
      </c>
      <c r="D47" s="117"/>
    </row>
    <row r="48" spans="1:6" s="6" customFormat="1" ht="18.75">
      <c r="A48" s="51" t="s">
        <v>192</v>
      </c>
      <c r="B48" s="59"/>
      <c r="C48" s="1" t="s">
        <v>5</v>
      </c>
      <c r="D48" s="117"/>
      <c r="E48" s="1"/>
      <c r="F48" s="4"/>
    </row>
    <row r="49" spans="1:6" s="6" customFormat="1" ht="18.75">
      <c r="A49" s="51" t="s">
        <v>423</v>
      </c>
      <c r="B49" s="59">
        <f>'4.mell. - kiadás'!Q48</f>
        <v>943</v>
      </c>
      <c r="C49" s="1" t="s">
        <v>5</v>
      </c>
      <c r="D49" s="117"/>
      <c r="E49" s="1"/>
      <c r="F49" s="4"/>
    </row>
    <row r="50" spans="1:6" ht="15.75">
      <c r="A50" s="51"/>
      <c r="B50" s="60"/>
      <c r="C50" s="1"/>
      <c r="D50" s="117"/>
      <c r="E50" s="1"/>
      <c r="F50" s="1"/>
    </row>
    <row r="51" spans="1:6" ht="15.75">
      <c r="A51" s="7" t="s">
        <v>52</v>
      </c>
      <c r="B51" s="60"/>
      <c r="C51" s="1"/>
      <c r="D51" s="48">
        <f>SUM(D32:D50)</f>
        <v>157496</v>
      </c>
      <c r="E51" s="4" t="s">
        <v>5</v>
      </c>
      <c r="F51" s="1"/>
    </row>
    <row r="52" spans="1:6" ht="15.75">
      <c r="A52" s="51"/>
      <c r="B52" s="59"/>
      <c r="C52" s="1"/>
      <c r="D52" s="122"/>
      <c r="E52" s="1"/>
      <c r="F52" s="1"/>
    </row>
    <row r="53" spans="1:6" ht="18.75">
      <c r="A53" s="7" t="s">
        <v>53</v>
      </c>
      <c r="B53" s="59"/>
      <c r="C53" s="1"/>
      <c r="D53" s="48">
        <f>D29-D51</f>
        <v>-42094</v>
      </c>
      <c r="E53" s="4" t="s">
        <v>5</v>
      </c>
      <c r="F53" s="6"/>
    </row>
    <row r="54" spans="1:4" ht="15.75">
      <c r="A54" s="51"/>
      <c r="B54" s="59"/>
      <c r="C54" s="1"/>
      <c r="D54" s="48"/>
    </row>
    <row r="55" spans="1:5" ht="31.5">
      <c r="A55" s="123" t="s">
        <v>427</v>
      </c>
      <c r="B55" s="123"/>
      <c r="C55" s="123"/>
      <c r="D55" s="48">
        <v>12586</v>
      </c>
      <c r="E55" s="4" t="s">
        <v>5</v>
      </c>
    </row>
    <row r="56" spans="1:5" ht="48">
      <c r="A56" s="123" t="s">
        <v>259</v>
      </c>
      <c r="B56" s="61"/>
      <c r="C56" s="6"/>
      <c r="D56" s="48">
        <f>'2.mell - bevétel'!H156</f>
        <v>29508</v>
      </c>
      <c r="E56" s="4" t="s">
        <v>5</v>
      </c>
    </row>
    <row r="57" spans="1:6" s="1" customFormat="1" ht="15.75">
      <c r="A57" s="51"/>
      <c r="B57" s="58"/>
      <c r="C57" s="4"/>
      <c r="D57" s="48"/>
      <c r="E57" s="4"/>
      <c r="F57" s="4"/>
    </row>
    <row r="58" spans="1:5" ht="15.75">
      <c r="A58" s="7" t="s">
        <v>78</v>
      </c>
      <c r="D58" s="48">
        <f>D53+D56+D55</f>
        <v>0</v>
      </c>
      <c r="E58" s="4" t="s">
        <v>5</v>
      </c>
    </row>
    <row r="59" spans="1:4" s="1" customFormat="1" ht="10.5" customHeight="1">
      <c r="A59" s="5"/>
      <c r="B59" s="59"/>
      <c r="D59" s="26"/>
    </row>
    <row r="60" spans="1:5" ht="15.75">
      <c r="A60" s="5"/>
      <c r="B60" s="59"/>
      <c r="C60" s="1"/>
      <c r="D60" s="26"/>
      <c r="E60" s="7"/>
    </row>
    <row r="61" spans="1:5" ht="15.75">
      <c r="A61" s="7"/>
      <c r="D61" s="27"/>
      <c r="E61" s="7"/>
    </row>
  </sheetData>
  <sheetProtection/>
  <mergeCells count="6">
    <mergeCell ref="A1:E1"/>
    <mergeCell ref="A6:E6"/>
    <mergeCell ref="A4:E4"/>
    <mergeCell ref="A3:E3"/>
    <mergeCell ref="A5:E5"/>
    <mergeCell ref="A7:E7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0"/>
  <sheetViews>
    <sheetView workbookViewId="0" topLeftCell="A1">
      <selection activeCell="G18" sqref="G18"/>
    </sheetView>
  </sheetViews>
  <sheetFormatPr defaultColWidth="9.00390625" defaultRowHeight="12.75"/>
  <cols>
    <col min="1" max="1" width="4.25390625" style="67" customWidth="1"/>
    <col min="2" max="5" width="3.125" style="66" customWidth="1"/>
    <col min="6" max="6" width="51.375" style="8" customWidth="1"/>
    <col min="7" max="7" width="11.25390625" style="8" customWidth="1"/>
    <col min="8" max="8" width="12.75390625" style="8" customWidth="1"/>
    <col min="9" max="9" width="9.375" style="8" customWidth="1"/>
    <col min="10" max="16384" width="9.125" style="8" customWidth="1"/>
  </cols>
  <sheetData>
    <row r="1" spans="1:9" ht="15.75">
      <c r="A1" s="231" t="s">
        <v>499</v>
      </c>
      <c r="B1" s="231"/>
      <c r="C1" s="231"/>
      <c r="D1" s="231"/>
      <c r="E1" s="231"/>
      <c r="F1" s="81"/>
      <c r="G1" s="81"/>
      <c r="H1" s="81"/>
      <c r="I1" s="81"/>
    </row>
    <row r="2" spans="1:9" ht="15.75">
      <c r="A2" s="368"/>
      <c r="B2" s="368"/>
      <c r="C2" s="368"/>
      <c r="D2" s="368"/>
      <c r="E2" s="368"/>
      <c r="F2" s="368"/>
      <c r="G2" s="368"/>
      <c r="H2" s="368"/>
      <c r="I2" s="368"/>
    </row>
    <row r="3" spans="1:9" s="9" customFormat="1" ht="15.75">
      <c r="A3" s="378" t="s">
        <v>3</v>
      </c>
      <c r="B3" s="378"/>
      <c r="C3" s="378"/>
      <c r="D3" s="378"/>
      <c r="E3" s="378"/>
      <c r="F3" s="378"/>
      <c r="G3" s="378"/>
      <c r="H3" s="378"/>
      <c r="I3" s="378"/>
    </row>
    <row r="4" spans="1:9" s="9" customFormat="1" ht="15.75">
      <c r="A4" s="378" t="s">
        <v>41</v>
      </c>
      <c r="B4" s="378"/>
      <c r="C4" s="378"/>
      <c r="D4" s="378"/>
      <c r="E4" s="378"/>
      <c r="F4" s="378"/>
      <c r="G4" s="378"/>
      <c r="H4" s="378"/>
      <c r="I4" s="378"/>
    </row>
    <row r="5" spans="1:9" ht="15.75">
      <c r="A5" s="378" t="s">
        <v>162</v>
      </c>
      <c r="B5" s="378"/>
      <c r="C5" s="378"/>
      <c r="D5" s="378"/>
      <c r="E5" s="378"/>
      <c r="F5" s="378"/>
      <c r="G5" s="378"/>
      <c r="H5" s="378"/>
      <c r="I5" s="378"/>
    </row>
    <row r="6" ht="15.75" hidden="1"/>
    <row r="7" spans="1:9" ht="15.75">
      <c r="A7" s="382"/>
      <c r="B7" s="383"/>
      <c r="C7" s="383"/>
      <c r="D7" s="383"/>
      <c r="E7" s="383"/>
      <c r="F7" s="383"/>
      <c r="G7" s="383"/>
      <c r="H7" s="383"/>
      <c r="I7" s="383"/>
    </row>
    <row r="8" spans="1:9" ht="16.5" thickBot="1">
      <c r="A8" s="380" t="s">
        <v>4</v>
      </c>
      <c r="B8" s="381"/>
      <c r="C8" s="381"/>
      <c r="D8" s="381"/>
      <c r="E8" s="381"/>
      <c r="F8" s="381"/>
      <c r="G8" s="381"/>
      <c r="H8" s="381"/>
      <c r="I8" s="381"/>
    </row>
    <row r="9" spans="1:9" ht="15.75">
      <c r="A9" s="369" t="s">
        <v>17</v>
      </c>
      <c r="B9" s="370"/>
      <c r="C9" s="370"/>
      <c r="D9" s="370"/>
      <c r="E9" s="370"/>
      <c r="F9" s="371"/>
      <c r="G9" s="69" t="s">
        <v>15</v>
      </c>
      <c r="H9" s="69" t="s">
        <v>15</v>
      </c>
      <c r="I9" s="69" t="s">
        <v>16</v>
      </c>
    </row>
    <row r="10" spans="1:9" ht="15.75">
      <c r="A10" s="372"/>
      <c r="B10" s="373"/>
      <c r="C10" s="373"/>
      <c r="D10" s="373"/>
      <c r="E10" s="373"/>
      <c r="F10" s="374"/>
      <c r="G10" s="70" t="s">
        <v>10</v>
      </c>
      <c r="H10" s="71" t="s">
        <v>10</v>
      </c>
      <c r="I10" s="70"/>
    </row>
    <row r="11" spans="1:9" ht="16.5" thickBot="1">
      <c r="A11" s="375"/>
      <c r="B11" s="376"/>
      <c r="C11" s="376"/>
      <c r="D11" s="376"/>
      <c r="E11" s="376"/>
      <c r="F11" s="377"/>
      <c r="G11" s="72" t="s">
        <v>67</v>
      </c>
      <c r="H11" s="72" t="s">
        <v>162</v>
      </c>
      <c r="I11" s="72" t="s">
        <v>18</v>
      </c>
    </row>
    <row r="12" spans="1:9" ht="15.75">
      <c r="A12" s="19" t="s">
        <v>55</v>
      </c>
      <c r="B12" s="350" t="s">
        <v>87</v>
      </c>
      <c r="C12" s="350"/>
      <c r="D12" s="350"/>
      <c r="E12" s="350"/>
      <c r="F12" s="350"/>
      <c r="G12" s="84"/>
      <c r="H12" s="85"/>
      <c r="I12" s="84"/>
    </row>
    <row r="13" spans="1:9" ht="15.75">
      <c r="A13" s="19"/>
      <c r="B13" s="19" t="s">
        <v>55</v>
      </c>
      <c r="C13" s="19" t="s">
        <v>88</v>
      </c>
      <c r="D13" s="19"/>
      <c r="E13" s="19"/>
      <c r="F13" s="19"/>
      <c r="G13" s="43"/>
      <c r="H13" s="43"/>
      <c r="I13" s="19"/>
    </row>
    <row r="14" spans="1:9" ht="33" customHeight="1">
      <c r="A14" s="19"/>
      <c r="B14" s="19"/>
      <c r="C14" s="19" t="s">
        <v>47</v>
      </c>
      <c r="D14" s="350" t="s">
        <v>89</v>
      </c>
      <c r="E14" s="350"/>
      <c r="F14" s="350"/>
      <c r="G14" s="85"/>
      <c r="H14" s="85"/>
      <c r="I14" s="84"/>
    </row>
    <row r="15" spans="1:9" ht="33.75" customHeight="1">
      <c r="A15" s="19"/>
      <c r="B15" s="19"/>
      <c r="C15" s="19"/>
      <c r="D15" s="19" t="s">
        <v>47</v>
      </c>
      <c r="E15" s="350" t="s">
        <v>90</v>
      </c>
      <c r="F15" s="350"/>
      <c r="G15" s="85"/>
      <c r="H15" s="85"/>
      <c r="I15" s="84"/>
    </row>
    <row r="16" spans="1:9" ht="15.75">
      <c r="A16" s="22"/>
      <c r="B16" s="22"/>
      <c r="C16" s="22"/>
      <c r="D16" s="22"/>
      <c r="E16" s="22" t="s">
        <v>62</v>
      </c>
      <c r="F16" s="22" t="s">
        <v>56</v>
      </c>
      <c r="G16" s="42"/>
      <c r="H16" s="42"/>
      <c r="I16" s="86"/>
    </row>
    <row r="17" spans="1:9" ht="15.75">
      <c r="A17" s="22"/>
      <c r="B17" s="22"/>
      <c r="C17" s="22"/>
      <c r="D17" s="22"/>
      <c r="E17" s="22"/>
      <c r="F17" s="22" t="s">
        <v>91</v>
      </c>
      <c r="G17" s="42"/>
      <c r="I17" s="86"/>
    </row>
    <row r="18" spans="1:9" ht="31.5">
      <c r="A18" s="22"/>
      <c r="B18" s="22"/>
      <c r="C18" s="22"/>
      <c r="D18" s="22"/>
      <c r="E18" s="22" t="s">
        <v>63</v>
      </c>
      <c r="F18" s="87" t="s">
        <v>57</v>
      </c>
      <c r="G18" s="88"/>
      <c r="I18" s="86"/>
    </row>
    <row r="19" spans="1:9" ht="31.5">
      <c r="A19" s="22"/>
      <c r="B19" s="22"/>
      <c r="C19" s="22"/>
      <c r="D19" s="22"/>
      <c r="E19" s="22" t="s">
        <v>92</v>
      </c>
      <c r="F19" s="87" t="s">
        <v>93</v>
      </c>
      <c r="G19" s="42">
        <v>2540</v>
      </c>
      <c r="H19" s="322">
        <v>2553</v>
      </c>
      <c r="I19" s="86">
        <f>H19/G19*100</f>
        <v>100.51181102362206</v>
      </c>
    </row>
    <row r="20" spans="1:9" ht="15.75">
      <c r="A20" s="22"/>
      <c r="B20" s="22"/>
      <c r="C20" s="22"/>
      <c r="D20" s="22"/>
      <c r="E20" s="22"/>
      <c r="F20" s="22" t="s">
        <v>91</v>
      </c>
      <c r="G20" s="42"/>
      <c r="H20" s="322"/>
      <c r="I20" s="86"/>
    </row>
    <row r="21" spans="1:9" ht="15.75">
      <c r="A21" s="22"/>
      <c r="B21" s="22"/>
      <c r="C21" s="22"/>
      <c r="D21" s="22"/>
      <c r="E21" s="22" t="s">
        <v>94</v>
      </c>
      <c r="F21" s="87" t="s">
        <v>95</v>
      </c>
      <c r="G21" s="42">
        <v>3002</v>
      </c>
      <c r="H21" s="322">
        <v>3392</v>
      </c>
      <c r="I21" s="86">
        <f aca="true" t="shared" si="0" ref="I21:I28">H21/G21*100</f>
        <v>112.99133910726182</v>
      </c>
    </row>
    <row r="22" spans="1:9" ht="15.75">
      <c r="A22" s="22"/>
      <c r="B22" s="22"/>
      <c r="C22" s="22"/>
      <c r="D22" s="22"/>
      <c r="E22" s="22"/>
      <c r="F22" s="22" t="s">
        <v>91</v>
      </c>
      <c r="G22" s="42"/>
      <c r="H22" s="322"/>
      <c r="I22" s="86"/>
    </row>
    <row r="23" spans="1:9" ht="33" customHeight="1">
      <c r="A23" s="22"/>
      <c r="B23" s="22"/>
      <c r="C23" s="22"/>
      <c r="D23" s="22"/>
      <c r="E23" s="22" t="s">
        <v>96</v>
      </c>
      <c r="F23" s="87" t="s">
        <v>97</v>
      </c>
      <c r="G23" s="42">
        <v>372</v>
      </c>
      <c r="H23" s="322">
        <v>100</v>
      </c>
      <c r="I23" s="86">
        <f t="shared" si="0"/>
        <v>26.881720430107524</v>
      </c>
    </row>
    <row r="24" spans="1:9" ht="15.75">
      <c r="A24" s="22"/>
      <c r="B24" s="22"/>
      <c r="C24" s="22"/>
      <c r="D24" s="22"/>
      <c r="E24" s="22"/>
      <c r="F24" s="22" t="s">
        <v>91</v>
      </c>
      <c r="G24" s="42"/>
      <c r="H24" s="322"/>
      <c r="I24" s="86"/>
    </row>
    <row r="25" spans="1:9" ht="15.75">
      <c r="A25" s="22"/>
      <c r="B25" s="22"/>
      <c r="C25" s="22"/>
      <c r="D25" s="22"/>
      <c r="E25" s="22" t="s">
        <v>98</v>
      </c>
      <c r="F25" s="87" t="s">
        <v>99</v>
      </c>
      <c r="G25" s="42">
        <v>7507</v>
      </c>
      <c r="H25" s="322">
        <v>7507</v>
      </c>
      <c r="I25" s="86">
        <f t="shared" si="0"/>
        <v>100</v>
      </c>
    </row>
    <row r="26" spans="1:9" s="52" customFormat="1" ht="15.75">
      <c r="A26" s="22"/>
      <c r="B26" s="22"/>
      <c r="C26" s="22"/>
      <c r="D26" s="22"/>
      <c r="E26" s="22"/>
      <c r="F26" s="22" t="s">
        <v>91</v>
      </c>
      <c r="G26" s="42"/>
      <c r="H26" s="323"/>
      <c r="I26" s="86"/>
    </row>
    <row r="27" spans="1:9" ht="15.75">
      <c r="A27" s="22"/>
      <c r="B27" s="22"/>
      <c r="C27" s="22"/>
      <c r="D27" s="22" t="s">
        <v>64</v>
      </c>
      <c r="E27" s="22" t="s">
        <v>100</v>
      </c>
      <c r="F27" s="22"/>
      <c r="G27" s="42">
        <v>4000</v>
      </c>
      <c r="H27" s="322">
        <v>4000</v>
      </c>
      <c r="I27" s="86">
        <f t="shared" si="0"/>
        <v>100</v>
      </c>
    </row>
    <row r="28" spans="1:9" ht="15.75">
      <c r="A28" s="22"/>
      <c r="B28" s="22"/>
      <c r="C28" s="22"/>
      <c r="D28" s="22"/>
      <c r="E28" s="22"/>
      <c r="F28" s="22" t="s">
        <v>91</v>
      </c>
      <c r="G28" s="42">
        <v>-69</v>
      </c>
      <c r="H28" s="322">
        <v>-239</v>
      </c>
      <c r="I28" s="86">
        <f t="shared" si="0"/>
        <v>346.3768115942029</v>
      </c>
    </row>
    <row r="29" spans="1:9" ht="15.75">
      <c r="A29" s="22"/>
      <c r="B29" s="22"/>
      <c r="C29" s="22"/>
      <c r="D29" s="22" t="s">
        <v>65</v>
      </c>
      <c r="E29" s="22" t="s">
        <v>164</v>
      </c>
      <c r="F29" s="22"/>
      <c r="G29" s="42"/>
      <c r="H29" s="322">
        <v>20</v>
      </c>
      <c r="I29" s="86"/>
    </row>
    <row r="30" spans="1:9" ht="15.75">
      <c r="A30" s="22"/>
      <c r="B30" s="22"/>
      <c r="C30" s="22"/>
      <c r="D30" s="22" t="s">
        <v>165</v>
      </c>
      <c r="E30" s="22" t="s">
        <v>116</v>
      </c>
      <c r="F30" s="22"/>
      <c r="G30" s="42"/>
      <c r="H30" s="322">
        <v>682</v>
      </c>
      <c r="I30" s="86"/>
    </row>
    <row r="31" spans="1:9" ht="15.75">
      <c r="A31" s="22"/>
      <c r="B31" s="22"/>
      <c r="C31" s="22" t="s">
        <v>24</v>
      </c>
      <c r="D31" s="351" t="s">
        <v>102</v>
      </c>
      <c r="E31" s="351"/>
      <c r="F31" s="351"/>
      <c r="G31" s="42">
        <v>5</v>
      </c>
      <c r="H31" s="322">
        <v>6</v>
      </c>
      <c r="I31" s="86">
        <f>H31/G31*100</f>
        <v>120</v>
      </c>
    </row>
    <row r="32" spans="1:9" ht="15.75">
      <c r="A32" s="22"/>
      <c r="B32" s="22"/>
      <c r="C32" s="22" t="s">
        <v>114</v>
      </c>
      <c r="D32" s="22" t="s">
        <v>166</v>
      </c>
      <c r="E32" s="22"/>
      <c r="F32" s="22"/>
      <c r="G32" s="42"/>
      <c r="H32" s="322">
        <v>48</v>
      </c>
      <c r="I32" s="86"/>
    </row>
    <row r="33" spans="1:9" s="52" customFormat="1" ht="15.75">
      <c r="A33" s="22"/>
      <c r="B33" s="22"/>
      <c r="C33" s="22"/>
      <c r="D33" s="22" t="s">
        <v>24</v>
      </c>
      <c r="E33" s="22" t="s">
        <v>101</v>
      </c>
      <c r="F33" s="22"/>
      <c r="G33" s="42">
        <v>842</v>
      </c>
      <c r="H33" s="323"/>
      <c r="I33" s="86"/>
    </row>
    <row r="34" spans="1:9" ht="15.75">
      <c r="A34" s="22"/>
      <c r="B34" s="22"/>
      <c r="C34" s="22"/>
      <c r="D34" s="22"/>
      <c r="E34" s="22"/>
      <c r="F34" s="22" t="s">
        <v>91</v>
      </c>
      <c r="G34" s="42">
        <v>-421</v>
      </c>
      <c r="H34" s="322"/>
      <c r="I34" s="86"/>
    </row>
    <row r="35" spans="1:9" ht="15.75">
      <c r="A35" s="22"/>
      <c r="B35" s="22"/>
      <c r="C35" s="22"/>
      <c r="D35" s="22"/>
      <c r="E35" s="22"/>
      <c r="F35" s="22"/>
      <c r="G35" s="42"/>
      <c r="H35" s="322"/>
      <c r="I35" s="86"/>
    </row>
    <row r="36" spans="1:9" ht="31.5" customHeight="1">
      <c r="A36" s="90"/>
      <c r="B36" s="90"/>
      <c r="C36" s="91"/>
      <c r="D36" s="379" t="s">
        <v>103</v>
      </c>
      <c r="E36" s="379"/>
      <c r="F36" s="379"/>
      <c r="G36" s="92">
        <f>SUM(G16:G35)</f>
        <v>17778</v>
      </c>
      <c r="H36" s="324">
        <f>SUM(H16:H35)</f>
        <v>18069</v>
      </c>
      <c r="I36" s="114">
        <f>H36/G36*100</f>
        <v>101.63685453931825</v>
      </c>
    </row>
    <row r="37" spans="1:9" s="52" customFormat="1" ht="7.5" customHeight="1">
      <c r="A37" s="19"/>
      <c r="B37" s="19"/>
      <c r="C37" s="19"/>
      <c r="D37" s="83"/>
      <c r="E37" s="83"/>
      <c r="F37" s="83"/>
      <c r="G37" s="85"/>
      <c r="H37" s="323"/>
      <c r="I37" s="86"/>
    </row>
    <row r="38" spans="1:9" ht="15.75">
      <c r="A38" s="22"/>
      <c r="B38" s="22"/>
      <c r="C38" s="19" t="s">
        <v>48</v>
      </c>
      <c r="D38" s="350" t="s">
        <v>104</v>
      </c>
      <c r="E38" s="350"/>
      <c r="F38" s="350"/>
      <c r="G38" s="85"/>
      <c r="H38" s="322"/>
      <c r="I38" s="86"/>
    </row>
    <row r="39" spans="1:9" ht="15.75">
      <c r="A39" s="22"/>
      <c r="B39" s="22"/>
      <c r="C39" s="22"/>
      <c r="D39" s="22" t="s">
        <v>47</v>
      </c>
      <c r="E39" s="22" t="s">
        <v>167</v>
      </c>
      <c r="F39" s="22"/>
      <c r="G39" s="42">
        <v>782</v>
      </c>
      <c r="H39" s="322">
        <f>326</f>
        <v>326</v>
      </c>
      <c r="I39" s="86">
        <f>H39/G39*100</f>
        <v>41.687979539641944</v>
      </c>
    </row>
    <row r="40" spans="1:9" ht="30.75" customHeight="1">
      <c r="A40" s="22"/>
      <c r="B40" s="22"/>
      <c r="C40" s="22"/>
      <c r="D40" s="22" t="s">
        <v>24</v>
      </c>
      <c r="E40" s="351" t="s">
        <v>168</v>
      </c>
      <c r="F40" s="351"/>
      <c r="G40" s="42"/>
      <c r="H40" s="322">
        <v>1990</v>
      </c>
      <c r="I40" s="86"/>
    </row>
    <row r="41" spans="1:9" ht="15.75">
      <c r="A41" s="22"/>
      <c r="B41" s="22"/>
      <c r="C41" s="22"/>
      <c r="D41" s="22" t="s">
        <v>48</v>
      </c>
      <c r="E41" s="22" t="s">
        <v>105</v>
      </c>
      <c r="F41" s="22"/>
      <c r="G41" s="42">
        <f>280+830</f>
        <v>1110</v>
      </c>
      <c r="H41" s="322">
        <v>1052</v>
      </c>
      <c r="I41" s="86">
        <f>H41/G41*100</f>
        <v>94.77477477477477</v>
      </c>
    </row>
    <row r="42" spans="1:9" ht="15.75">
      <c r="A42" s="22"/>
      <c r="B42" s="22"/>
      <c r="C42" s="22"/>
      <c r="D42" s="22" t="s">
        <v>106</v>
      </c>
      <c r="E42" s="22" t="s">
        <v>107</v>
      </c>
      <c r="F42" s="22"/>
      <c r="G42" s="42">
        <v>709</v>
      </c>
      <c r="H42" s="322"/>
      <c r="I42" s="86"/>
    </row>
    <row r="43" spans="1:9" ht="15.75">
      <c r="A43" s="22"/>
      <c r="B43" s="22"/>
      <c r="C43" s="22"/>
      <c r="D43" s="22" t="s">
        <v>108</v>
      </c>
      <c r="E43" s="22" t="s">
        <v>109</v>
      </c>
      <c r="F43" s="22"/>
      <c r="G43" s="42">
        <v>2605</v>
      </c>
      <c r="H43" s="322">
        <f>3129-19</f>
        <v>3110</v>
      </c>
      <c r="I43" s="86">
        <f>H43/G43*100</f>
        <v>119.38579654510558</v>
      </c>
    </row>
    <row r="44" spans="1:9" ht="15.75">
      <c r="A44" s="22"/>
      <c r="B44" s="22"/>
      <c r="C44" s="22"/>
      <c r="D44" s="22" t="s">
        <v>114</v>
      </c>
      <c r="E44" s="348" t="s">
        <v>495</v>
      </c>
      <c r="F44" s="349"/>
      <c r="G44" s="42"/>
      <c r="H44" s="322">
        <v>213</v>
      </c>
      <c r="I44" s="86"/>
    </row>
    <row r="45" spans="1:9" ht="33.75" customHeight="1">
      <c r="A45" s="90"/>
      <c r="B45" s="90"/>
      <c r="C45" s="379" t="s">
        <v>110</v>
      </c>
      <c r="D45" s="379"/>
      <c r="E45" s="379"/>
      <c r="F45" s="379"/>
      <c r="G45" s="93">
        <f>SUM(G39:G44)</f>
        <v>5206</v>
      </c>
      <c r="H45" s="325">
        <f>SUM(H39:H44)</f>
        <v>6691</v>
      </c>
      <c r="I45" s="114">
        <f>H45/G45*100</f>
        <v>128.52477910103727</v>
      </c>
    </row>
    <row r="46" spans="1:9" ht="27.75" customHeight="1" thickBot="1">
      <c r="A46" s="347" t="s">
        <v>485</v>
      </c>
      <c r="B46" s="347"/>
      <c r="C46" s="347"/>
      <c r="D46" s="347"/>
      <c r="E46" s="347"/>
      <c r="F46" s="347"/>
      <c r="G46" s="347"/>
      <c r="H46" s="347"/>
      <c r="I46" s="347"/>
    </row>
    <row r="47" spans="1:9" ht="15.75">
      <c r="A47" s="358" t="s">
        <v>17</v>
      </c>
      <c r="B47" s="359"/>
      <c r="C47" s="359"/>
      <c r="D47" s="359"/>
      <c r="E47" s="359"/>
      <c r="F47" s="360"/>
      <c r="G47" s="69" t="s">
        <v>15</v>
      </c>
      <c r="H47" s="69" t="s">
        <v>15</v>
      </c>
      <c r="I47" s="69" t="s">
        <v>16</v>
      </c>
    </row>
    <row r="48" spans="1:9" ht="15.75">
      <c r="A48" s="361"/>
      <c r="B48" s="362"/>
      <c r="C48" s="362"/>
      <c r="D48" s="362"/>
      <c r="E48" s="362"/>
      <c r="F48" s="363"/>
      <c r="G48" s="70" t="s">
        <v>10</v>
      </c>
      <c r="H48" s="71" t="s">
        <v>10</v>
      </c>
      <c r="I48" s="70"/>
    </row>
    <row r="49" spans="1:9" ht="16.5" thickBot="1">
      <c r="A49" s="364"/>
      <c r="B49" s="365"/>
      <c r="C49" s="365"/>
      <c r="D49" s="365"/>
      <c r="E49" s="365"/>
      <c r="F49" s="366"/>
      <c r="G49" s="72" t="s">
        <v>67</v>
      </c>
      <c r="H49" s="72" t="s">
        <v>162</v>
      </c>
      <c r="I49" s="72" t="s">
        <v>18</v>
      </c>
    </row>
    <row r="50" spans="1:9" ht="5.25" customHeight="1">
      <c r="A50" s="22"/>
      <c r="B50" s="22"/>
      <c r="C50" s="22"/>
      <c r="D50" s="22"/>
      <c r="E50" s="22"/>
      <c r="F50" s="22"/>
      <c r="G50" s="42"/>
      <c r="H50" s="42"/>
      <c r="I50" s="86"/>
    </row>
    <row r="51" spans="1:9" ht="31.5" customHeight="1">
      <c r="A51" s="22"/>
      <c r="B51" s="22"/>
      <c r="C51" s="19" t="s">
        <v>106</v>
      </c>
      <c r="D51" s="350" t="s">
        <v>111</v>
      </c>
      <c r="E51" s="350"/>
      <c r="F51" s="350"/>
      <c r="G51" s="85"/>
      <c r="H51" s="85"/>
      <c r="I51" s="84"/>
    </row>
    <row r="52" spans="1:9" ht="15.75">
      <c r="A52" s="22"/>
      <c r="B52" s="22"/>
      <c r="C52" s="22"/>
      <c r="D52" s="22" t="s">
        <v>47</v>
      </c>
      <c r="E52" s="351" t="s">
        <v>60</v>
      </c>
      <c r="F52" s="351"/>
      <c r="G52" s="88"/>
      <c r="H52" s="88"/>
      <c r="I52" s="87"/>
    </row>
    <row r="53" spans="1:9" ht="31.5">
      <c r="A53" s="22"/>
      <c r="B53" s="22"/>
      <c r="C53" s="22"/>
      <c r="D53" s="22"/>
      <c r="E53" s="22" t="s">
        <v>65</v>
      </c>
      <c r="F53" s="87" t="s">
        <v>112</v>
      </c>
      <c r="G53" s="42">
        <v>808</v>
      </c>
      <c r="H53" s="88">
        <v>1200</v>
      </c>
      <c r="I53" s="86">
        <f>H53/G53*100</f>
        <v>148.5148514851485</v>
      </c>
    </row>
    <row r="54" spans="1:9" ht="3.75" customHeight="1">
      <c r="A54" s="22"/>
      <c r="B54" s="22"/>
      <c r="C54" s="22"/>
      <c r="D54" s="22"/>
      <c r="E54" s="22"/>
      <c r="F54" s="22"/>
      <c r="G54" s="42"/>
      <c r="H54" s="42"/>
      <c r="I54" s="86"/>
    </row>
    <row r="55" spans="1:9" ht="15.75">
      <c r="A55" s="90"/>
      <c r="B55" s="90"/>
      <c r="C55" s="367" t="s">
        <v>113</v>
      </c>
      <c r="D55" s="367"/>
      <c r="E55" s="367"/>
      <c r="F55" s="367"/>
      <c r="G55" s="93">
        <f>SUM(G53:G54)</f>
        <v>808</v>
      </c>
      <c r="H55" s="93">
        <f>SUM(H53:H54)</f>
        <v>1200</v>
      </c>
      <c r="I55" s="114">
        <f>H55/G55*100</f>
        <v>148.5148514851485</v>
      </c>
    </row>
    <row r="56" spans="1:9" ht="4.5" customHeight="1">
      <c r="A56" s="22"/>
      <c r="B56" s="22"/>
      <c r="C56" s="22"/>
      <c r="D56" s="22"/>
      <c r="E56" s="22"/>
      <c r="F56" s="22"/>
      <c r="G56" s="42"/>
      <c r="H56" s="42"/>
      <c r="I56" s="86"/>
    </row>
    <row r="57" spans="1:9" ht="15.75">
      <c r="A57" s="22"/>
      <c r="B57" s="22"/>
      <c r="C57" s="19" t="s">
        <v>108</v>
      </c>
      <c r="D57" s="350" t="s">
        <v>414</v>
      </c>
      <c r="E57" s="350"/>
      <c r="F57" s="350"/>
      <c r="G57" s="85"/>
      <c r="H57" s="85"/>
      <c r="I57" s="84"/>
    </row>
    <row r="58" spans="1:9" ht="15.75">
      <c r="A58" s="22"/>
      <c r="B58" s="22"/>
      <c r="C58" s="22"/>
      <c r="D58" s="22" t="s">
        <v>47</v>
      </c>
      <c r="E58" s="351" t="s">
        <v>415</v>
      </c>
      <c r="F58" s="351"/>
      <c r="G58" s="88"/>
      <c r="H58" s="88">
        <f>186+151</f>
        <v>337</v>
      </c>
      <c r="I58" s="87"/>
    </row>
    <row r="59" spans="1:9" ht="3.75" customHeight="1">
      <c r="A59" s="22"/>
      <c r="B59" s="22"/>
      <c r="C59" s="22"/>
      <c r="D59" s="22"/>
      <c r="E59" s="99"/>
      <c r="F59" s="99"/>
      <c r="G59" s="88"/>
      <c r="H59" s="88"/>
      <c r="I59" s="87"/>
    </row>
    <row r="60" spans="1:9" ht="15.75">
      <c r="A60" s="90"/>
      <c r="B60" s="90"/>
      <c r="C60" s="367" t="s">
        <v>416</v>
      </c>
      <c r="D60" s="367"/>
      <c r="E60" s="367"/>
      <c r="F60" s="367"/>
      <c r="G60" s="93"/>
      <c r="H60" s="93">
        <f>H58</f>
        <v>337</v>
      </c>
      <c r="I60" s="114"/>
    </row>
    <row r="61" spans="1:9" ht="5.25" customHeight="1">
      <c r="A61" s="22"/>
      <c r="B61" s="22"/>
      <c r="C61" s="22"/>
      <c r="D61" s="22"/>
      <c r="E61" s="22"/>
      <c r="F61" s="22"/>
      <c r="G61" s="42"/>
      <c r="H61" s="42"/>
      <c r="I61" s="86"/>
    </row>
    <row r="62" spans="1:9" ht="15.75">
      <c r="A62" s="96"/>
      <c r="B62" s="96"/>
      <c r="C62" s="100" t="s">
        <v>114</v>
      </c>
      <c r="D62" s="19" t="s">
        <v>115</v>
      </c>
      <c r="E62" s="96"/>
      <c r="F62" s="96"/>
      <c r="G62" s="101"/>
      <c r="H62" s="101"/>
      <c r="I62" s="86"/>
    </row>
    <row r="63" spans="1:9" ht="15.75">
      <c r="A63" s="96"/>
      <c r="B63" s="96"/>
      <c r="C63" s="96"/>
      <c r="D63" s="96" t="s">
        <v>47</v>
      </c>
      <c r="E63" s="354" t="s">
        <v>116</v>
      </c>
      <c r="F63" s="354"/>
      <c r="G63" s="101">
        <v>280</v>
      </c>
      <c r="H63" s="101"/>
      <c r="I63" s="86"/>
    </row>
    <row r="64" spans="1:9" ht="15.75">
      <c r="A64" s="96"/>
      <c r="B64" s="96"/>
      <c r="C64" s="8"/>
      <c r="D64" s="96" t="s">
        <v>24</v>
      </c>
      <c r="E64" s="102" t="s">
        <v>117</v>
      </c>
      <c r="F64" s="96"/>
      <c r="G64" s="101">
        <v>21</v>
      </c>
      <c r="H64" s="101"/>
      <c r="I64" s="86"/>
    </row>
    <row r="65" spans="1:9" ht="12" customHeight="1">
      <c r="A65" s="22"/>
      <c r="B65" s="22"/>
      <c r="C65" s="22"/>
      <c r="D65" s="22"/>
      <c r="E65" s="22"/>
      <c r="F65" s="22"/>
      <c r="G65" s="42"/>
      <c r="H65" s="42"/>
      <c r="I65" s="86"/>
    </row>
    <row r="66" spans="1:9" ht="15.75">
      <c r="A66" s="22"/>
      <c r="B66" s="22"/>
      <c r="C66" s="90" t="s">
        <v>163</v>
      </c>
      <c r="D66" s="22"/>
      <c r="E66" s="22"/>
      <c r="F66" s="22"/>
      <c r="G66" s="93">
        <f>SUM(G63:G65)</f>
        <v>301</v>
      </c>
      <c r="H66" s="93"/>
      <c r="I66" s="86"/>
    </row>
    <row r="67" spans="1:9" ht="12" customHeight="1">
      <c r="A67" s="22"/>
      <c r="B67" s="22"/>
      <c r="C67" s="19"/>
      <c r="D67" s="22"/>
      <c r="E67" s="22"/>
      <c r="F67" s="22"/>
      <c r="G67" s="42"/>
      <c r="H67" s="42"/>
      <c r="I67" s="86"/>
    </row>
    <row r="68" spans="1:9" ht="15.75">
      <c r="A68" s="96"/>
      <c r="B68" s="350" t="s">
        <v>118</v>
      </c>
      <c r="C68" s="350"/>
      <c r="D68" s="350"/>
      <c r="E68" s="350"/>
      <c r="F68" s="350"/>
      <c r="G68" s="103">
        <f>G36+G45+G55+G66</f>
        <v>24093</v>
      </c>
      <c r="H68" s="103">
        <f>H36+H45+H55+H66+H60</f>
        <v>26297</v>
      </c>
      <c r="I68" s="104">
        <f>H68/G68*100</f>
        <v>109.14788527788156</v>
      </c>
    </row>
    <row r="69" spans="1:9" ht="12" customHeight="1">
      <c r="A69" s="22"/>
      <c r="B69" s="22"/>
      <c r="C69" s="22"/>
      <c r="D69" s="22"/>
      <c r="E69" s="22"/>
      <c r="F69" s="22"/>
      <c r="G69" s="42"/>
      <c r="H69" s="42"/>
      <c r="I69" s="86"/>
    </row>
    <row r="70" spans="1:9" ht="15.75">
      <c r="A70" s="96"/>
      <c r="B70" s="19" t="s">
        <v>58</v>
      </c>
      <c r="C70" s="350" t="s">
        <v>119</v>
      </c>
      <c r="D70" s="350"/>
      <c r="E70" s="350"/>
      <c r="F70" s="350"/>
      <c r="G70" s="84"/>
      <c r="H70" s="85"/>
      <c r="I70" s="86"/>
    </row>
    <row r="71" spans="1:9" ht="31.5" customHeight="1">
      <c r="A71" s="96"/>
      <c r="B71" s="96"/>
      <c r="C71" s="8" t="s">
        <v>47</v>
      </c>
      <c r="D71" s="352" t="s">
        <v>86</v>
      </c>
      <c r="E71" s="352"/>
      <c r="F71" s="352"/>
      <c r="G71" s="101">
        <v>7433</v>
      </c>
      <c r="H71" s="101"/>
      <c r="I71" s="86"/>
    </row>
    <row r="72" spans="1:9" ht="15.75">
      <c r="A72" s="22"/>
      <c r="B72" s="22"/>
      <c r="C72" s="22" t="s">
        <v>24</v>
      </c>
      <c r="D72" s="22" t="s">
        <v>120</v>
      </c>
      <c r="E72" s="22"/>
      <c r="F72" s="22"/>
      <c r="G72" s="101">
        <v>437</v>
      </c>
      <c r="H72" s="42">
        <f>633+714+360</f>
        <v>1707</v>
      </c>
      <c r="I72" s="86"/>
    </row>
    <row r="73" spans="1:9" ht="30" customHeight="1">
      <c r="A73" s="22"/>
      <c r="B73" s="22"/>
      <c r="C73" s="22" t="s">
        <v>48</v>
      </c>
      <c r="D73" s="352" t="s">
        <v>409</v>
      </c>
      <c r="E73" s="352"/>
      <c r="F73" s="352"/>
      <c r="G73" s="101"/>
      <c r="H73" s="42">
        <v>46</v>
      </c>
      <c r="I73" s="86"/>
    </row>
    <row r="74" spans="1:9" ht="17.25" customHeight="1">
      <c r="A74" s="22"/>
      <c r="B74" s="22"/>
      <c r="C74" s="22" t="s">
        <v>106</v>
      </c>
      <c r="D74" s="348" t="s">
        <v>496</v>
      </c>
      <c r="E74" s="349"/>
      <c r="F74" s="349"/>
      <c r="G74" s="42"/>
      <c r="H74" s="42">
        <v>68</v>
      </c>
      <c r="I74" s="86"/>
    </row>
    <row r="75" spans="1:9" ht="15.75" customHeight="1">
      <c r="A75" s="96"/>
      <c r="B75" s="350" t="s">
        <v>121</v>
      </c>
      <c r="C75" s="350"/>
      <c r="D75" s="350"/>
      <c r="E75" s="350"/>
      <c r="F75" s="350"/>
      <c r="G75" s="103">
        <f>SUM(G71:G74)</f>
        <v>7870</v>
      </c>
      <c r="H75" s="103">
        <f>SUM(H71:H74)</f>
        <v>1821</v>
      </c>
      <c r="I75" s="104"/>
    </row>
    <row r="76" spans="1:9" ht="5.25" customHeight="1">
      <c r="A76" s="22"/>
      <c r="B76" s="22"/>
      <c r="C76" s="22"/>
      <c r="D76" s="22"/>
      <c r="E76" s="22"/>
      <c r="F76" s="22"/>
      <c r="G76" s="42"/>
      <c r="H76" s="42"/>
      <c r="I76" s="86"/>
    </row>
    <row r="77" spans="1:9" ht="36" customHeight="1">
      <c r="A77" s="350" t="s">
        <v>122</v>
      </c>
      <c r="B77" s="350"/>
      <c r="C77" s="350"/>
      <c r="D77" s="350"/>
      <c r="E77" s="350"/>
      <c r="F77" s="350"/>
      <c r="G77" s="105">
        <f>G75+G68</f>
        <v>31963</v>
      </c>
      <c r="H77" s="105">
        <f>H75+H68</f>
        <v>28118</v>
      </c>
      <c r="I77" s="86">
        <f>H77/G77*100</f>
        <v>87.97046585114037</v>
      </c>
    </row>
    <row r="78" spans="1:9" ht="5.25" customHeight="1">
      <c r="A78" s="22"/>
      <c r="B78" s="22"/>
      <c r="C78" s="22"/>
      <c r="D78" s="22"/>
      <c r="E78" s="22"/>
      <c r="F78" s="22"/>
      <c r="G78" s="42"/>
      <c r="H78" s="42"/>
      <c r="I78" s="86"/>
    </row>
    <row r="79" spans="1:9" s="73" customFormat="1" ht="15.75" customHeight="1">
      <c r="A79" s="19" t="s">
        <v>58</v>
      </c>
      <c r="B79" s="350" t="s">
        <v>123</v>
      </c>
      <c r="C79" s="350"/>
      <c r="D79" s="350"/>
      <c r="E79" s="350"/>
      <c r="F79" s="350"/>
      <c r="G79" s="84"/>
      <c r="H79" s="85"/>
      <c r="I79" s="86"/>
    </row>
    <row r="80" spans="1:9" ht="4.5" customHeight="1">
      <c r="A80" s="22"/>
      <c r="B80" s="22"/>
      <c r="C80" s="22"/>
      <c r="D80" s="22"/>
      <c r="E80" s="22"/>
      <c r="F80" s="22"/>
      <c r="G80" s="42"/>
      <c r="H80" s="42"/>
      <c r="I80" s="86"/>
    </row>
    <row r="81" spans="1:9" s="73" customFormat="1" ht="27.75" customHeight="1">
      <c r="A81" s="22"/>
      <c r="B81" s="19" t="s">
        <v>47</v>
      </c>
      <c r="C81" s="350" t="s">
        <v>124</v>
      </c>
      <c r="D81" s="350"/>
      <c r="E81" s="350"/>
      <c r="F81" s="350"/>
      <c r="G81" s="84"/>
      <c r="H81" s="85"/>
      <c r="I81" s="86"/>
    </row>
    <row r="82" spans="3:9" ht="35.25" customHeight="1">
      <c r="C82" s="330" t="s">
        <v>47</v>
      </c>
      <c r="D82" s="352" t="s">
        <v>85</v>
      </c>
      <c r="E82" s="352"/>
      <c r="F82" s="352"/>
      <c r="G82" s="106">
        <v>4390</v>
      </c>
      <c r="H82" s="106"/>
      <c r="I82" s="10"/>
    </row>
    <row r="83" spans="3:9" ht="35.25" customHeight="1">
      <c r="C83" s="66" t="s">
        <v>24</v>
      </c>
      <c r="D83" s="352" t="s">
        <v>169</v>
      </c>
      <c r="E83" s="352"/>
      <c r="F83" s="352"/>
      <c r="G83" s="106"/>
      <c r="H83" s="106">
        <f>9743+185</f>
        <v>9928</v>
      </c>
      <c r="I83" s="10"/>
    </row>
    <row r="84" spans="1:9" ht="22.5" customHeight="1">
      <c r="A84" s="22"/>
      <c r="B84" s="22"/>
      <c r="C84" s="22" t="s">
        <v>48</v>
      </c>
      <c r="D84" s="352" t="s">
        <v>446</v>
      </c>
      <c r="E84" s="352"/>
      <c r="F84" s="352"/>
      <c r="G84" s="42"/>
      <c r="H84" s="42">
        <v>21562</v>
      </c>
      <c r="I84" s="86"/>
    </row>
    <row r="85" spans="1:9" ht="30" customHeight="1">
      <c r="A85" s="22"/>
      <c r="B85" s="22"/>
      <c r="C85" s="330" t="s">
        <v>106</v>
      </c>
      <c r="D85" s="352" t="s">
        <v>459</v>
      </c>
      <c r="E85" s="352"/>
      <c r="F85" s="352"/>
      <c r="G85" s="42"/>
      <c r="H85" s="42">
        <f>10000-10000</f>
        <v>0</v>
      </c>
      <c r="I85" s="86"/>
    </row>
    <row r="86" spans="1:9" ht="15.75">
      <c r="A86" s="96"/>
      <c r="B86" s="350" t="s">
        <v>125</v>
      </c>
      <c r="C86" s="350"/>
      <c r="D86" s="350"/>
      <c r="E86" s="350"/>
      <c r="F86" s="350"/>
      <c r="G86" s="107">
        <f>SUM(G82:G84)</f>
        <v>4390</v>
      </c>
      <c r="H86" s="107">
        <f>SUM(H82:H85)</f>
        <v>31490</v>
      </c>
      <c r="I86" s="86">
        <f>H86/G86*100</f>
        <v>717.3120728929385</v>
      </c>
    </row>
    <row r="87" spans="1:9" ht="3" customHeight="1">
      <c r="A87" s="22"/>
      <c r="B87" s="22"/>
      <c r="C87" s="22"/>
      <c r="D87" s="22"/>
      <c r="E87" s="22"/>
      <c r="F87" s="22"/>
      <c r="G87" s="42"/>
      <c r="H87" s="42"/>
      <c r="I87" s="86"/>
    </row>
    <row r="88" spans="1:9" ht="34.5" customHeight="1">
      <c r="A88" s="350" t="s">
        <v>126</v>
      </c>
      <c r="B88" s="350"/>
      <c r="C88" s="350"/>
      <c r="D88" s="350"/>
      <c r="E88" s="350"/>
      <c r="F88" s="350"/>
      <c r="G88" s="103">
        <f>G86</f>
        <v>4390</v>
      </c>
      <c r="H88" s="103">
        <f>H86</f>
        <v>31490</v>
      </c>
      <c r="I88" s="104">
        <f>H88/G88*100</f>
        <v>717.3120728929385</v>
      </c>
    </row>
    <row r="89" spans="1:9" ht="14.25" customHeight="1">
      <c r="A89" s="22"/>
      <c r="B89" s="22"/>
      <c r="C89" s="22"/>
      <c r="D89" s="22"/>
      <c r="E89" s="22"/>
      <c r="F89" s="22"/>
      <c r="G89" s="42"/>
      <c r="H89" s="42"/>
      <c r="I89" s="86"/>
    </row>
    <row r="90" spans="1:9" ht="13.5" customHeight="1">
      <c r="A90" s="19" t="s">
        <v>59</v>
      </c>
      <c r="B90" s="19" t="s">
        <v>127</v>
      </c>
      <c r="C90" s="19"/>
      <c r="D90" s="19"/>
      <c r="E90" s="19"/>
      <c r="F90" s="19"/>
      <c r="G90" s="19"/>
      <c r="H90" s="43"/>
      <c r="I90" s="86"/>
    </row>
    <row r="91" spans="1:9" ht="3.75" customHeight="1" hidden="1">
      <c r="A91" s="22"/>
      <c r="B91" s="22"/>
      <c r="C91" s="22"/>
      <c r="D91" s="22"/>
      <c r="E91" s="22"/>
      <c r="F91" s="22"/>
      <c r="G91" s="42"/>
      <c r="H91" s="42"/>
      <c r="I91" s="86"/>
    </row>
    <row r="92" spans="1:9" ht="24.75" customHeight="1">
      <c r="A92" s="22"/>
      <c r="B92" s="22" t="s">
        <v>47</v>
      </c>
      <c r="C92" s="22" t="s">
        <v>128</v>
      </c>
      <c r="D92" s="22"/>
      <c r="E92" s="22"/>
      <c r="F92" s="22"/>
      <c r="G92" s="22"/>
      <c r="H92" s="42"/>
      <c r="I92" s="86"/>
    </row>
    <row r="93" spans="1:9" ht="27" customHeight="1">
      <c r="A93" s="22"/>
      <c r="B93" s="22"/>
      <c r="C93" s="22" t="s">
        <v>47</v>
      </c>
      <c r="D93" s="22" t="s">
        <v>129</v>
      </c>
      <c r="E93" s="22"/>
      <c r="F93" s="22"/>
      <c r="G93" s="101">
        <v>1600</v>
      </c>
      <c r="H93" s="42">
        <v>1500</v>
      </c>
      <c r="I93" s="86">
        <f>H93/G93*100</f>
        <v>93.75</v>
      </c>
    </row>
    <row r="94" spans="1:9" ht="16.5" thickBot="1">
      <c r="A94" s="357" t="s">
        <v>486</v>
      </c>
      <c r="B94" s="357"/>
      <c r="C94" s="357"/>
      <c r="D94" s="357"/>
      <c r="E94" s="357"/>
      <c r="F94" s="357"/>
      <c r="G94" s="357"/>
      <c r="H94" s="357"/>
      <c r="I94" s="357"/>
    </row>
    <row r="95" spans="1:9" ht="15.75" customHeight="1">
      <c r="A95" s="358" t="s">
        <v>17</v>
      </c>
      <c r="B95" s="359"/>
      <c r="C95" s="359"/>
      <c r="D95" s="359"/>
      <c r="E95" s="359"/>
      <c r="F95" s="360"/>
      <c r="G95" s="94" t="s">
        <v>15</v>
      </c>
      <c r="H95" s="94" t="s">
        <v>15</v>
      </c>
      <c r="I95" s="95" t="s">
        <v>16</v>
      </c>
    </row>
    <row r="96" spans="1:9" ht="15.75">
      <c r="A96" s="361"/>
      <c r="B96" s="362"/>
      <c r="C96" s="362"/>
      <c r="D96" s="362"/>
      <c r="E96" s="362"/>
      <c r="F96" s="363"/>
      <c r="G96" s="97" t="s">
        <v>10</v>
      </c>
      <c r="H96" s="97" t="s">
        <v>10</v>
      </c>
      <c r="I96" s="70"/>
    </row>
    <row r="97" spans="1:9" s="73" customFormat="1" ht="15.75" customHeight="1" thickBot="1">
      <c r="A97" s="364"/>
      <c r="B97" s="365"/>
      <c r="C97" s="365"/>
      <c r="D97" s="365"/>
      <c r="E97" s="365"/>
      <c r="F97" s="366"/>
      <c r="G97" s="98" t="s">
        <v>67</v>
      </c>
      <c r="H97" s="98" t="s">
        <v>252</v>
      </c>
      <c r="I97" s="72" t="s">
        <v>18</v>
      </c>
    </row>
    <row r="98" spans="1:9" ht="15.75">
      <c r="A98" s="19"/>
      <c r="B98" s="19" t="s">
        <v>24</v>
      </c>
      <c r="C98" s="19" t="s">
        <v>130</v>
      </c>
      <c r="D98" s="19"/>
      <c r="E98" s="19"/>
      <c r="F98" s="19"/>
      <c r="G98" s="19"/>
      <c r="H98" s="43"/>
      <c r="I98" s="86"/>
    </row>
    <row r="99" spans="1:9" s="9" customFormat="1" ht="15.75">
      <c r="A99" s="22"/>
      <c r="B99" s="22"/>
      <c r="C99" s="22" t="s">
        <v>47</v>
      </c>
      <c r="D99" s="22" t="s">
        <v>131</v>
      </c>
      <c r="E99" s="22"/>
      <c r="F99" s="22"/>
      <c r="G99" s="101">
        <v>4500</v>
      </c>
      <c r="H99" s="42">
        <v>3900</v>
      </c>
      <c r="I99" s="86">
        <f>H99/G99*100</f>
        <v>86.66666666666667</v>
      </c>
    </row>
    <row r="100" spans="1:9" ht="15.75">
      <c r="A100" s="19"/>
      <c r="B100" s="19" t="s">
        <v>48</v>
      </c>
      <c r="C100" s="19" t="s">
        <v>132</v>
      </c>
      <c r="D100" s="19"/>
      <c r="E100" s="19"/>
      <c r="F100" s="19"/>
      <c r="G100" s="101"/>
      <c r="H100" s="43"/>
      <c r="I100" s="86"/>
    </row>
    <row r="101" spans="1:9" ht="15.75">
      <c r="A101" s="22"/>
      <c r="B101" s="22"/>
      <c r="C101" s="22" t="s">
        <v>47</v>
      </c>
      <c r="D101" s="22" t="s">
        <v>133</v>
      </c>
      <c r="E101" s="22"/>
      <c r="F101" s="22"/>
      <c r="G101" s="101">
        <v>1760</v>
      </c>
      <c r="H101" s="42">
        <v>1913</v>
      </c>
      <c r="I101" s="86">
        <f>H101/G101*100</f>
        <v>108.69318181818181</v>
      </c>
    </row>
    <row r="102" spans="1:9" ht="15.75">
      <c r="A102" s="22"/>
      <c r="B102" s="19" t="s">
        <v>106</v>
      </c>
      <c r="C102" s="19" t="s">
        <v>134</v>
      </c>
      <c r="D102" s="22"/>
      <c r="E102" s="22"/>
      <c r="F102" s="22"/>
      <c r="G102" s="101"/>
      <c r="H102" s="42"/>
      <c r="I102" s="86"/>
    </row>
    <row r="103" spans="1:9" ht="15.75">
      <c r="A103" s="22"/>
      <c r="B103" s="22"/>
      <c r="C103" s="22" t="s">
        <v>47</v>
      </c>
      <c r="D103" s="22" t="s">
        <v>135</v>
      </c>
      <c r="E103" s="22"/>
      <c r="F103" s="22"/>
      <c r="G103" s="101">
        <v>400</v>
      </c>
      <c r="H103" s="42">
        <v>140</v>
      </c>
      <c r="I103" s="86">
        <f>H103/G103*100</f>
        <v>35</v>
      </c>
    </row>
    <row r="104" spans="1:9" ht="15.75">
      <c r="A104" s="22"/>
      <c r="B104" s="22"/>
      <c r="C104" s="19" t="s">
        <v>24</v>
      </c>
      <c r="D104" s="22" t="s">
        <v>84</v>
      </c>
      <c r="E104" s="22"/>
      <c r="F104" s="22"/>
      <c r="G104" s="101">
        <v>357</v>
      </c>
      <c r="H104" s="42">
        <v>280</v>
      </c>
      <c r="I104" s="86">
        <f>H104/G104*100</f>
        <v>78.43137254901961</v>
      </c>
    </row>
    <row r="105" spans="1:9" ht="15.75">
      <c r="A105" s="19"/>
      <c r="B105" s="19" t="s">
        <v>108</v>
      </c>
      <c r="C105" s="19" t="s">
        <v>136</v>
      </c>
      <c r="D105" s="19"/>
      <c r="E105" s="19"/>
      <c r="F105" s="19"/>
      <c r="G105" s="101"/>
      <c r="H105" s="43"/>
      <c r="I105" s="86"/>
    </row>
    <row r="106" spans="1:9" ht="15.75">
      <c r="A106" s="22"/>
      <c r="B106" s="22"/>
      <c r="C106" s="19" t="s">
        <v>47</v>
      </c>
      <c r="D106" s="22" t="s">
        <v>137</v>
      </c>
      <c r="E106" s="22"/>
      <c r="F106" s="22"/>
      <c r="G106" s="101">
        <v>30</v>
      </c>
      <c r="H106" s="42">
        <v>5</v>
      </c>
      <c r="I106" s="86">
        <f>H106/G106*100</f>
        <v>16.666666666666664</v>
      </c>
    </row>
    <row r="107" spans="1:9" ht="15.75" customHeight="1">
      <c r="A107" s="96"/>
      <c r="B107" s="96"/>
      <c r="C107" s="96" t="s">
        <v>48</v>
      </c>
      <c r="D107" s="102" t="s">
        <v>136</v>
      </c>
      <c r="E107" s="96"/>
      <c r="F107" s="96"/>
      <c r="G107" s="101">
        <v>30</v>
      </c>
      <c r="H107" s="101"/>
      <c r="I107" s="86"/>
    </row>
    <row r="108" spans="1:9" ht="15.75">
      <c r="A108" s="22"/>
      <c r="B108" s="22"/>
      <c r="C108" s="19" t="s">
        <v>106</v>
      </c>
      <c r="D108" s="22" t="s">
        <v>138</v>
      </c>
      <c r="E108" s="22"/>
      <c r="F108" s="22"/>
      <c r="G108" s="101">
        <v>120</v>
      </c>
      <c r="H108" s="42">
        <v>75</v>
      </c>
      <c r="I108" s="86">
        <f>H108/G108*100</f>
        <v>62.5</v>
      </c>
    </row>
    <row r="109" spans="1:9" ht="9" customHeight="1">
      <c r="A109" s="96"/>
      <c r="B109" s="96"/>
      <c r="C109" s="96"/>
      <c r="D109" s="96"/>
      <c r="E109" s="96"/>
      <c r="F109" s="96"/>
      <c r="G109" s="101"/>
      <c r="H109" s="101"/>
      <c r="I109" s="86"/>
    </row>
    <row r="110" spans="1:9" s="9" customFormat="1" ht="15.75">
      <c r="A110" s="19" t="s">
        <v>68</v>
      </c>
      <c r="B110" s="96"/>
      <c r="C110" s="96"/>
      <c r="D110" s="96"/>
      <c r="E110" s="96"/>
      <c r="F110" s="96"/>
      <c r="G110" s="103">
        <f>G93+G99+G101+G103+G104+G106+G107+G108</f>
        <v>8797</v>
      </c>
      <c r="H110" s="103">
        <f>H93+H99+H101+H103+H104+H106+H107+H108</f>
        <v>7813</v>
      </c>
      <c r="I110" s="104">
        <f>H110/G110*100</f>
        <v>88.81436853472775</v>
      </c>
    </row>
    <row r="111" spans="1:9" ht="9" customHeight="1">
      <c r="A111" s="96"/>
      <c r="B111" s="96"/>
      <c r="C111" s="96"/>
      <c r="D111" s="96"/>
      <c r="E111" s="96"/>
      <c r="F111" s="96"/>
      <c r="G111" s="101"/>
      <c r="H111" s="101"/>
      <c r="I111" s="86"/>
    </row>
    <row r="112" spans="1:9" ht="15.75">
      <c r="A112" s="19" t="s">
        <v>139</v>
      </c>
      <c r="B112" s="19" t="s">
        <v>61</v>
      </c>
      <c r="C112" s="19"/>
      <c r="D112" s="19"/>
      <c r="E112" s="19"/>
      <c r="F112" s="19"/>
      <c r="G112" s="19"/>
      <c r="H112" s="43"/>
      <c r="I112" s="86"/>
    </row>
    <row r="113" spans="1:9" ht="9" customHeight="1">
      <c r="A113" s="96"/>
      <c r="B113" s="96"/>
      <c r="C113" s="96"/>
      <c r="D113" s="96"/>
      <c r="E113" s="96"/>
      <c r="F113" s="96"/>
      <c r="G113" s="101"/>
      <c r="H113" s="101"/>
      <c r="I113" s="86"/>
    </row>
    <row r="114" spans="1:9" ht="15.75">
      <c r="A114" s="96"/>
      <c r="B114" s="96" t="s">
        <v>47</v>
      </c>
      <c r="C114" s="354" t="s">
        <v>140</v>
      </c>
      <c r="D114" s="354"/>
      <c r="E114" s="354"/>
      <c r="F114" s="354"/>
      <c r="G114" s="101"/>
      <c r="H114" s="101"/>
      <c r="I114" s="86"/>
    </row>
    <row r="115" spans="1:9" ht="15.75">
      <c r="A115" s="96"/>
      <c r="B115" s="96"/>
      <c r="C115" s="96" t="s">
        <v>47</v>
      </c>
      <c r="D115" s="102" t="s">
        <v>148</v>
      </c>
      <c r="E115" s="102"/>
      <c r="F115" s="102"/>
      <c r="G115" s="101">
        <v>183</v>
      </c>
      <c r="H115" s="101">
        <v>180</v>
      </c>
      <c r="I115" s="86">
        <f>H115/G115*100</f>
        <v>98.36065573770492</v>
      </c>
    </row>
    <row r="116" spans="1:9" ht="15.75">
      <c r="A116" s="96"/>
      <c r="B116" s="96"/>
      <c r="C116" s="96" t="s">
        <v>24</v>
      </c>
      <c r="D116" s="102" t="s">
        <v>143</v>
      </c>
      <c r="E116" s="102"/>
      <c r="F116" s="102"/>
      <c r="G116" s="101"/>
      <c r="H116" s="101"/>
      <c r="I116" s="86"/>
    </row>
    <row r="117" spans="1:9" ht="15.75">
      <c r="A117" s="96"/>
      <c r="B117" s="96"/>
      <c r="C117" s="96"/>
      <c r="D117" s="102" t="s">
        <v>47</v>
      </c>
      <c r="E117" s="102" t="s">
        <v>144</v>
      </c>
      <c r="F117" s="102"/>
      <c r="G117" s="101">
        <v>76</v>
      </c>
      <c r="H117" s="101">
        <v>20</v>
      </c>
      <c r="I117" s="86">
        <f>H117/G117*100</f>
        <v>26.31578947368421</v>
      </c>
    </row>
    <row r="118" spans="1:9" ht="15.75">
      <c r="A118" s="96"/>
      <c r="B118" s="96"/>
      <c r="C118" s="96"/>
      <c r="D118" s="102" t="s">
        <v>24</v>
      </c>
      <c r="E118" s="102" t="s">
        <v>145</v>
      </c>
      <c r="F118" s="102"/>
      <c r="G118" s="101">
        <v>381</v>
      </c>
      <c r="H118" s="101">
        <v>820</v>
      </c>
      <c r="I118" s="86">
        <f>H118/G118*100</f>
        <v>215.2230971128609</v>
      </c>
    </row>
    <row r="119" spans="1:9" ht="15.75">
      <c r="A119" s="96"/>
      <c r="B119" s="96"/>
      <c r="C119" s="96"/>
      <c r="D119" s="102" t="s">
        <v>48</v>
      </c>
      <c r="E119" s="102" t="s">
        <v>431</v>
      </c>
      <c r="F119" s="102"/>
      <c r="G119" s="101">
        <v>10</v>
      </c>
      <c r="H119" s="101">
        <v>2</v>
      </c>
      <c r="I119" s="86">
        <f>H119/G119*100</f>
        <v>20</v>
      </c>
    </row>
    <row r="120" spans="1:9" ht="15.75">
      <c r="A120" s="96"/>
      <c r="B120" s="96"/>
      <c r="C120" s="96"/>
      <c r="D120" s="102" t="s">
        <v>106</v>
      </c>
      <c r="E120" s="102" t="s">
        <v>69</v>
      </c>
      <c r="F120" s="102"/>
      <c r="G120" s="101">
        <v>8</v>
      </c>
      <c r="H120" s="101">
        <v>1</v>
      </c>
      <c r="I120" s="86">
        <f>H120/G120*100</f>
        <v>12.5</v>
      </c>
    </row>
    <row r="121" spans="1:9" ht="15.75">
      <c r="A121" s="96"/>
      <c r="B121" s="96"/>
      <c r="C121" s="96"/>
      <c r="D121" s="102" t="s">
        <v>108</v>
      </c>
      <c r="E121" s="102" t="s">
        <v>432</v>
      </c>
      <c r="F121" s="102"/>
      <c r="G121" s="101">
        <v>35</v>
      </c>
      <c r="H121" s="101">
        <v>85</v>
      </c>
      <c r="I121" s="86">
        <f>H121/G121*100</f>
        <v>242.85714285714283</v>
      </c>
    </row>
    <row r="122" spans="1:9" ht="15.75">
      <c r="A122" s="96"/>
      <c r="B122" s="96"/>
      <c r="C122" s="96" t="s">
        <v>48</v>
      </c>
      <c r="D122" s="102" t="s">
        <v>170</v>
      </c>
      <c r="E122" s="102"/>
      <c r="F122" s="102"/>
      <c r="G122" s="101"/>
      <c r="H122" s="101"/>
      <c r="I122" s="86"/>
    </row>
    <row r="123" spans="1:9" ht="15.75">
      <c r="A123" s="96"/>
      <c r="B123" s="96"/>
      <c r="D123" s="96" t="s">
        <v>47</v>
      </c>
      <c r="E123" s="102" t="s">
        <v>141</v>
      </c>
      <c r="F123" s="96"/>
      <c r="G123" s="101">
        <v>2</v>
      </c>
      <c r="H123" s="101">
        <v>40</v>
      </c>
      <c r="I123" s="86">
        <f>H123/G123*100</f>
        <v>2000</v>
      </c>
    </row>
    <row r="124" spans="1:9" ht="15.75">
      <c r="A124" s="96"/>
      <c r="B124" s="96"/>
      <c r="D124" s="96" t="s">
        <v>24</v>
      </c>
      <c r="E124" s="102" t="s">
        <v>142</v>
      </c>
      <c r="F124" s="102"/>
      <c r="G124" s="101">
        <v>1690</v>
      </c>
      <c r="H124" s="101">
        <v>1149</v>
      </c>
      <c r="I124" s="86">
        <f>H124/G124*100</f>
        <v>67.98816568047337</v>
      </c>
    </row>
    <row r="125" spans="4:9" ht="15.75">
      <c r="D125" s="66" t="s">
        <v>48</v>
      </c>
      <c r="E125" s="102" t="s">
        <v>70</v>
      </c>
      <c r="G125" s="101">
        <v>460</v>
      </c>
      <c r="H125" s="101">
        <v>340</v>
      </c>
      <c r="I125" s="86">
        <f>H125/G125*100</f>
        <v>73.91304347826086</v>
      </c>
    </row>
    <row r="126" spans="1:9" ht="15.75">
      <c r="A126" s="96"/>
      <c r="B126" s="96" t="s">
        <v>24</v>
      </c>
      <c r="C126" s="102" t="s">
        <v>146</v>
      </c>
      <c r="D126" s="102"/>
      <c r="E126" s="102"/>
      <c r="F126" s="102"/>
      <c r="G126" s="101"/>
      <c r="H126" s="101"/>
      <c r="I126" s="86"/>
    </row>
    <row r="127" spans="1:9" ht="15.75">
      <c r="A127" s="96"/>
      <c r="B127" s="96"/>
      <c r="C127" s="96" t="s">
        <v>47</v>
      </c>
      <c r="D127" s="102" t="s">
        <v>433</v>
      </c>
      <c r="E127" s="102"/>
      <c r="F127" s="102"/>
      <c r="G127" s="101">
        <v>2652</v>
      </c>
      <c r="H127" s="101">
        <f>2593+735+1130</f>
        <v>4458</v>
      </c>
      <c r="I127" s="86">
        <f>H127/G127*100</f>
        <v>168.0995475113122</v>
      </c>
    </row>
    <row r="128" spans="1:9" ht="15.75">
      <c r="A128" s="96"/>
      <c r="B128" s="96" t="s">
        <v>48</v>
      </c>
      <c r="C128" s="102" t="s">
        <v>147</v>
      </c>
      <c r="D128" s="102"/>
      <c r="E128" s="102"/>
      <c r="F128" s="102"/>
      <c r="G128" s="101"/>
      <c r="H128" s="101"/>
      <c r="I128" s="86"/>
    </row>
    <row r="129" spans="1:9" ht="15.75">
      <c r="A129" s="96"/>
      <c r="B129" s="96"/>
      <c r="C129" s="96" t="s">
        <v>47</v>
      </c>
      <c r="D129" s="102" t="s">
        <v>81</v>
      </c>
      <c r="E129" s="102"/>
      <c r="F129" s="102"/>
      <c r="G129" s="101">
        <v>1307</v>
      </c>
      <c r="H129" s="101">
        <f>1107</f>
        <v>1107</v>
      </c>
      <c r="I129" s="86">
        <f>H129/G129*100</f>
        <v>84.69778117827084</v>
      </c>
    </row>
    <row r="130" spans="1:9" ht="15.75">
      <c r="A130" s="96"/>
      <c r="B130" s="96" t="s">
        <v>106</v>
      </c>
      <c r="C130" s="102" t="s">
        <v>149</v>
      </c>
      <c r="D130" s="96"/>
      <c r="E130" s="96"/>
      <c r="F130" s="96"/>
      <c r="G130" s="101">
        <v>1722</v>
      </c>
      <c r="H130" s="101">
        <v>1489</v>
      </c>
      <c r="I130" s="86">
        <f>H130/G130*100</f>
        <v>86.46922183507549</v>
      </c>
    </row>
    <row r="131" spans="1:9" ht="15.75">
      <c r="A131" s="96"/>
      <c r="B131" s="96" t="s">
        <v>108</v>
      </c>
      <c r="C131" s="102" t="s">
        <v>150</v>
      </c>
      <c r="D131" s="96"/>
      <c r="E131" s="96"/>
      <c r="F131" s="96"/>
      <c r="G131" s="101">
        <v>642</v>
      </c>
      <c r="H131" s="101">
        <v>1409</v>
      </c>
      <c r="I131" s="86">
        <f>H131/G131*100</f>
        <v>219.47040498442368</v>
      </c>
    </row>
    <row r="132" spans="1:9" ht="15.75">
      <c r="A132" s="96"/>
      <c r="B132" s="96" t="s">
        <v>114</v>
      </c>
      <c r="C132" s="102" t="s">
        <v>151</v>
      </c>
      <c r="D132" s="96"/>
      <c r="E132" s="96"/>
      <c r="F132" s="96"/>
      <c r="G132" s="101">
        <v>100</v>
      </c>
      <c r="H132" s="101">
        <f>2+756</f>
        <v>758</v>
      </c>
      <c r="I132" s="86">
        <f>H132/G132*100</f>
        <v>758</v>
      </c>
    </row>
    <row r="133" spans="1:9" ht="9" customHeight="1">
      <c r="A133" s="96"/>
      <c r="B133" s="96"/>
      <c r="C133" s="96"/>
      <c r="D133" s="96"/>
      <c r="E133" s="96"/>
      <c r="F133" s="96"/>
      <c r="G133" s="101"/>
      <c r="H133" s="101"/>
      <c r="I133" s="86"/>
    </row>
    <row r="134" spans="1:9" ht="15.75">
      <c r="A134" s="19" t="s">
        <v>19</v>
      </c>
      <c r="B134" s="96"/>
      <c r="C134" s="96"/>
      <c r="D134" s="96"/>
      <c r="E134" s="96"/>
      <c r="F134" s="96"/>
      <c r="G134" s="103">
        <f>SUM(G114:G133)</f>
        <v>9268</v>
      </c>
      <c r="H134" s="103">
        <f>SUM(H114:H133)</f>
        <v>11858</v>
      </c>
      <c r="I134" s="104">
        <f>H134/G134*100</f>
        <v>127.94561933534743</v>
      </c>
    </row>
    <row r="135" spans="1:9" ht="9" customHeight="1">
      <c r="A135" s="96"/>
      <c r="B135" s="96"/>
      <c r="C135" s="96"/>
      <c r="D135" s="96"/>
      <c r="E135" s="96"/>
      <c r="F135" s="96"/>
      <c r="G135" s="101"/>
      <c r="H135" s="101"/>
      <c r="I135" s="86"/>
    </row>
    <row r="136" spans="1:9" ht="15.75">
      <c r="A136" s="19" t="s">
        <v>66</v>
      </c>
      <c r="B136" s="19" t="s">
        <v>152</v>
      </c>
      <c r="C136" s="19"/>
      <c r="D136" s="19"/>
      <c r="E136" s="19"/>
      <c r="F136" s="19"/>
      <c r="G136" s="19"/>
      <c r="H136" s="43"/>
      <c r="I136" s="86"/>
    </row>
    <row r="137" spans="1:9" ht="15.75">
      <c r="A137" s="22"/>
      <c r="B137" s="22" t="s">
        <v>47</v>
      </c>
      <c r="C137" s="351" t="s">
        <v>153</v>
      </c>
      <c r="D137" s="351"/>
      <c r="E137" s="351"/>
      <c r="F137" s="351"/>
      <c r="G137" s="87"/>
      <c r="H137" s="88"/>
      <c r="I137" s="86"/>
    </row>
    <row r="138" spans="1:9" ht="30" customHeight="1">
      <c r="A138" s="22"/>
      <c r="B138" s="22"/>
      <c r="C138" s="99" t="s">
        <v>47</v>
      </c>
      <c r="D138" s="351" t="s">
        <v>154</v>
      </c>
      <c r="E138" s="351"/>
      <c r="F138" s="351"/>
      <c r="G138" s="101">
        <v>93</v>
      </c>
      <c r="H138" s="108">
        <v>92</v>
      </c>
      <c r="I138" s="86">
        <f>H138/G138*100</f>
        <v>98.9247311827957</v>
      </c>
    </row>
    <row r="139" spans="1:9" ht="30" customHeight="1">
      <c r="A139" s="22"/>
      <c r="B139" s="22"/>
      <c r="C139" s="99" t="s">
        <v>24</v>
      </c>
      <c r="D139" s="351" t="s">
        <v>434</v>
      </c>
      <c r="E139" s="351"/>
      <c r="F139" s="351"/>
      <c r="G139" s="101"/>
      <c r="H139" s="108">
        <f>26215-12586-756+13158</f>
        <v>26031</v>
      </c>
      <c r="I139" s="86"/>
    </row>
    <row r="140" spans="1:9" ht="30" customHeight="1">
      <c r="A140" s="22"/>
      <c r="B140" s="22"/>
      <c r="C140" s="99" t="s">
        <v>48</v>
      </c>
      <c r="D140" s="351" t="s">
        <v>457</v>
      </c>
      <c r="E140" s="351"/>
      <c r="F140" s="351"/>
      <c r="G140" s="101"/>
      <c r="H140" s="108">
        <v>10000</v>
      </c>
      <c r="I140" s="86"/>
    </row>
    <row r="141" spans="1:9" ht="9" customHeight="1">
      <c r="A141" s="96"/>
      <c r="B141" s="96"/>
      <c r="C141" s="96"/>
      <c r="D141" s="22"/>
      <c r="E141" s="96"/>
      <c r="F141" s="96"/>
      <c r="G141" s="101"/>
      <c r="H141" s="101"/>
      <c r="I141" s="86"/>
    </row>
    <row r="142" spans="1:9" ht="15.75">
      <c r="A142" s="353" t="s">
        <v>155</v>
      </c>
      <c r="B142" s="353"/>
      <c r="C142" s="353"/>
      <c r="D142" s="353"/>
      <c r="E142" s="353"/>
      <c r="F142" s="353"/>
      <c r="G142" s="109">
        <f>SUM(G138:G141)</f>
        <v>93</v>
      </c>
      <c r="H142" s="109">
        <f>SUM(H138:H141)</f>
        <v>36123</v>
      </c>
      <c r="I142" s="104">
        <f>H142/G142*100</f>
        <v>38841.93548387097</v>
      </c>
    </row>
    <row r="143" spans="1:9" ht="9" customHeight="1">
      <c r="A143" s="96"/>
      <c r="B143" s="96"/>
      <c r="C143" s="96"/>
      <c r="D143" s="96"/>
      <c r="E143" s="96"/>
      <c r="F143" s="96"/>
      <c r="G143" s="101"/>
      <c r="H143" s="101"/>
      <c r="I143" s="86"/>
    </row>
    <row r="144" spans="1:9" ht="16.5">
      <c r="A144" s="110" t="s">
        <v>156</v>
      </c>
      <c r="B144" s="110"/>
      <c r="C144" s="110"/>
      <c r="D144" s="110"/>
      <c r="E144" s="110"/>
      <c r="F144" s="110"/>
      <c r="G144" s="109">
        <f>G142+G134+G110+G88+G77</f>
        <v>54511</v>
      </c>
      <c r="H144" s="109">
        <f>H142+H134+H110+H88+H77</f>
        <v>115402</v>
      </c>
      <c r="I144" s="104">
        <f>H144/G144*100</f>
        <v>211.70405973106347</v>
      </c>
    </row>
    <row r="145" spans="1:9" ht="16.5">
      <c r="A145" s="110"/>
      <c r="B145" s="110"/>
      <c r="C145" s="110"/>
      <c r="D145" s="110"/>
      <c r="E145" s="110"/>
      <c r="F145" s="110"/>
      <c r="G145" s="109"/>
      <c r="H145" s="109"/>
      <c r="I145" s="104"/>
    </row>
    <row r="146" spans="1:9" ht="16.5">
      <c r="A146" s="110"/>
      <c r="B146" s="110"/>
      <c r="C146" s="110"/>
      <c r="D146" s="110"/>
      <c r="E146" s="110"/>
      <c r="F146" s="110"/>
      <c r="G146" s="109"/>
      <c r="H146" s="109"/>
      <c r="I146" s="104"/>
    </row>
    <row r="147" spans="1:9" ht="16.5" customHeight="1">
      <c r="A147" s="355" t="s">
        <v>497</v>
      </c>
      <c r="B147" s="355"/>
      <c r="C147" s="355"/>
      <c r="D147" s="355"/>
      <c r="E147" s="355"/>
      <c r="F147" s="355"/>
      <c r="G147" s="355"/>
      <c r="H147" s="355"/>
      <c r="I147" s="355"/>
    </row>
    <row r="148" spans="1:9" ht="6.75" customHeight="1" thickBot="1">
      <c r="A148" s="356"/>
      <c r="B148" s="356"/>
      <c r="C148" s="356"/>
      <c r="D148" s="356"/>
      <c r="E148" s="356"/>
      <c r="F148" s="356"/>
      <c r="G148" s="356"/>
      <c r="H148" s="356"/>
      <c r="I148" s="356"/>
    </row>
    <row r="149" spans="1:9" ht="15.75" customHeight="1">
      <c r="A149" s="358" t="s">
        <v>17</v>
      </c>
      <c r="B149" s="359"/>
      <c r="C149" s="359"/>
      <c r="D149" s="359"/>
      <c r="E149" s="359"/>
      <c r="F149" s="360"/>
      <c r="G149" s="94" t="s">
        <v>15</v>
      </c>
      <c r="H149" s="94" t="s">
        <v>15</v>
      </c>
      <c r="I149" s="95" t="s">
        <v>16</v>
      </c>
    </row>
    <row r="150" spans="1:9" ht="15.75">
      <c r="A150" s="361"/>
      <c r="B150" s="362"/>
      <c r="C150" s="362"/>
      <c r="D150" s="362"/>
      <c r="E150" s="362"/>
      <c r="F150" s="363"/>
      <c r="G150" s="97" t="s">
        <v>10</v>
      </c>
      <c r="H150" s="97" t="s">
        <v>10</v>
      </c>
      <c r="I150" s="70"/>
    </row>
    <row r="151" spans="1:9" s="73" customFormat="1" ht="15.75" customHeight="1" thickBot="1">
      <c r="A151" s="364"/>
      <c r="B151" s="365"/>
      <c r="C151" s="365"/>
      <c r="D151" s="365"/>
      <c r="E151" s="365"/>
      <c r="F151" s="366"/>
      <c r="G151" s="98" t="s">
        <v>67</v>
      </c>
      <c r="H151" s="98" t="s">
        <v>252</v>
      </c>
      <c r="I151" s="72" t="s">
        <v>18</v>
      </c>
    </row>
    <row r="152" spans="1:9" ht="16.5">
      <c r="A152" s="110"/>
      <c r="B152" s="110"/>
      <c r="C152" s="110"/>
      <c r="D152" s="110"/>
      <c r="E152" s="110"/>
      <c r="F152" s="110"/>
      <c r="G152" s="111"/>
      <c r="H152" s="111"/>
      <c r="I152" s="104"/>
    </row>
    <row r="153" spans="1:9" ht="15.75">
      <c r="A153" s="112" t="s">
        <v>157</v>
      </c>
      <c r="B153" s="350" t="s">
        <v>158</v>
      </c>
      <c r="C153" s="350"/>
      <c r="D153" s="350"/>
      <c r="E153" s="350"/>
      <c r="F153" s="350"/>
      <c r="G153" s="19"/>
      <c r="H153" s="88"/>
      <c r="I153" s="86"/>
    </row>
    <row r="154" spans="1:9" ht="15.75">
      <c r="A154" s="19"/>
      <c r="B154" s="83" t="s">
        <v>47</v>
      </c>
      <c r="C154" s="350" t="s">
        <v>159</v>
      </c>
      <c r="D154" s="350"/>
      <c r="E154" s="350"/>
      <c r="F154" s="350"/>
      <c r="G154" s="101"/>
      <c r="H154" s="88"/>
      <c r="I154" s="86"/>
    </row>
    <row r="155" spans="1:9" ht="15.75">
      <c r="A155" s="19"/>
      <c r="B155" s="83"/>
      <c r="C155" s="99" t="s">
        <v>47</v>
      </c>
      <c r="D155" s="351" t="s">
        <v>426</v>
      </c>
      <c r="E155" s="351"/>
      <c r="F155" s="351"/>
      <c r="G155" s="101"/>
      <c r="H155" s="88">
        <v>12586</v>
      </c>
      <c r="I155" s="86"/>
    </row>
    <row r="156" spans="1:9" ht="15.75">
      <c r="A156" s="19"/>
      <c r="B156" s="83"/>
      <c r="C156" s="99" t="s">
        <v>24</v>
      </c>
      <c r="D156" s="351" t="s">
        <v>160</v>
      </c>
      <c r="E156" s="351"/>
      <c r="F156" s="351"/>
      <c r="G156" s="101">
        <v>1167</v>
      </c>
      <c r="H156" s="88">
        <f>1115+1348+148+119+191+19+1135+10000+76+15357</f>
        <v>29508</v>
      </c>
      <c r="I156" s="86">
        <f>H156/G156*100</f>
        <v>2528.53470437018</v>
      </c>
    </row>
    <row r="157" spans="1:9" ht="15.75">
      <c r="A157" s="22"/>
      <c r="B157" s="22"/>
      <c r="C157" s="22"/>
      <c r="D157" s="22"/>
      <c r="E157" s="22"/>
      <c r="F157" s="22"/>
      <c r="G157" s="51"/>
      <c r="H157" s="42"/>
      <c r="I157" s="86"/>
    </row>
    <row r="158" spans="1:9" ht="16.5">
      <c r="A158" s="110" t="s">
        <v>158</v>
      </c>
      <c r="B158" s="110"/>
      <c r="C158" s="110"/>
      <c r="D158" s="110"/>
      <c r="E158" s="110"/>
      <c r="F158" s="110"/>
      <c r="G158" s="113">
        <f>G156</f>
        <v>1167</v>
      </c>
      <c r="H158" s="111">
        <f>H156+H155</f>
        <v>42094</v>
      </c>
      <c r="I158" s="86">
        <f>H158/G158*100</f>
        <v>3607.0265638389033</v>
      </c>
    </row>
    <row r="159" spans="1:9" ht="15.75">
      <c r="A159" s="22"/>
      <c r="B159" s="22"/>
      <c r="C159" s="22"/>
      <c r="D159" s="22"/>
      <c r="E159" s="22"/>
      <c r="F159" s="22"/>
      <c r="G159" s="51"/>
      <c r="H159" s="22"/>
      <c r="I159" s="86"/>
    </row>
    <row r="160" spans="1:9" ht="18.75">
      <c r="A160" s="21" t="s">
        <v>161</v>
      </c>
      <c r="B160" s="21"/>
      <c r="C160" s="21"/>
      <c r="D160" s="21"/>
      <c r="E160" s="21"/>
      <c r="F160" s="21"/>
      <c r="G160" s="113">
        <f>G144+G158</f>
        <v>55678</v>
      </c>
      <c r="H160" s="109">
        <f>H144+H158</f>
        <v>157496</v>
      </c>
      <c r="I160" s="104">
        <f>H160/G160*100</f>
        <v>282.8693559395093</v>
      </c>
    </row>
  </sheetData>
  <sheetProtection/>
  <mergeCells count="54">
    <mergeCell ref="A8:I8"/>
    <mergeCell ref="A7:I7"/>
    <mergeCell ref="A4:I4"/>
    <mergeCell ref="A5:I5"/>
    <mergeCell ref="D36:F36"/>
    <mergeCell ref="D38:F38"/>
    <mergeCell ref="D140:F140"/>
    <mergeCell ref="D85:F85"/>
    <mergeCell ref="D73:F73"/>
    <mergeCell ref="D14:F14"/>
    <mergeCell ref="C45:F45"/>
    <mergeCell ref="A47:F49"/>
    <mergeCell ref="E15:F15"/>
    <mergeCell ref="D31:F31"/>
    <mergeCell ref="D51:F51"/>
    <mergeCell ref="E52:F52"/>
    <mergeCell ref="A88:F88"/>
    <mergeCell ref="A77:F77"/>
    <mergeCell ref="D155:F155"/>
    <mergeCell ref="A2:I2"/>
    <mergeCell ref="A149:F151"/>
    <mergeCell ref="B12:F12"/>
    <mergeCell ref="A9:F11"/>
    <mergeCell ref="A3:I3"/>
    <mergeCell ref="D71:F71"/>
    <mergeCell ref="B75:F75"/>
    <mergeCell ref="C55:F55"/>
    <mergeCell ref="E63:F63"/>
    <mergeCell ref="D57:F57"/>
    <mergeCell ref="E58:F58"/>
    <mergeCell ref="C60:F60"/>
    <mergeCell ref="B79:F79"/>
    <mergeCell ref="B68:F68"/>
    <mergeCell ref="C70:F70"/>
    <mergeCell ref="B153:F153"/>
    <mergeCell ref="C114:F114"/>
    <mergeCell ref="A147:I148"/>
    <mergeCell ref="C137:F137"/>
    <mergeCell ref="C81:F81"/>
    <mergeCell ref="D82:F82"/>
    <mergeCell ref="B86:F86"/>
    <mergeCell ref="D84:F84"/>
    <mergeCell ref="A94:I94"/>
    <mergeCell ref="A95:F97"/>
    <mergeCell ref="A46:I46"/>
    <mergeCell ref="E44:F44"/>
    <mergeCell ref="D74:F74"/>
    <mergeCell ref="C154:F154"/>
    <mergeCell ref="D156:F156"/>
    <mergeCell ref="E40:F40"/>
    <mergeCell ref="D83:F83"/>
    <mergeCell ref="D139:F139"/>
    <mergeCell ref="D138:F138"/>
    <mergeCell ref="A142:F142"/>
  </mergeCells>
  <printOptions horizontalCentered="1"/>
  <pageMargins left="0" right="0" top="0.1968503937007874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zoomScalePageLayoutView="0" workbookViewId="0" topLeftCell="A1">
      <selection activeCell="C10" sqref="C10:C14"/>
    </sheetView>
  </sheetViews>
  <sheetFormatPr defaultColWidth="9.00390625" defaultRowHeight="12.75"/>
  <cols>
    <col min="1" max="1" width="9.125" style="219" customWidth="1"/>
    <col min="2" max="2" width="61.125" style="219" customWidth="1"/>
    <col min="3" max="6" width="26.25390625" style="219" customWidth="1"/>
    <col min="7" max="16384" width="9.125" style="219" customWidth="1"/>
  </cols>
  <sheetData>
    <row r="2" spans="1:6" s="207" customFormat="1" ht="15.75">
      <c r="A2" s="145" t="s">
        <v>500</v>
      </c>
      <c r="C2" s="208"/>
      <c r="D2" s="209"/>
      <c r="E2" s="209"/>
      <c r="F2" s="209"/>
    </row>
    <row r="3" spans="2:6" s="75" customFormat="1" ht="15" customHeight="1">
      <c r="B3" s="368"/>
      <c r="C3" s="368"/>
      <c r="D3" s="368"/>
      <c r="E3" s="368"/>
      <c r="F3" s="368"/>
    </row>
    <row r="4" spans="3:6" s="210" customFormat="1" ht="15" customHeight="1">
      <c r="C4" s="211"/>
      <c r="D4" s="212"/>
      <c r="E4" s="212"/>
      <c r="F4" s="212"/>
    </row>
    <row r="5" spans="2:6" s="143" customFormat="1" ht="15" customHeight="1">
      <c r="B5" s="384" t="s">
        <v>44</v>
      </c>
      <c r="C5" s="384"/>
      <c r="D5" s="384"/>
      <c r="E5" s="384"/>
      <c r="F5" s="384"/>
    </row>
    <row r="6" spans="2:6" s="143" customFormat="1" ht="15.75">
      <c r="B6" s="385" t="s">
        <v>326</v>
      </c>
      <c r="C6" s="385"/>
      <c r="D6" s="385"/>
      <c r="E6" s="385"/>
      <c r="F6" s="385"/>
    </row>
    <row r="7" spans="2:6" s="143" customFormat="1" ht="15" customHeight="1">
      <c r="B7" s="384" t="s">
        <v>162</v>
      </c>
      <c r="C7" s="384"/>
      <c r="D7" s="384"/>
      <c r="E7" s="384"/>
      <c r="F7" s="384"/>
    </row>
    <row r="8" spans="2:6" s="143" customFormat="1" ht="15" customHeight="1">
      <c r="B8" s="384"/>
      <c r="C8" s="383"/>
      <c r="D8" s="383"/>
      <c r="E8" s="383"/>
      <c r="F8" s="383"/>
    </row>
    <row r="9" spans="2:6" s="207" customFormat="1" ht="16.5" customHeight="1" thickBot="1">
      <c r="B9" s="208"/>
      <c r="C9" s="213"/>
      <c r="D9" s="214"/>
      <c r="E9" s="214"/>
      <c r="F9" s="215"/>
    </row>
    <row r="10" spans="1:6" s="207" customFormat="1" ht="16.5" customHeight="1" thickBot="1">
      <c r="A10" s="386" t="s">
        <v>194</v>
      </c>
      <c r="B10" s="389" t="s">
        <v>195</v>
      </c>
      <c r="C10" s="392" t="s">
        <v>327</v>
      </c>
      <c r="D10" s="395" t="s">
        <v>328</v>
      </c>
      <c r="E10" s="395"/>
      <c r="F10" s="396"/>
    </row>
    <row r="11" spans="1:6" s="207" customFormat="1" ht="33" customHeight="1" thickBot="1">
      <c r="A11" s="387"/>
      <c r="B11" s="390"/>
      <c r="C11" s="393"/>
      <c r="D11" s="216" t="s">
        <v>329</v>
      </c>
      <c r="E11" s="217" t="s">
        <v>330</v>
      </c>
      <c r="F11" s="218" t="s">
        <v>331</v>
      </c>
    </row>
    <row r="12" spans="1:6" s="207" customFormat="1" ht="22.5" customHeight="1">
      <c r="A12" s="387"/>
      <c r="B12" s="390"/>
      <c r="C12" s="393"/>
      <c r="D12" s="397" t="s">
        <v>332</v>
      </c>
      <c r="E12" s="398"/>
      <c r="F12" s="399"/>
    </row>
    <row r="13" spans="1:6" ht="12.75">
      <c r="A13" s="387"/>
      <c r="B13" s="390"/>
      <c r="C13" s="393"/>
      <c r="D13" s="400"/>
      <c r="E13" s="401"/>
      <c r="F13" s="402"/>
    </row>
    <row r="14" spans="1:6" ht="3" customHeight="1" thickBot="1">
      <c r="A14" s="388"/>
      <c r="B14" s="391"/>
      <c r="C14" s="394"/>
      <c r="D14" s="403"/>
      <c r="E14" s="404"/>
      <c r="F14" s="405"/>
    </row>
    <row r="15" spans="1:6" ht="30">
      <c r="A15" s="220" t="s">
        <v>212</v>
      </c>
      <c r="B15" s="221" t="s">
        <v>213</v>
      </c>
      <c r="C15" s="222">
        <f>SUM(D15:F15)</f>
        <v>86647</v>
      </c>
      <c r="D15" s="222">
        <v>37182</v>
      </c>
      <c r="E15" s="222">
        <v>49465</v>
      </c>
      <c r="F15" s="223"/>
    </row>
    <row r="16" spans="1:6" ht="15">
      <c r="A16" s="131" t="s">
        <v>214</v>
      </c>
      <c r="B16" s="128" t="s">
        <v>39</v>
      </c>
      <c r="C16" s="224">
        <f aca="true" t="shared" si="0" ref="C16:C30">SUM(D16:F16)</f>
        <v>52</v>
      </c>
      <c r="D16" s="224">
        <v>52</v>
      </c>
      <c r="E16" s="224"/>
      <c r="F16" s="225"/>
    </row>
    <row r="17" spans="1:6" ht="15">
      <c r="A17" s="131" t="s">
        <v>215</v>
      </c>
      <c r="B17" s="128" t="s">
        <v>216</v>
      </c>
      <c r="C17" s="224">
        <f t="shared" si="0"/>
        <v>1599</v>
      </c>
      <c r="D17" s="224">
        <f>820+643</f>
        <v>1463</v>
      </c>
      <c r="E17" s="224">
        <v>136</v>
      </c>
      <c r="F17" s="225"/>
    </row>
    <row r="18" spans="1:6" ht="15">
      <c r="A18" s="131" t="s">
        <v>333</v>
      </c>
      <c r="B18" s="128" t="s">
        <v>334</v>
      </c>
      <c r="C18" s="224">
        <f t="shared" si="0"/>
        <v>48802</v>
      </c>
      <c r="D18" s="224">
        <v>48476</v>
      </c>
      <c r="E18" s="224"/>
      <c r="F18" s="225">
        <f>326</f>
        <v>326</v>
      </c>
    </row>
    <row r="19" spans="1:6" ht="15">
      <c r="A19" s="131" t="s">
        <v>417</v>
      </c>
      <c r="B19" s="237" t="s">
        <v>418</v>
      </c>
      <c r="C19" s="224">
        <f t="shared" si="0"/>
        <v>1707</v>
      </c>
      <c r="D19" s="224"/>
      <c r="E19" s="224">
        <v>1707</v>
      </c>
      <c r="F19" s="225"/>
    </row>
    <row r="20" spans="1:6" ht="15">
      <c r="A20" s="131" t="s">
        <v>343</v>
      </c>
      <c r="B20" s="237" t="s">
        <v>344</v>
      </c>
      <c r="C20" s="224">
        <f t="shared" si="0"/>
        <v>58</v>
      </c>
      <c r="D20" s="224">
        <v>58</v>
      </c>
      <c r="E20" s="224"/>
      <c r="F20" s="225"/>
    </row>
    <row r="21" spans="1:6" ht="15">
      <c r="A21" s="131" t="s">
        <v>219</v>
      </c>
      <c r="B21" s="128" t="s">
        <v>220</v>
      </c>
      <c r="C21" s="224">
        <f t="shared" si="0"/>
        <v>5858</v>
      </c>
      <c r="D21" s="224">
        <f>3993+735+1130</f>
        <v>5858</v>
      </c>
      <c r="E21" s="224"/>
      <c r="F21" s="225"/>
    </row>
    <row r="22" spans="1:6" ht="15">
      <c r="A22" s="131" t="s">
        <v>227</v>
      </c>
      <c r="B22" s="128" t="s">
        <v>228</v>
      </c>
      <c r="C22" s="224">
        <f t="shared" si="0"/>
        <v>165</v>
      </c>
      <c r="D22" s="224">
        <v>165</v>
      </c>
      <c r="E22" s="224"/>
      <c r="F22" s="225"/>
    </row>
    <row r="23" spans="1:6" ht="15">
      <c r="A23" s="131" t="s">
        <v>234</v>
      </c>
      <c r="B23" s="128" t="s">
        <v>235</v>
      </c>
      <c r="C23" s="224">
        <f t="shared" si="0"/>
        <v>191</v>
      </c>
      <c r="D23" s="224">
        <v>191</v>
      </c>
      <c r="E23" s="224"/>
      <c r="F23" s="225"/>
    </row>
    <row r="24" spans="1:6" ht="15">
      <c r="A24" s="131" t="s">
        <v>335</v>
      </c>
      <c r="B24" s="128" t="s">
        <v>336</v>
      </c>
      <c r="C24" s="224">
        <f t="shared" si="0"/>
        <v>1808</v>
      </c>
      <c r="D24" s="224">
        <f>1785+23</f>
        <v>1808</v>
      </c>
      <c r="E24" s="224"/>
      <c r="F24" s="225"/>
    </row>
    <row r="25" spans="1:6" ht="15">
      <c r="A25" s="131" t="s">
        <v>337</v>
      </c>
      <c r="B25" s="128" t="s">
        <v>338</v>
      </c>
      <c r="C25" s="224">
        <f t="shared" si="0"/>
        <v>275</v>
      </c>
      <c r="D25" s="224"/>
      <c r="E25" s="224">
        <f>271+4</f>
        <v>275</v>
      </c>
      <c r="F25" s="225"/>
    </row>
    <row r="26" spans="1:6" ht="15">
      <c r="A26" s="229">
        <v>104051</v>
      </c>
      <c r="B26" s="128" t="s">
        <v>401</v>
      </c>
      <c r="C26" s="224">
        <f t="shared" si="0"/>
        <v>46</v>
      </c>
      <c r="D26" s="224"/>
      <c r="E26" s="224"/>
      <c r="F26" s="225">
        <v>46</v>
      </c>
    </row>
    <row r="27" spans="1:6" ht="15">
      <c r="A27" s="131" t="s">
        <v>242</v>
      </c>
      <c r="B27" s="134" t="s">
        <v>398</v>
      </c>
      <c r="C27" s="224">
        <f t="shared" si="0"/>
        <v>1702</v>
      </c>
      <c r="D27" s="224">
        <f>29+1655+18</f>
        <v>1702</v>
      </c>
      <c r="E27" s="224"/>
      <c r="F27" s="225"/>
    </row>
    <row r="28" spans="1:6" ht="15">
      <c r="A28" s="131" t="s">
        <v>242</v>
      </c>
      <c r="B28" s="134" t="s">
        <v>400</v>
      </c>
      <c r="C28" s="224">
        <f t="shared" si="0"/>
        <v>528</v>
      </c>
      <c r="D28" s="224"/>
      <c r="E28" s="224">
        <f>523+5</f>
        <v>528</v>
      </c>
      <c r="F28" s="225"/>
    </row>
    <row r="29" spans="1:6" ht="15">
      <c r="A29" s="131">
        <v>107060</v>
      </c>
      <c r="B29" s="128" t="s">
        <v>244</v>
      </c>
      <c r="C29" s="224">
        <f t="shared" si="0"/>
        <v>249</v>
      </c>
      <c r="D29" s="224">
        <v>249</v>
      </c>
      <c r="E29" s="224"/>
      <c r="F29" s="225"/>
    </row>
    <row r="30" spans="1:6" ht="30.75" thickBot="1">
      <c r="A30" s="229">
        <v>900020</v>
      </c>
      <c r="B30" s="128" t="s">
        <v>339</v>
      </c>
      <c r="C30" s="224">
        <f t="shared" si="0"/>
        <v>7808</v>
      </c>
      <c r="D30" s="224">
        <v>7808</v>
      </c>
      <c r="E30" s="224"/>
      <c r="F30" s="225"/>
    </row>
    <row r="31" spans="1:6" ht="30" customHeight="1" thickBot="1">
      <c r="A31" s="230"/>
      <c r="B31" s="230" t="s">
        <v>1</v>
      </c>
      <c r="C31" s="228">
        <f>SUM(C15:C30)</f>
        <v>157495</v>
      </c>
      <c r="D31" s="228">
        <f>SUM(D15:D30)</f>
        <v>105012</v>
      </c>
      <c r="E31" s="228">
        <f>SUM(E15:E30)</f>
        <v>52111</v>
      </c>
      <c r="F31" s="228">
        <f>SUM(F15:F30)</f>
        <v>372</v>
      </c>
    </row>
  </sheetData>
  <sheetProtection/>
  <mergeCells count="10">
    <mergeCell ref="B3:F3"/>
    <mergeCell ref="B5:F5"/>
    <mergeCell ref="B6:F6"/>
    <mergeCell ref="B7:F7"/>
    <mergeCell ref="A10:A14"/>
    <mergeCell ref="B10:B14"/>
    <mergeCell ref="C10:C14"/>
    <mergeCell ref="D10:F10"/>
    <mergeCell ref="D12:F14"/>
    <mergeCell ref="B8:F8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1" customWidth="1"/>
    <col min="2" max="2" width="42.125" style="11" customWidth="1"/>
    <col min="3" max="3" width="10.125" style="11" customWidth="1"/>
    <col min="4" max="7" width="10.375" style="11" customWidth="1"/>
    <col min="8" max="11" width="10.25390625" style="11" customWidth="1"/>
    <col min="12" max="12" width="9.625" style="11" customWidth="1"/>
    <col min="13" max="13" width="10.875" style="11" customWidth="1"/>
    <col min="14" max="14" width="11.125" style="11" customWidth="1"/>
    <col min="15" max="15" width="9.875" style="11" customWidth="1"/>
    <col min="16" max="16" width="10.625" style="11" customWidth="1"/>
    <col min="17" max="17" width="12.00390625" style="11" customWidth="1"/>
    <col min="18" max="18" width="10.375" style="11" customWidth="1"/>
    <col min="19" max="16384" width="9.125" style="11" customWidth="1"/>
  </cols>
  <sheetData>
    <row r="1" spans="1:20" ht="15.75">
      <c r="A1" s="145" t="s">
        <v>501</v>
      </c>
      <c r="K1" s="441"/>
      <c r="L1" s="441"/>
      <c r="M1" s="441"/>
      <c r="N1" s="441"/>
      <c r="O1" s="441"/>
      <c r="P1" s="441"/>
      <c r="Q1" s="441"/>
      <c r="R1" s="441"/>
      <c r="S1" s="441"/>
      <c r="T1" s="441"/>
    </row>
    <row r="2" spans="1:17" ht="15.75" customHeight="1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313"/>
    </row>
    <row r="3" spans="1:20" s="125" customFormat="1" ht="15.75" customHeight="1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</row>
    <row r="4" spans="1:17" s="125" customFormat="1" ht="15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20" s="125" customFormat="1" ht="15.75" customHeight="1">
      <c r="A5" s="432" t="s">
        <v>44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</row>
    <row r="6" spans="1:20" s="125" customFormat="1" ht="15.75" customHeight="1">
      <c r="A6" s="432" t="s">
        <v>193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</row>
    <row r="7" spans="1:20" s="125" customFormat="1" ht="15.75" customHeight="1">
      <c r="A7" s="432" t="s">
        <v>251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</row>
    <row r="8" spans="1:20" s="125" customFormat="1" ht="15.75" customHeight="1">
      <c r="A8" s="432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</row>
    <row r="9" spans="19:20" s="125" customFormat="1" ht="15.75" thickBot="1">
      <c r="S9" s="442" t="s">
        <v>7</v>
      </c>
      <c r="T9" s="442"/>
    </row>
    <row r="10" spans="1:20" s="126" customFormat="1" ht="20.25" customHeight="1" thickBot="1">
      <c r="A10" s="406" t="s">
        <v>194</v>
      </c>
      <c r="B10" s="423" t="s">
        <v>195</v>
      </c>
      <c r="C10" s="409" t="s">
        <v>196</v>
      </c>
      <c r="D10" s="415" t="s">
        <v>197</v>
      </c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7"/>
      <c r="S10" s="436" t="s">
        <v>2</v>
      </c>
      <c r="T10" s="437"/>
    </row>
    <row r="11" spans="1:20" s="126" customFormat="1" ht="38.25" customHeight="1" thickBot="1">
      <c r="A11" s="407"/>
      <c r="B11" s="424"/>
      <c r="C11" s="410"/>
      <c r="D11" s="438" t="s">
        <v>71</v>
      </c>
      <c r="E11" s="439"/>
      <c r="F11" s="439"/>
      <c r="G11" s="439"/>
      <c r="H11" s="439"/>
      <c r="I11" s="440"/>
      <c r="J11" s="415" t="s">
        <v>72</v>
      </c>
      <c r="K11" s="416"/>
      <c r="L11" s="416"/>
      <c r="M11" s="417"/>
      <c r="N11" s="429" t="s">
        <v>198</v>
      </c>
      <c r="O11" s="430"/>
      <c r="P11" s="430"/>
      <c r="Q11" s="430"/>
      <c r="R11" s="431"/>
      <c r="S11" s="421" t="s">
        <v>8</v>
      </c>
      <c r="T11" s="422"/>
    </row>
    <row r="12" spans="1:20" s="126" customFormat="1" ht="21" customHeight="1" thickBot="1">
      <c r="A12" s="407"/>
      <c r="B12" s="424"/>
      <c r="C12" s="410"/>
      <c r="D12" s="409" t="s">
        <v>199</v>
      </c>
      <c r="E12" s="409" t="s">
        <v>200</v>
      </c>
      <c r="F12" s="409" t="s">
        <v>201</v>
      </c>
      <c r="G12" s="409" t="s">
        <v>202</v>
      </c>
      <c r="H12" s="409" t="s">
        <v>203</v>
      </c>
      <c r="I12" s="426" t="s">
        <v>204</v>
      </c>
      <c r="J12" s="412" t="s">
        <v>205</v>
      </c>
      <c r="K12" s="412" t="s">
        <v>73</v>
      </c>
      <c r="L12" s="409" t="s">
        <v>340</v>
      </c>
      <c r="M12" s="433" t="s">
        <v>341</v>
      </c>
      <c r="N12" s="409" t="s">
        <v>206</v>
      </c>
      <c r="O12" s="409" t="s">
        <v>207</v>
      </c>
      <c r="P12" s="409" t="s">
        <v>208</v>
      </c>
      <c r="Q12" s="418" t="s">
        <v>419</v>
      </c>
      <c r="R12" s="433" t="s">
        <v>342</v>
      </c>
      <c r="S12" s="203" t="s">
        <v>209</v>
      </c>
      <c r="T12" s="204" t="s">
        <v>210</v>
      </c>
    </row>
    <row r="13" spans="1:20" s="126" customFormat="1" ht="18.75" customHeight="1">
      <c r="A13" s="407"/>
      <c r="B13" s="424"/>
      <c r="C13" s="410"/>
      <c r="D13" s="410"/>
      <c r="E13" s="410"/>
      <c r="F13" s="410"/>
      <c r="G13" s="410"/>
      <c r="H13" s="410"/>
      <c r="I13" s="427"/>
      <c r="J13" s="413"/>
      <c r="K13" s="413"/>
      <c r="L13" s="410"/>
      <c r="M13" s="434"/>
      <c r="N13" s="410"/>
      <c r="O13" s="410"/>
      <c r="P13" s="410"/>
      <c r="Q13" s="419"/>
      <c r="R13" s="434"/>
      <c r="S13" s="444" t="s">
        <v>211</v>
      </c>
      <c r="T13" s="445"/>
    </row>
    <row r="14" spans="1:20" s="126" customFormat="1" ht="20.25" customHeight="1" thickBot="1">
      <c r="A14" s="408"/>
      <c r="B14" s="425"/>
      <c r="C14" s="411"/>
      <c r="D14" s="411"/>
      <c r="E14" s="411"/>
      <c r="F14" s="411"/>
      <c r="G14" s="411"/>
      <c r="H14" s="411"/>
      <c r="I14" s="428"/>
      <c r="J14" s="414"/>
      <c r="K14" s="414"/>
      <c r="L14" s="411"/>
      <c r="M14" s="435"/>
      <c r="N14" s="411"/>
      <c r="O14" s="411"/>
      <c r="P14" s="411"/>
      <c r="Q14" s="420"/>
      <c r="R14" s="435"/>
      <c r="S14" s="421"/>
      <c r="T14" s="422"/>
    </row>
    <row r="15" spans="1:20" s="125" customFormat="1" ht="30">
      <c r="A15" s="127" t="s">
        <v>212</v>
      </c>
      <c r="B15" s="128" t="s">
        <v>213</v>
      </c>
      <c r="C15" s="232">
        <f>I15+M15+O15+P15</f>
        <v>50770</v>
      </c>
      <c r="D15" s="140">
        <f>5750+26+13+1376+22+61+54</f>
        <v>7302</v>
      </c>
      <c r="E15" s="141">
        <f>1664+6+6+372+6-12+16+14</f>
        <v>2072</v>
      </c>
      <c r="F15" s="141">
        <f>4281+191+119+41+134</f>
        <v>4766</v>
      </c>
      <c r="G15" s="141"/>
      <c r="H15" s="141">
        <f>112+15+120</f>
        <v>247</v>
      </c>
      <c r="I15" s="233">
        <f aca="true" t="shared" si="0" ref="I15:I47">SUM(D15:H15)</f>
        <v>14387</v>
      </c>
      <c r="J15" s="142">
        <f>148+20</f>
        <v>168</v>
      </c>
      <c r="K15" s="142"/>
      <c r="L15" s="142">
        <f>26215+10000</f>
        <v>36215</v>
      </c>
      <c r="M15" s="234">
        <f>SUM(J15:L15)</f>
        <v>36383</v>
      </c>
      <c r="N15" s="234"/>
      <c r="O15" s="235"/>
      <c r="P15" s="236"/>
      <c r="Q15" s="236"/>
      <c r="R15" s="236"/>
      <c r="S15" s="130">
        <f>0.5+0.1+0.2-0.3</f>
        <v>0.5</v>
      </c>
      <c r="T15" s="202">
        <v>0.5</v>
      </c>
    </row>
    <row r="16" spans="1:20" s="125" customFormat="1" ht="15">
      <c r="A16" s="131" t="s">
        <v>214</v>
      </c>
      <c r="B16" s="128" t="s">
        <v>39</v>
      </c>
      <c r="C16" s="232">
        <f aca="true" t="shared" si="1" ref="C16:C47">I16+M16+O16+P16</f>
        <v>64</v>
      </c>
      <c r="D16" s="140"/>
      <c r="E16" s="141"/>
      <c r="F16" s="141">
        <v>64</v>
      </c>
      <c r="G16" s="141"/>
      <c r="H16" s="141"/>
      <c r="I16" s="233">
        <f t="shared" si="0"/>
        <v>64</v>
      </c>
      <c r="J16" s="142"/>
      <c r="K16" s="142"/>
      <c r="L16" s="142"/>
      <c r="M16" s="234"/>
      <c r="N16" s="234"/>
      <c r="O16" s="235"/>
      <c r="P16" s="236"/>
      <c r="Q16" s="236"/>
      <c r="R16" s="236"/>
      <c r="S16" s="132"/>
      <c r="T16" s="129"/>
    </row>
    <row r="17" spans="1:20" s="125" customFormat="1" ht="29.25" customHeight="1">
      <c r="A17" s="131" t="s">
        <v>215</v>
      </c>
      <c r="B17" s="128" t="s">
        <v>216</v>
      </c>
      <c r="C17" s="232">
        <f t="shared" si="1"/>
        <v>1929</v>
      </c>
      <c r="D17" s="140"/>
      <c r="E17" s="141">
        <v>12</v>
      </c>
      <c r="F17" s="141">
        <f>1515-286+480-50</f>
        <v>1659</v>
      </c>
      <c r="G17" s="141"/>
      <c r="H17" s="141"/>
      <c r="I17" s="233">
        <f t="shared" si="0"/>
        <v>1671</v>
      </c>
      <c r="J17" s="142">
        <f>8+250</f>
        <v>258</v>
      </c>
      <c r="K17" s="142"/>
      <c r="L17" s="142"/>
      <c r="M17" s="234">
        <f>SUM(J17:L17)</f>
        <v>258</v>
      </c>
      <c r="N17" s="234"/>
      <c r="O17" s="235"/>
      <c r="P17" s="236"/>
      <c r="Q17" s="236"/>
      <c r="R17" s="236"/>
      <c r="S17" s="133"/>
      <c r="T17" s="129"/>
    </row>
    <row r="18" spans="1:20" s="125" customFormat="1" ht="29.25" customHeight="1">
      <c r="A18" s="131" t="s">
        <v>333</v>
      </c>
      <c r="B18" s="128" t="s">
        <v>334</v>
      </c>
      <c r="C18" s="232">
        <f>I18+M18+O18+P18+R18</f>
        <v>961</v>
      </c>
      <c r="D18" s="140"/>
      <c r="E18" s="141"/>
      <c r="F18" s="141"/>
      <c r="G18" s="141"/>
      <c r="H18" s="141">
        <v>18</v>
      </c>
      <c r="I18" s="233">
        <f t="shared" si="0"/>
        <v>18</v>
      </c>
      <c r="J18" s="142"/>
      <c r="K18" s="142"/>
      <c r="L18" s="142"/>
      <c r="M18" s="234"/>
      <c r="N18" s="234"/>
      <c r="O18" s="235"/>
      <c r="P18" s="236"/>
      <c r="Q18" s="236">
        <v>943</v>
      </c>
      <c r="R18" s="315">
        <f>SUM(N18:Q18)</f>
        <v>943</v>
      </c>
      <c r="S18" s="133"/>
      <c r="T18" s="129"/>
    </row>
    <row r="19" spans="1:20" s="125" customFormat="1" ht="15">
      <c r="A19" s="131" t="s">
        <v>417</v>
      </c>
      <c r="B19" s="237" t="s">
        <v>418</v>
      </c>
      <c r="C19" s="232">
        <f t="shared" si="1"/>
        <v>1731</v>
      </c>
      <c r="D19" s="140">
        <f>16+558+629+317</f>
        <v>1520</v>
      </c>
      <c r="E19" s="141">
        <f>8+75+85+43</f>
        <v>211</v>
      </c>
      <c r="F19" s="141"/>
      <c r="G19" s="141"/>
      <c r="H19" s="141"/>
      <c r="I19" s="233">
        <f t="shared" si="0"/>
        <v>1731</v>
      </c>
      <c r="J19" s="142"/>
      <c r="K19" s="142"/>
      <c r="L19" s="142"/>
      <c r="M19" s="234"/>
      <c r="N19" s="234"/>
      <c r="O19" s="235"/>
      <c r="P19" s="236"/>
      <c r="Q19" s="236"/>
      <c r="R19" s="236"/>
      <c r="S19" s="133"/>
      <c r="T19" s="129"/>
    </row>
    <row r="20" spans="1:20" s="125" customFormat="1" ht="15">
      <c r="A20" s="131" t="s">
        <v>460</v>
      </c>
      <c r="B20" s="237" t="s">
        <v>461</v>
      </c>
      <c r="C20" s="232">
        <f t="shared" si="1"/>
        <v>9560</v>
      </c>
      <c r="D20" s="140"/>
      <c r="E20" s="141"/>
      <c r="F20" s="141"/>
      <c r="G20" s="141"/>
      <c r="H20" s="141"/>
      <c r="I20" s="233">
        <f t="shared" si="0"/>
        <v>0</v>
      </c>
      <c r="J20" s="142"/>
      <c r="K20" s="142">
        <f>10000-440</f>
        <v>9560</v>
      </c>
      <c r="L20" s="142"/>
      <c r="M20" s="234">
        <f>SUM(J20:L20)</f>
        <v>9560</v>
      </c>
      <c r="N20" s="234"/>
      <c r="O20" s="235"/>
      <c r="P20" s="236"/>
      <c r="Q20" s="236"/>
      <c r="R20" s="236"/>
      <c r="S20" s="133"/>
      <c r="T20" s="129"/>
    </row>
    <row r="21" spans="1:20" s="125" customFormat="1" ht="15">
      <c r="A21" s="131" t="s">
        <v>343</v>
      </c>
      <c r="B21" s="237" t="s">
        <v>344</v>
      </c>
      <c r="C21" s="232">
        <f>I21+M21+O21+P21</f>
        <v>312</v>
      </c>
      <c r="D21" s="140"/>
      <c r="E21" s="141"/>
      <c r="F21" s="141">
        <v>254</v>
      </c>
      <c r="G21" s="141"/>
      <c r="H21" s="141"/>
      <c r="I21" s="233">
        <f t="shared" si="0"/>
        <v>254</v>
      </c>
      <c r="J21" s="142">
        <v>58</v>
      </c>
      <c r="K21" s="142"/>
      <c r="L21" s="142"/>
      <c r="M21" s="234">
        <f>SUM(J21:L21)</f>
        <v>58</v>
      </c>
      <c r="N21" s="234"/>
      <c r="O21" s="235"/>
      <c r="P21" s="236"/>
      <c r="Q21" s="236"/>
      <c r="R21" s="236"/>
      <c r="S21" s="133"/>
      <c r="T21" s="129"/>
    </row>
    <row r="22" spans="1:20" s="125" customFormat="1" ht="30">
      <c r="A22" s="131" t="s">
        <v>217</v>
      </c>
      <c r="B22" s="128" t="s">
        <v>218</v>
      </c>
      <c r="C22" s="232">
        <f>I22+M22+O22+P22</f>
        <v>237</v>
      </c>
      <c r="D22" s="140"/>
      <c r="E22" s="141"/>
      <c r="F22" s="141">
        <v>237</v>
      </c>
      <c r="G22" s="141"/>
      <c r="H22" s="141"/>
      <c r="I22" s="233">
        <f t="shared" si="0"/>
        <v>237</v>
      </c>
      <c r="J22" s="142"/>
      <c r="K22" s="142"/>
      <c r="L22" s="142"/>
      <c r="M22" s="234"/>
      <c r="N22" s="234"/>
      <c r="O22" s="235"/>
      <c r="P22" s="236"/>
      <c r="Q22" s="236"/>
      <c r="R22" s="236"/>
      <c r="S22" s="130"/>
      <c r="T22" s="129"/>
    </row>
    <row r="23" spans="1:20" s="125" customFormat="1" ht="15">
      <c r="A23" s="131" t="s">
        <v>491</v>
      </c>
      <c r="B23" s="128" t="s">
        <v>492</v>
      </c>
      <c r="C23" s="232">
        <f>I23+M23+O23+P23</f>
        <v>10</v>
      </c>
      <c r="D23" s="140"/>
      <c r="E23" s="141"/>
      <c r="F23" s="141">
        <v>10</v>
      </c>
      <c r="G23" s="141"/>
      <c r="H23" s="141"/>
      <c r="I23" s="233">
        <f t="shared" si="0"/>
        <v>10</v>
      </c>
      <c r="J23" s="142"/>
      <c r="K23" s="142"/>
      <c r="L23" s="142"/>
      <c r="M23" s="234"/>
      <c r="N23" s="234"/>
      <c r="O23" s="235"/>
      <c r="P23" s="236"/>
      <c r="Q23" s="236"/>
      <c r="R23" s="236"/>
      <c r="S23" s="130"/>
      <c r="T23" s="129"/>
    </row>
    <row r="24" spans="1:20" s="125" customFormat="1" ht="30">
      <c r="A24" s="131" t="s">
        <v>219</v>
      </c>
      <c r="B24" s="128" t="s">
        <v>220</v>
      </c>
      <c r="C24" s="232">
        <f>I24+M24+O24+P24</f>
        <v>5858</v>
      </c>
      <c r="D24" s="140"/>
      <c r="E24" s="141"/>
      <c r="F24" s="141">
        <f>3993-3293+1130</f>
        <v>1830</v>
      </c>
      <c r="G24" s="141"/>
      <c r="H24" s="141"/>
      <c r="I24" s="233">
        <f t="shared" si="0"/>
        <v>1830</v>
      </c>
      <c r="J24" s="142">
        <v>4028</v>
      </c>
      <c r="K24" s="142"/>
      <c r="L24" s="142"/>
      <c r="M24" s="234">
        <f>SUM(J24:L24)</f>
        <v>4028</v>
      </c>
      <c r="N24" s="234"/>
      <c r="O24" s="235"/>
      <c r="P24" s="236"/>
      <c r="Q24" s="236"/>
      <c r="R24" s="236"/>
      <c r="S24" s="133"/>
      <c r="T24" s="129"/>
    </row>
    <row r="25" spans="1:20" s="125" customFormat="1" ht="15">
      <c r="A25" s="131" t="s">
        <v>221</v>
      </c>
      <c r="B25" s="128" t="s">
        <v>222</v>
      </c>
      <c r="C25" s="232">
        <f>I25+M25+O25+P25</f>
        <v>600</v>
      </c>
      <c r="D25" s="140"/>
      <c r="E25" s="141"/>
      <c r="F25" s="141"/>
      <c r="G25" s="141"/>
      <c r="H25" s="141"/>
      <c r="I25" s="233"/>
      <c r="J25" s="142"/>
      <c r="K25" s="142"/>
      <c r="L25" s="142">
        <v>600</v>
      </c>
      <c r="M25" s="234">
        <f>SUM(J25:L25)</f>
        <v>600</v>
      </c>
      <c r="N25" s="234"/>
      <c r="O25" s="235"/>
      <c r="P25" s="236"/>
      <c r="Q25" s="236"/>
      <c r="R25" s="236"/>
      <c r="S25" s="133"/>
      <c r="T25" s="129"/>
    </row>
    <row r="26" spans="1:20" s="125" customFormat="1" ht="15">
      <c r="A26" s="131" t="s">
        <v>223</v>
      </c>
      <c r="B26" s="128" t="s">
        <v>224</v>
      </c>
      <c r="C26" s="232">
        <f t="shared" si="1"/>
        <v>3056</v>
      </c>
      <c r="D26" s="140"/>
      <c r="E26" s="141"/>
      <c r="F26" s="141">
        <v>3056</v>
      </c>
      <c r="G26" s="142"/>
      <c r="H26" s="141"/>
      <c r="I26" s="233">
        <f t="shared" si="0"/>
        <v>3056</v>
      </c>
      <c r="J26" s="142"/>
      <c r="K26" s="142"/>
      <c r="L26" s="142"/>
      <c r="M26" s="234"/>
      <c r="N26" s="234"/>
      <c r="O26" s="235"/>
      <c r="P26" s="236"/>
      <c r="Q26" s="236"/>
      <c r="R26" s="236"/>
      <c r="S26" s="133"/>
      <c r="T26" s="129"/>
    </row>
    <row r="27" spans="1:20" s="125" customFormat="1" ht="15">
      <c r="A27" s="131" t="s">
        <v>225</v>
      </c>
      <c r="B27" s="128" t="s">
        <v>226</v>
      </c>
      <c r="C27" s="232">
        <f t="shared" si="1"/>
        <v>381</v>
      </c>
      <c r="D27" s="140"/>
      <c r="E27" s="141"/>
      <c r="F27" s="141">
        <v>381</v>
      </c>
      <c r="G27" s="142"/>
      <c r="H27" s="141"/>
      <c r="I27" s="233">
        <f t="shared" si="0"/>
        <v>381</v>
      </c>
      <c r="J27" s="142"/>
      <c r="K27" s="142"/>
      <c r="L27" s="142"/>
      <c r="M27" s="234"/>
      <c r="N27" s="234"/>
      <c r="O27" s="235"/>
      <c r="P27" s="236"/>
      <c r="Q27" s="236"/>
      <c r="R27" s="236"/>
      <c r="S27" s="133"/>
      <c r="T27" s="129"/>
    </row>
    <row r="28" spans="1:20" s="125" customFormat="1" ht="30">
      <c r="A28" s="131" t="s">
        <v>227</v>
      </c>
      <c r="B28" s="128" t="s">
        <v>228</v>
      </c>
      <c r="C28" s="232">
        <f t="shared" si="1"/>
        <v>2896</v>
      </c>
      <c r="D28" s="140">
        <f>671+65+13+56-12</f>
        <v>793</v>
      </c>
      <c r="E28" s="141">
        <f>183+15+6+15+12</f>
        <v>231</v>
      </c>
      <c r="F28" s="141">
        <f>1577+140-10</f>
        <v>1707</v>
      </c>
      <c r="G28" s="142"/>
      <c r="H28" s="141"/>
      <c r="I28" s="233">
        <f t="shared" si="0"/>
        <v>2731</v>
      </c>
      <c r="J28" s="142">
        <v>165</v>
      </c>
      <c r="K28" s="142"/>
      <c r="L28" s="142"/>
      <c r="M28" s="234">
        <f>SUM(J28:L28)</f>
        <v>165</v>
      </c>
      <c r="N28" s="234"/>
      <c r="O28" s="235"/>
      <c r="P28" s="236"/>
      <c r="Q28" s="236"/>
      <c r="R28" s="236"/>
      <c r="S28" s="133">
        <v>0.5</v>
      </c>
      <c r="T28" s="129">
        <v>0.5</v>
      </c>
    </row>
    <row r="29" spans="1:20" s="125" customFormat="1" ht="15">
      <c r="A29" s="131" t="s">
        <v>229</v>
      </c>
      <c r="B29" s="128" t="s">
        <v>36</v>
      </c>
      <c r="C29" s="232">
        <f t="shared" si="1"/>
        <v>23315</v>
      </c>
      <c r="D29" s="140"/>
      <c r="E29" s="141"/>
      <c r="F29" s="141">
        <f>60+50</f>
        <v>110</v>
      </c>
      <c r="G29" s="142"/>
      <c r="H29" s="141"/>
      <c r="I29" s="233">
        <f t="shared" si="0"/>
        <v>110</v>
      </c>
      <c r="J29" s="142"/>
      <c r="K29" s="142">
        <f>22697+508</f>
        <v>23205</v>
      </c>
      <c r="L29" s="142"/>
      <c r="M29" s="234">
        <f>SUM(J29:L29)</f>
        <v>23205</v>
      </c>
      <c r="N29" s="234"/>
      <c r="O29" s="235"/>
      <c r="P29" s="236"/>
      <c r="Q29" s="236"/>
      <c r="R29" s="236"/>
      <c r="S29" s="133"/>
      <c r="T29" s="129"/>
    </row>
    <row r="30" spans="1:20" s="125" customFormat="1" ht="33.75" customHeight="1">
      <c r="A30" s="131" t="s">
        <v>230</v>
      </c>
      <c r="B30" s="128" t="s">
        <v>231</v>
      </c>
      <c r="C30" s="232">
        <f t="shared" si="1"/>
        <v>675</v>
      </c>
      <c r="D30" s="140"/>
      <c r="E30" s="141"/>
      <c r="F30" s="141"/>
      <c r="G30" s="141"/>
      <c r="H30" s="141">
        <v>675</v>
      </c>
      <c r="I30" s="233">
        <f t="shared" si="0"/>
        <v>675</v>
      </c>
      <c r="J30" s="142"/>
      <c r="K30" s="142"/>
      <c r="L30" s="142"/>
      <c r="M30" s="234"/>
      <c r="N30" s="234"/>
      <c r="O30" s="235"/>
      <c r="P30" s="236"/>
      <c r="Q30" s="236"/>
      <c r="R30" s="236"/>
      <c r="S30" s="133"/>
      <c r="T30" s="129"/>
    </row>
    <row r="31" spans="1:20" s="125" customFormat="1" ht="15">
      <c r="A31" s="131" t="s">
        <v>232</v>
      </c>
      <c r="B31" s="128" t="s">
        <v>40</v>
      </c>
      <c r="C31" s="232">
        <f t="shared" si="1"/>
        <v>567</v>
      </c>
      <c r="D31" s="140">
        <f>356+11+5+9</f>
        <v>381</v>
      </c>
      <c r="E31" s="141">
        <f>97+2+2+2</f>
        <v>103</v>
      </c>
      <c r="F31" s="141">
        <v>83</v>
      </c>
      <c r="G31" s="141"/>
      <c r="H31" s="141"/>
      <c r="I31" s="233">
        <f t="shared" si="0"/>
        <v>567</v>
      </c>
      <c r="J31" s="142"/>
      <c r="K31" s="142"/>
      <c r="L31" s="142"/>
      <c r="M31" s="234"/>
      <c r="N31" s="234"/>
      <c r="O31" s="235"/>
      <c r="P31" s="236"/>
      <c r="Q31" s="236"/>
      <c r="R31" s="236"/>
      <c r="S31" s="133">
        <v>0.2</v>
      </c>
      <c r="T31" s="129">
        <v>0.2</v>
      </c>
    </row>
    <row r="32" spans="1:20" s="125" customFormat="1" ht="15">
      <c r="A32" s="131" t="s">
        <v>429</v>
      </c>
      <c r="B32" s="128" t="s">
        <v>430</v>
      </c>
      <c r="C32" s="232">
        <f t="shared" si="1"/>
        <v>331</v>
      </c>
      <c r="D32" s="140">
        <v>266</v>
      </c>
      <c r="E32" s="141">
        <v>65</v>
      </c>
      <c r="F32" s="141"/>
      <c r="G32" s="141"/>
      <c r="H32" s="141"/>
      <c r="I32" s="233">
        <f t="shared" si="0"/>
        <v>331</v>
      </c>
      <c r="J32" s="142"/>
      <c r="K32" s="142"/>
      <c r="L32" s="142"/>
      <c r="M32" s="234"/>
      <c r="N32" s="234"/>
      <c r="O32" s="235"/>
      <c r="P32" s="236"/>
      <c r="Q32" s="236"/>
      <c r="R32" s="236"/>
      <c r="S32" s="133"/>
      <c r="T32" s="129"/>
    </row>
    <row r="33" spans="1:20" s="125" customFormat="1" ht="15">
      <c r="A33" s="131" t="s">
        <v>233</v>
      </c>
      <c r="B33" s="128" t="s">
        <v>38</v>
      </c>
      <c r="C33" s="232">
        <f t="shared" si="1"/>
        <v>235</v>
      </c>
      <c r="D33" s="140"/>
      <c r="E33" s="141"/>
      <c r="F33" s="141"/>
      <c r="G33" s="141"/>
      <c r="H33" s="141">
        <f>200+35</f>
        <v>235</v>
      </c>
      <c r="I33" s="233">
        <f t="shared" si="0"/>
        <v>235</v>
      </c>
      <c r="J33" s="142"/>
      <c r="K33" s="142"/>
      <c r="L33" s="142"/>
      <c r="M33" s="234"/>
      <c r="N33" s="234"/>
      <c r="O33" s="235"/>
      <c r="P33" s="236"/>
      <c r="Q33" s="236"/>
      <c r="R33" s="236"/>
      <c r="S33" s="133"/>
      <c r="T33" s="129"/>
    </row>
    <row r="34" spans="1:20" s="125" customFormat="1" ht="30">
      <c r="A34" s="131" t="s">
        <v>234</v>
      </c>
      <c r="B34" s="128" t="s">
        <v>235</v>
      </c>
      <c r="C34" s="232">
        <f t="shared" si="1"/>
        <v>3050</v>
      </c>
      <c r="D34" s="140">
        <f>1788+22+33-266+19</f>
        <v>1596</v>
      </c>
      <c r="E34" s="141">
        <f>478+6+16-65+5</f>
        <v>440</v>
      </c>
      <c r="F34" s="141">
        <f>537+191+286</f>
        <v>1014</v>
      </c>
      <c r="G34" s="141"/>
      <c r="H34" s="141"/>
      <c r="I34" s="233">
        <f t="shared" si="0"/>
        <v>3050</v>
      </c>
      <c r="J34" s="142"/>
      <c r="K34" s="142"/>
      <c r="L34" s="142"/>
      <c r="M34" s="234"/>
      <c r="N34" s="234"/>
      <c r="O34" s="235"/>
      <c r="P34" s="236"/>
      <c r="Q34" s="236"/>
      <c r="R34" s="236"/>
      <c r="S34" s="133">
        <f>0.3+0.75</f>
        <v>1.05</v>
      </c>
      <c r="T34" s="129">
        <v>1.05</v>
      </c>
    </row>
    <row r="35" spans="1:20" s="125" customFormat="1" ht="30">
      <c r="A35" s="131" t="s">
        <v>236</v>
      </c>
      <c r="B35" s="128" t="s">
        <v>237</v>
      </c>
      <c r="C35" s="232">
        <f t="shared" si="1"/>
        <v>50</v>
      </c>
      <c r="D35" s="140"/>
      <c r="E35" s="141"/>
      <c r="F35" s="141"/>
      <c r="G35" s="141"/>
      <c r="H35" s="141">
        <v>50</v>
      </c>
      <c r="I35" s="233">
        <f t="shared" si="0"/>
        <v>50</v>
      </c>
      <c r="J35" s="142"/>
      <c r="K35" s="142"/>
      <c r="L35" s="142"/>
      <c r="M35" s="234"/>
      <c r="N35" s="234"/>
      <c r="O35" s="235"/>
      <c r="P35" s="236"/>
      <c r="Q35" s="236"/>
      <c r="R35" s="236"/>
      <c r="S35" s="133"/>
      <c r="T35" s="129"/>
    </row>
    <row r="36" spans="1:20" s="125" customFormat="1" ht="15">
      <c r="A36" s="131" t="s">
        <v>335</v>
      </c>
      <c r="B36" s="128" t="s">
        <v>336</v>
      </c>
      <c r="C36" s="232">
        <f t="shared" si="1"/>
        <v>5462</v>
      </c>
      <c r="D36" s="140">
        <f>1839+13+11+6</f>
        <v>1869</v>
      </c>
      <c r="E36" s="141">
        <f>501+2+6+1</f>
        <v>510</v>
      </c>
      <c r="F36" s="141">
        <f>2823+23</f>
        <v>2846</v>
      </c>
      <c r="G36" s="141"/>
      <c r="H36" s="141"/>
      <c r="I36" s="233">
        <f t="shared" si="0"/>
        <v>5225</v>
      </c>
      <c r="J36" s="142">
        <f>191+46</f>
        <v>237</v>
      </c>
      <c r="K36" s="142"/>
      <c r="L36" s="142"/>
      <c r="M36" s="234">
        <f>SUM(J36:L36)</f>
        <v>237</v>
      </c>
      <c r="N36" s="234"/>
      <c r="O36" s="235"/>
      <c r="P36" s="236"/>
      <c r="Q36" s="236"/>
      <c r="R36" s="236"/>
      <c r="S36" s="205">
        <v>1</v>
      </c>
      <c r="T36" s="206">
        <v>1</v>
      </c>
    </row>
    <row r="37" spans="1:20" s="125" customFormat="1" ht="30">
      <c r="A37" s="131" t="s">
        <v>337</v>
      </c>
      <c r="B37" s="128" t="s">
        <v>338</v>
      </c>
      <c r="C37" s="232">
        <f t="shared" si="1"/>
        <v>846</v>
      </c>
      <c r="D37" s="140">
        <f>320+2+2+1</f>
        <v>325</v>
      </c>
      <c r="E37" s="141">
        <f>87+1+1+1</f>
        <v>90</v>
      </c>
      <c r="F37" s="141">
        <f>422+4</f>
        <v>426</v>
      </c>
      <c r="G37" s="141"/>
      <c r="H37" s="141"/>
      <c r="I37" s="233">
        <f t="shared" si="0"/>
        <v>841</v>
      </c>
      <c r="J37" s="142">
        <v>5</v>
      </c>
      <c r="K37" s="142"/>
      <c r="L37" s="142"/>
      <c r="M37" s="234">
        <f>SUM(J37:L37)</f>
        <v>5</v>
      </c>
      <c r="N37" s="234"/>
      <c r="O37" s="235"/>
      <c r="P37" s="236"/>
      <c r="Q37" s="236"/>
      <c r="R37" s="236"/>
      <c r="S37" s="133"/>
      <c r="T37" s="129"/>
    </row>
    <row r="38" spans="1:20" s="125" customFormat="1" ht="30">
      <c r="A38" s="131">
        <v>101150</v>
      </c>
      <c r="B38" s="128" t="s">
        <v>238</v>
      </c>
      <c r="C38" s="232">
        <f t="shared" si="1"/>
        <v>116</v>
      </c>
      <c r="D38" s="140"/>
      <c r="E38" s="141"/>
      <c r="F38" s="141"/>
      <c r="G38" s="141">
        <f>45+71</f>
        <v>116</v>
      </c>
      <c r="H38" s="141"/>
      <c r="I38" s="233">
        <f t="shared" si="0"/>
        <v>116</v>
      </c>
      <c r="J38" s="142"/>
      <c r="K38" s="142"/>
      <c r="L38" s="142"/>
      <c r="M38" s="234"/>
      <c r="N38" s="234"/>
      <c r="O38" s="235"/>
      <c r="P38" s="236"/>
      <c r="Q38" s="236"/>
      <c r="R38" s="236"/>
      <c r="S38" s="133"/>
      <c r="T38" s="129"/>
    </row>
    <row r="39" spans="1:20" s="125" customFormat="1" ht="15">
      <c r="A39" s="131" t="s">
        <v>239</v>
      </c>
      <c r="B39" s="134" t="s">
        <v>37</v>
      </c>
      <c r="C39" s="232">
        <f t="shared" si="1"/>
        <v>284</v>
      </c>
      <c r="D39" s="140">
        <v>204</v>
      </c>
      <c r="E39" s="141">
        <v>50</v>
      </c>
      <c r="F39" s="141">
        <f>10+20</f>
        <v>30</v>
      </c>
      <c r="G39" s="141"/>
      <c r="H39" s="141"/>
      <c r="I39" s="233">
        <f t="shared" si="0"/>
        <v>284</v>
      </c>
      <c r="J39" s="142"/>
      <c r="K39" s="142"/>
      <c r="L39" s="142"/>
      <c r="M39" s="234"/>
      <c r="N39" s="234"/>
      <c r="O39" s="235"/>
      <c r="P39" s="236"/>
      <c r="Q39" s="236"/>
      <c r="R39" s="236"/>
      <c r="S39" s="133"/>
      <c r="T39" s="129"/>
    </row>
    <row r="40" spans="1:20" s="125" customFormat="1" ht="30">
      <c r="A40" s="131">
        <v>104051</v>
      </c>
      <c r="B40" s="128" t="s">
        <v>401</v>
      </c>
      <c r="C40" s="232">
        <f t="shared" si="1"/>
        <v>46</v>
      </c>
      <c r="D40" s="140"/>
      <c r="E40" s="141"/>
      <c r="F40" s="141"/>
      <c r="G40" s="141">
        <v>46</v>
      </c>
      <c r="H40" s="141"/>
      <c r="I40" s="233">
        <f t="shared" si="0"/>
        <v>46</v>
      </c>
      <c r="J40" s="142"/>
      <c r="K40" s="142"/>
      <c r="L40" s="142"/>
      <c r="M40" s="234"/>
      <c r="N40" s="234"/>
      <c r="O40" s="235"/>
      <c r="P40" s="236"/>
      <c r="Q40" s="236"/>
      <c r="R40" s="236"/>
      <c r="S40" s="133"/>
      <c r="T40" s="129"/>
    </row>
    <row r="41" spans="1:20" s="125" customFormat="1" ht="15">
      <c r="A41" s="131">
        <v>105010</v>
      </c>
      <c r="B41" s="128" t="s">
        <v>240</v>
      </c>
      <c r="C41" s="232">
        <f t="shared" si="1"/>
        <v>173</v>
      </c>
      <c r="D41" s="140"/>
      <c r="E41" s="141"/>
      <c r="F41" s="141"/>
      <c r="G41" s="141">
        <f>147+26</f>
        <v>173</v>
      </c>
      <c r="H41" s="141"/>
      <c r="I41" s="233">
        <f t="shared" si="0"/>
        <v>173</v>
      </c>
      <c r="J41" s="142"/>
      <c r="K41" s="142"/>
      <c r="L41" s="142"/>
      <c r="M41" s="234"/>
      <c r="N41" s="234"/>
      <c r="O41" s="235"/>
      <c r="P41" s="236"/>
      <c r="Q41" s="236"/>
      <c r="R41" s="236"/>
      <c r="S41" s="133"/>
      <c r="T41" s="129"/>
    </row>
    <row r="42" spans="1:20" s="125" customFormat="1" ht="30">
      <c r="A42" s="131">
        <v>106020</v>
      </c>
      <c r="B42" s="128" t="s">
        <v>241</v>
      </c>
      <c r="C42" s="232">
        <f t="shared" si="1"/>
        <v>791</v>
      </c>
      <c r="D42" s="140"/>
      <c r="E42" s="141"/>
      <c r="F42" s="141"/>
      <c r="G42" s="141">
        <v>791</v>
      </c>
      <c r="H42" s="141"/>
      <c r="I42" s="233">
        <f t="shared" si="0"/>
        <v>791</v>
      </c>
      <c r="J42" s="142"/>
      <c r="K42" s="142"/>
      <c r="L42" s="142"/>
      <c r="M42" s="234"/>
      <c r="N42" s="234"/>
      <c r="O42" s="235"/>
      <c r="P42" s="236"/>
      <c r="Q42" s="236"/>
      <c r="R42" s="236"/>
      <c r="S42" s="133">
        <v>0.6</v>
      </c>
      <c r="T42" s="129">
        <v>0.6</v>
      </c>
    </row>
    <row r="43" spans="1:20" s="125" customFormat="1" ht="15">
      <c r="A43" s="131" t="s">
        <v>242</v>
      </c>
      <c r="B43" s="134" t="s">
        <v>398</v>
      </c>
      <c r="C43" s="232">
        <f t="shared" si="1"/>
        <v>4227</v>
      </c>
      <c r="D43" s="140">
        <f>1479+10+9+5</f>
        <v>1503</v>
      </c>
      <c r="E43" s="141">
        <f>403+2+5+1</f>
        <v>411</v>
      </c>
      <c r="F43" s="141">
        <f>2261+29+18</f>
        <v>2308</v>
      </c>
      <c r="G43" s="141"/>
      <c r="H43" s="141"/>
      <c r="I43" s="233">
        <f t="shared" si="0"/>
        <v>4222</v>
      </c>
      <c r="J43" s="142">
        <v>5</v>
      </c>
      <c r="K43" s="142"/>
      <c r="L43" s="142"/>
      <c r="M43" s="234">
        <f>SUM(J43:L43)</f>
        <v>5</v>
      </c>
      <c r="N43" s="234"/>
      <c r="O43" s="235"/>
      <c r="P43" s="236"/>
      <c r="Q43" s="236"/>
      <c r="R43" s="236"/>
      <c r="S43" s="133"/>
      <c r="T43" s="129"/>
    </row>
    <row r="44" spans="1:20" s="125" customFormat="1" ht="15">
      <c r="A44" s="131" t="s">
        <v>399</v>
      </c>
      <c r="B44" s="134" t="s">
        <v>400</v>
      </c>
      <c r="C44" s="232">
        <f t="shared" si="1"/>
        <v>1204</v>
      </c>
      <c r="D44" s="140">
        <f>360+2+2+1</f>
        <v>365</v>
      </c>
      <c r="E44" s="141">
        <f>98+1+1+1</f>
        <v>101</v>
      </c>
      <c r="F44" s="141">
        <f>713+5</f>
        <v>718</v>
      </c>
      <c r="G44" s="141"/>
      <c r="H44" s="141"/>
      <c r="I44" s="233">
        <f t="shared" si="0"/>
        <v>1184</v>
      </c>
      <c r="J44" s="142">
        <v>20</v>
      </c>
      <c r="K44" s="142"/>
      <c r="L44" s="142"/>
      <c r="M44" s="234">
        <f>SUM(J44:L44)</f>
        <v>20</v>
      </c>
      <c r="N44" s="234"/>
      <c r="O44" s="235"/>
      <c r="P44" s="236"/>
      <c r="Q44" s="236"/>
      <c r="R44" s="236"/>
      <c r="S44" s="133"/>
      <c r="T44" s="129"/>
    </row>
    <row r="45" spans="1:20" s="125" customFormat="1" ht="15">
      <c r="A45" s="131">
        <v>107052</v>
      </c>
      <c r="B45" s="135" t="s">
        <v>243</v>
      </c>
      <c r="C45" s="232">
        <f t="shared" si="1"/>
        <v>360</v>
      </c>
      <c r="D45" s="140"/>
      <c r="E45" s="141"/>
      <c r="F45" s="141">
        <v>360</v>
      </c>
      <c r="G45" s="141"/>
      <c r="H45" s="141"/>
      <c r="I45" s="233">
        <f t="shared" si="0"/>
        <v>360</v>
      </c>
      <c r="J45" s="142"/>
      <c r="K45" s="142"/>
      <c r="L45" s="142"/>
      <c r="M45" s="234"/>
      <c r="N45" s="234"/>
      <c r="O45" s="235"/>
      <c r="P45" s="236"/>
      <c r="Q45" s="236"/>
      <c r="R45" s="236"/>
      <c r="S45" s="133"/>
      <c r="T45" s="129"/>
    </row>
    <row r="46" spans="1:20" s="125" customFormat="1" ht="27.75" customHeight="1">
      <c r="A46" s="131">
        <v>107060</v>
      </c>
      <c r="B46" s="128" t="s">
        <v>244</v>
      </c>
      <c r="C46" s="232">
        <f t="shared" si="1"/>
        <v>2144</v>
      </c>
      <c r="D46" s="140"/>
      <c r="E46" s="141"/>
      <c r="F46" s="141">
        <f>249+228</f>
        <v>477</v>
      </c>
      <c r="G46" s="141">
        <f>1604+160-71-26</f>
        <v>1667</v>
      </c>
      <c r="H46" s="141"/>
      <c r="I46" s="233">
        <f t="shared" si="0"/>
        <v>2144</v>
      </c>
      <c r="J46" s="142"/>
      <c r="K46" s="142"/>
      <c r="L46" s="142"/>
      <c r="M46" s="234"/>
      <c r="N46" s="234"/>
      <c r="O46" s="235"/>
      <c r="P46" s="236"/>
      <c r="Q46" s="236"/>
      <c r="R46" s="236"/>
      <c r="S46" s="130">
        <v>0.4</v>
      </c>
      <c r="T46" s="129">
        <v>0.4</v>
      </c>
    </row>
    <row r="47" spans="1:20" s="125" customFormat="1" ht="15.75" thickBot="1">
      <c r="A47" s="131">
        <v>900070</v>
      </c>
      <c r="B47" s="135" t="s">
        <v>402</v>
      </c>
      <c r="C47" s="232">
        <f t="shared" si="1"/>
        <v>35255</v>
      </c>
      <c r="D47" s="140"/>
      <c r="E47" s="141"/>
      <c r="F47" s="141"/>
      <c r="G47" s="141"/>
      <c r="H47" s="141">
        <f>10107+185-155-1748-160-35+10000-140-250-480-191-20-18-20+15357-508+3331</f>
        <v>35255</v>
      </c>
      <c r="I47" s="233">
        <f t="shared" si="0"/>
        <v>35255</v>
      </c>
      <c r="J47" s="142"/>
      <c r="K47" s="142"/>
      <c r="L47" s="142"/>
      <c r="M47" s="234"/>
      <c r="N47" s="234"/>
      <c r="O47" s="235"/>
      <c r="P47" s="236"/>
      <c r="Q47" s="236"/>
      <c r="R47" s="236"/>
      <c r="S47" s="133"/>
      <c r="T47" s="129"/>
    </row>
    <row r="48" spans="1:20" ht="15" thickBot="1">
      <c r="A48" s="238"/>
      <c r="B48" s="239" t="s">
        <v>345</v>
      </c>
      <c r="C48" s="240">
        <f>SUM(C15:C47)</f>
        <v>157496</v>
      </c>
      <c r="D48" s="240">
        <f aca="true" t="shared" si="2" ref="D48:K48">SUM(D15:D47)</f>
        <v>16124</v>
      </c>
      <c r="E48" s="240">
        <f t="shared" si="2"/>
        <v>4296</v>
      </c>
      <c r="F48" s="240">
        <f t="shared" si="2"/>
        <v>22336</v>
      </c>
      <c r="G48" s="240">
        <f t="shared" si="2"/>
        <v>2793</v>
      </c>
      <c r="H48" s="240">
        <f t="shared" si="2"/>
        <v>36480</v>
      </c>
      <c r="I48" s="240">
        <f t="shared" si="2"/>
        <v>82029</v>
      </c>
      <c r="J48" s="240">
        <f t="shared" si="2"/>
        <v>4944</v>
      </c>
      <c r="K48" s="240">
        <f t="shared" si="2"/>
        <v>32765</v>
      </c>
      <c r="L48" s="240">
        <f>SUM(L15:L46)</f>
        <v>36815</v>
      </c>
      <c r="M48" s="240">
        <f>SUM(M15:M46)</f>
        <v>74524</v>
      </c>
      <c r="N48" s="240"/>
      <c r="O48" s="240"/>
      <c r="P48" s="240"/>
      <c r="Q48" s="240">
        <f>SUM(Q15:Q46)</f>
        <v>943</v>
      </c>
      <c r="R48" s="240">
        <f>SUM(R15:R46)</f>
        <v>943</v>
      </c>
      <c r="S48" s="136">
        <f>SUM(S15:S46)</f>
        <v>4.25</v>
      </c>
      <c r="T48" s="136">
        <f>SUM(T15:T46)</f>
        <v>4.25</v>
      </c>
    </row>
  </sheetData>
  <sheetProtection/>
  <mergeCells count="33">
    <mergeCell ref="K1:T1"/>
    <mergeCell ref="S9:T9"/>
    <mergeCell ref="A6:T6"/>
    <mergeCell ref="K12:K14"/>
    <mergeCell ref="L12:L14"/>
    <mergeCell ref="O12:O14"/>
    <mergeCell ref="F12:F14"/>
    <mergeCell ref="A2:P2"/>
    <mergeCell ref="A3:T3"/>
    <mergeCell ref="S13:T14"/>
    <mergeCell ref="A5:T5"/>
    <mergeCell ref="R12:R14"/>
    <mergeCell ref="C10:C14"/>
    <mergeCell ref="M12:M14"/>
    <mergeCell ref="J11:M11"/>
    <mergeCell ref="A8:T8"/>
    <mergeCell ref="A7:T7"/>
    <mergeCell ref="S10:T10"/>
    <mergeCell ref="D11:I11"/>
    <mergeCell ref="S11:T11"/>
    <mergeCell ref="D12:D14"/>
    <mergeCell ref="P12:P14"/>
    <mergeCell ref="B10:B14"/>
    <mergeCell ref="I12:I14"/>
    <mergeCell ref="N11:R11"/>
    <mergeCell ref="A10:A14"/>
    <mergeCell ref="G12:G14"/>
    <mergeCell ref="N12:N14"/>
    <mergeCell ref="E12:E14"/>
    <mergeCell ref="J12:J14"/>
    <mergeCell ref="H12:H14"/>
    <mergeCell ref="D10:R10"/>
    <mergeCell ref="Q12:Q14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219" customWidth="1"/>
    <col min="2" max="2" width="63.125" style="219" customWidth="1"/>
    <col min="3" max="6" width="26.25390625" style="219" customWidth="1"/>
    <col min="7" max="16384" width="9.125" style="219" customWidth="1"/>
  </cols>
  <sheetData>
    <row r="2" spans="1:6" s="207" customFormat="1" ht="15.75">
      <c r="A2" s="145" t="s">
        <v>502</v>
      </c>
      <c r="C2" s="208"/>
      <c r="D2" s="209"/>
      <c r="E2" s="209"/>
      <c r="F2" s="209"/>
    </row>
    <row r="3" spans="2:6" s="75" customFormat="1" ht="15" customHeight="1">
      <c r="B3" s="368"/>
      <c r="C3" s="368"/>
      <c r="D3" s="368"/>
      <c r="E3" s="368"/>
      <c r="F3" s="368"/>
    </row>
    <row r="4" spans="3:6" s="210" customFormat="1" ht="15" customHeight="1">
      <c r="C4" s="211"/>
      <c r="D4" s="212"/>
      <c r="E4" s="212"/>
      <c r="F4" s="212"/>
    </row>
    <row r="5" spans="2:6" s="143" customFormat="1" ht="15" customHeight="1">
      <c r="B5" s="384" t="s">
        <v>44</v>
      </c>
      <c r="C5" s="384"/>
      <c r="D5" s="384"/>
      <c r="E5" s="384"/>
      <c r="F5" s="384"/>
    </row>
    <row r="6" spans="2:6" s="143" customFormat="1" ht="15.75">
      <c r="B6" s="385" t="s">
        <v>346</v>
      </c>
      <c r="C6" s="385"/>
      <c r="D6" s="385"/>
      <c r="E6" s="385"/>
      <c r="F6" s="385"/>
    </row>
    <row r="7" spans="2:6" s="143" customFormat="1" ht="15" customHeight="1">
      <c r="B7" s="384" t="s">
        <v>162</v>
      </c>
      <c r="C7" s="384"/>
      <c r="D7" s="384"/>
      <c r="E7" s="384"/>
      <c r="F7" s="384"/>
    </row>
    <row r="8" spans="2:7" s="143" customFormat="1" ht="15" customHeight="1">
      <c r="B8" s="384"/>
      <c r="C8" s="383"/>
      <c r="D8" s="383"/>
      <c r="E8" s="383"/>
      <c r="F8" s="383"/>
      <c r="G8" s="335"/>
    </row>
    <row r="9" spans="2:6" s="207" customFormat="1" ht="12" customHeight="1" thickBot="1">
      <c r="B9" s="208"/>
      <c r="C9" s="213"/>
      <c r="D9" s="214"/>
      <c r="E9" s="214"/>
      <c r="F9" s="215"/>
    </row>
    <row r="10" spans="1:6" s="207" customFormat="1" ht="16.5" customHeight="1" thickBot="1">
      <c r="A10" s="386" t="s">
        <v>194</v>
      </c>
      <c r="B10" s="389" t="s">
        <v>195</v>
      </c>
      <c r="C10" s="392" t="s">
        <v>347</v>
      </c>
      <c r="D10" s="395" t="s">
        <v>328</v>
      </c>
      <c r="E10" s="395"/>
      <c r="F10" s="396"/>
    </row>
    <row r="11" spans="1:6" s="207" customFormat="1" ht="33" customHeight="1" thickBot="1">
      <c r="A11" s="387"/>
      <c r="B11" s="390"/>
      <c r="C11" s="393"/>
      <c r="D11" s="216" t="s">
        <v>329</v>
      </c>
      <c r="E11" s="217" t="s">
        <v>330</v>
      </c>
      <c r="F11" s="218" t="s">
        <v>331</v>
      </c>
    </row>
    <row r="12" spans="1:6" s="207" customFormat="1" ht="22.5" customHeight="1">
      <c r="A12" s="387"/>
      <c r="B12" s="390"/>
      <c r="C12" s="393"/>
      <c r="D12" s="397" t="s">
        <v>332</v>
      </c>
      <c r="E12" s="398"/>
      <c r="F12" s="399"/>
    </row>
    <row r="13" spans="1:6" ht="12.75">
      <c r="A13" s="387"/>
      <c r="B13" s="390"/>
      <c r="C13" s="393"/>
      <c r="D13" s="400"/>
      <c r="E13" s="401"/>
      <c r="F13" s="402"/>
    </row>
    <row r="14" spans="1:6" ht="3" customHeight="1" thickBot="1">
      <c r="A14" s="388"/>
      <c r="B14" s="391"/>
      <c r="C14" s="394"/>
      <c r="D14" s="403"/>
      <c r="E14" s="404"/>
      <c r="F14" s="405"/>
    </row>
    <row r="15" spans="1:6" ht="30">
      <c r="A15" s="127" t="s">
        <v>212</v>
      </c>
      <c r="B15" s="128" t="s">
        <v>213</v>
      </c>
      <c r="C15" s="222">
        <f>SUM(D15:F15)</f>
        <v>50770</v>
      </c>
      <c r="D15" s="222">
        <f>38022-27044+32+1748+191+135+148+28+20-12+68+41+134+77</f>
        <v>13588</v>
      </c>
      <c r="E15" s="222">
        <f>30792+37-3785+19+119+10000</f>
        <v>37182</v>
      </c>
      <c r="F15" s="222"/>
    </row>
    <row r="16" spans="1:6" ht="15">
      <c r="A16" s="131" t="s">
        <v>214</v>
      </c>
      <c r="B16" s="128" t="s">
        <v>39</v>
      </c>
      <c r="C16" s="224">
        <f aca="true" t="shared" si="0" ref="C16:C46">SUM(D16:F16)</f>
        <v>64</v>
      </c>
      <c r="D16" s="224">
        <v>64</v>
      </c>
      <c r="E16" s="224"/>
      <c r="F16" s="224"/>
    </row>
    <row r="17" spans="1:6" ht="15">
      <c r="A17" s="131" t="s">
        <v>215</v>
      </c>
      <c r="B17" s="128" t="s">
        <v>216</v>
      </c>
      <c r="C17" s="224">
        <f t="shared" si="0"/>
        <v>1929</v>
      </c>
      <c r="D17" s="224">
        <f>1523-8-286+250+480-50+12</f>
        <v>1921</v>
      </c>
      <c r="E17" s="224">
        <v>8</v>
      </c>
      <c r="F17" s="224"/>
    </row>
    <row r="18" spans="1:6" ht="15">
      <c r="A18" s="131" t="s">
        <v>333</v>
      </c>
      <c r="B18" s="128" t="s">
        <v>334</v>
      </c>
      <c r="C18" s="224">
        <f t="shared" si="0"/>
        <v>961</v>
      </c>
      <c r="D18" s="224">
        <f>943+18</f>
        <v>961</v>
      </c>
      <c r="E18" s="224"/>
      <c r="F18" s="224"/>
    </row>
    <row r="19" spans="1:6" ht="15">
      <c r="A19" s="131" t="s">
        <v>417</v>
      </c>
      <c r="B19" s="128" t="s">
        <v>418</v>
      </c>
      <c r="C19" s="224">
        <f t="shared" si="0"/>
        <v>1731</v>
      </c>
      <c r="D19" s="224"/>
      <c r="E19" s="224">
        <f>24+633+714+360</f>
        <v>1731</v>
      </c>
      <c r="F19" s="224"/>
    </row>
    <row r="20" spans="1:6" ht="15">
      <c r="A20" s="131" t="s">
        <v>460</v>
      </c>
      <c r="B20" s="128" t="s">
        <v>461</v>
      </c>
      <c r="C20" s="224">
        <f t="shared" si="0"/>
        <v>9560</v>
      </c>
      <c r="D20" s="224">
        <f>10000-440</f>
        <v>9560</v>
      </c>
      <c r="E20" s="224"/>
      <c r="F20" s="224"/>
    </row>
    <row r="21" spans="1:6" ht="15">
      <c r="A21" s="131" t="s">
        <v>343</v>
      </c>
      <c r="B21" s="237" t="s">
        <v>344</v>
      </c>
      <c r="C21" s="224">
        <f t="shared" si="0"/>
        <v>312</v>
      </c>
      <c r="D21" s="224">
        <v>312</v>
      </c>
      <c r="E21" s="224"/>
      <c r="F21" s="224"/>
    </row>
    <row r="22" spans="1:6" ht="30">
      <c r="A22" s="131" t="s">
        <v>217</v>
      </c>
      <c r="B22" s="128" t="s">
        <v>218</v>
      </c>
      <c r="C22" s="224">
        <f t="shared" si="0"/>
        <v>237</v>
      </c>
      <c r="D22" s="224">
        <v>237</v>
      </c>
      <c r="E22" s="224"/>
      <c r="F22" s="224"/>
    </row>
    <row r="23" spans="1:6" ht="15">
      <c r="A23" s="131" t="s">
        <v>491</v>
      </c>
      <c r="B23" s="128" t="s">
        <v>492</v>
      </c>
      <c r="C23" s="224">
        <f t="shared" si="0"/>
        <v>10</v>
      </c>
      <c r="D23" s="224">
        <v>10</v>
      </c>
      <c r="E23" s="224"/>
      <c r="F23" s="224"/>
    </row>
    <row r="24" spans="1:6" ht="15">
      <c r="A24" s="131" t="s">
        <v>219</v>
      </c>
      <c r="B24" s="128" t="s">
        <v>220</v>
      </c>
      <c r="C24" s="224">
        <f t="shared" si="0"/>
        <v>5858</v>
      </c>
      <c r="D24" s="224">
        <f>3993+735+1130</f>
        <v>5858</v>
      </c>
      <c r="E24" s="224"/>
      <c r="F24" s="224"/>
    </row>
    <row r="25" spans="1:6" ht="15">
      <c r="A25" s="131" t="s">
        <v>221</v>
      </c>
      <c r="B25" s="128" t="s">
        <v>222</v>
      </c>
      <c r="C25" s="224">
        <f t="shared" si="0"/>
        <v>600</v>
      </c>
      <c r="D25" s="224"/>
      <c r="E25" s="224">
        <v>600</v>
      </c>
      <c r="F25" s="224"/>
    </row>
    <row r="26" spans="1:6" ht="15">
      <c r="A26" s="131" t="s">
        <v>223</v>
      </c>
      <c r="B26" s="128" t="s">
        <v>224</v>
      </c>
      <c r="C26" s="224">
        <f t="shared" si="0"/>
        <v>3056</v>
      </c>
      <c r="D26" s="224">
        <v>3056</v>
      </c>
      <c r="E26" s="224"/>
      <c r="F26" s="224"/>
    </row>
    <row r="27" spans="1:6" ht="15">
      <c r="A27" s="131" t="s">
        <v>225</v>
      </c>
      <c r="B27" s="128" t="s">
        <v>226</v>
      </c>
      <c r="C27" s="224">
        <f t="shared" si="0"/>
        <v>381</v>
      </c>
      <c r="D27" s="224">
        <v>381</v>
      </c>
      <c r="E27" s="224"/>
      <c r="F27" s="224"/>
    </row>
    <row r="28" spans="1:6" ht="15">
      <c r="A28" s="131" t="s">
        <v>227</v>
      </c>
      <c r="B28" s="128" t="s">
        <v>228</v>
      </c>
      <c r="C28" s="224">
        <f t="shared" si="0"/>
        <v>2896</v>
      </c>
      <c r="D28" s="224">
        <f>2431-37+165+80+71+140-10</f>
        <v>2840</v>
      </c>
      <c r="E28" s="224">
        <f>37+19</f>
        <v>56</v>
      </c>
      <c r="F28" s="224"/>
    </row>
    <row r="29" spans="1:6" ht="15">
      <c r="A29" s="131" t="s">
        <v>229</v>
      </c>
      <c r="B29" s="128" t="s">
        <v>36</v>
      </c>
      <c r="C29" s="224">
        <f t="shared" si="0"/>
        <v>23315</v>
      </c>
      <c r="D29" s="224">
        <f>60+50</f>
        <v>110</v>
      </c>
      <c r="E29" s="224">
        <f>22697+508</f>
        <v>23205</v>
      </c>
      <c r="F29" s="224"/>
    </row>
    <row r="30" spans="1:6" ht="15">
      <c r="A30" s="131" t="s">
        <v>230</v>
      </c>
      <c r="B30" s="128" t="s">
        <v>231</v>
      </c>
      <c r="C30" s="224">
        <f t="shared" si="0"/>
        <v>675</v>
      </c>
      <c r="D30" s="224">
        <v>675</v>
      </c>
      <c r="E30" s="224"/>
      <c r="F30" s="224"/>
    </row>
    <row r="31" spans="1:6" ht="15">
      <c r="A31" s="131" t="s">
        <v>232</v>
      </c>
      <c r="B31" s="128" t="s">
        <v>40</v>
      </c>
      <c r="C31" s="224">
        <f t="shared" si="0"/>
        <v>567</v>
      </c>
      <c r="D31" s="224">
        <f>536-15+13+11</f>
        <v>545</v>
      </c>
      <c r="E31" s="224">
        <f>15+7</f>
        <v>22</v>
      </c>
      <c r="F31" s="224"/>
    </row>
    <row r="32" spans="1:6" ht="15">
      <c r="A32" s="131" t="s">
        <v>233</v>
      </c>
      <c r="B32" s="128" t="s">
        <v>38</v>
      </c>
      <c r="C32" s="224">
        <f t="shared" si="0"/>
        <v>235</v>
      </c>
      <c r="D32" s="224"/>
      <c r="E32" s="224">
        <f>200+35</f>
        <v>235</v>
      </c>
      <c r="F32" s="224"/>
    </row>
    <row r="33" spans="1:6" ht="15">
      <c r="A33" s="131" t="s">
        <v>234</v>
      </c>
      <c r="B33" s="128" t="s">
        <v>235</v>
      </c>
      <c r="C33" s="224">
        <f t="shared" si="0"/>
        <v>3381</v>
      </c>
      <c r="D33" s="224">
        <f>2803-75+28+191+286+24</f>
        <v>3257</v>
      </c>
      <c r="E33" s="224">
        <f>75+49</f>
        <v>124</v>
      </c>
      <c r="F33" s="224"/>
    </row>
    <row r="34" spans="1:6" ht="15">
      <c r="A34" s="131" t="s">
        <v>236</v>
      </c>
      <c r="B34" s="128" t="s">
        <v>237</v>
      </c>
      <c r="C34" s="224">
        <f t="shared" si="0"/>
        <v>50</v>
      </c>
      <c r="D34" s="224"/>
      <c r="E34" s="224">
        <v>50</v>
      </c>
      <c r="F34" s="224"/>
    </row>
    <row r="35" spans="1:6" ht="15">
      <c r="A35" s="131" t="s">
        <v>335</v>
      </c>
      <c r="B35" s="128" t="s">
        <v>336</v>
      </c>
      <c r="C35" s="224">
        <f t="shared" si="0"/>
        <v>5462</v>
      </c>
      <c r="D35" s="224">
        <f>5163-68+15+23+7+191+46</f>
        <v>5377</v>
      </c>
      <c r="E35" s="224">
        <f>68+17</f>
        <v>85</v>
      </c>
      <c r="F35" s="224"/>
    </row>
    <row r="36" spans="1:6" ht="15">
      <c r="A36" s="131" t="s">
        <v>337</v>
      </c>
      <c r="B36" s="128" t="s">
        <v>338</v>
      </c>
      <c r="C36" s="224">
        <f t="shared" si="0"/>
        <v>846</v>
      </c>
      <c r="D36" s="224"/>
      <c r="E36" s="224">
        <f>832+3+4+2+5</f>
        <v>846</v>
      </c>
      <c r="F36" s="224"/>
    </row>
    <row r="37" spans="1:6" ht="15">
      <c r="A37" s="131">
        <v>101150</v>
      </c>
      <c r="B37" s="128" t="s">
        <v>238</v>
      </c>
      <c r="C37" s="224">
        <f t="shared" si="0"/>
        <v>116</v>
      </c>
      <c r="D37" s="224">
        <f>45+71</f>
        <v>116</v>
      </c>
      <c r="E37" s="224"/>
      <c r="F37" s="224"/>
    </row>
    <row r="38" spans="1:6" ht="15">
      <c r="A38" s="131" t="s">
        <v>239</v>
      </c>
      <c r="B38" s="134" t="s">
        <v>37</v>
      </c>
      <c r="C38" s="224">
        <f t="shared" si="0"/>
        <v>284</v>
      </c>
      <c r="D38" s="224">
        <f>264+20</f>
        <v>284</v>
      </c>
      <c r="E38" s="224"/>
      <c r="F38" s="224"/>
    </row>
    <row r="39" spans="1:6" ht="15">
      <c r="A39" s="131">
        <v>104051</v>
      </c>
      <c r="B39" s="135" t="s">
        <v>401</v>
      </c>
      <c r="C39" s="224">
        <f t="shared" si="0"/>
        <v>46</v>
      </c>
      <c r="D39" s="224"/>
      <c r="E39" s="224"/>
      <c r="F39" s="224">
        <v>46</v>
      </c>
    </row>
    <row r="40" spans="1:6" ht="15">
      <c r="A40" s="131">
        <v>105010</v>
      </c>
      <c r="B40" s="128" t="s">
        <v>240</v>
      </c>
      <c r="C40" s="224">
        <f t="shared" si="0"/>
        <v>173</v>
      </c>
      <c r="D40" s="224"/>
      <c r="E40" s="224"/>
      <c r="F40" s="224">
        <f>147+26</f>
        <v>173</v>
      </c>
    </row>
    <row r="41" spans="1:6" ht="15">
      <c r="A41" s="131">
        <v>106020</v>
      </c>
      <c r="B41" s="128" t="s">
        <v>241</v>
      </c>
      <c r="C41" s="224">
        <f t="shared" si="0"/>
        <v>791</v>
      </c>
      <c r="D41" s="224">
        <v>600</v>
      </c>
      <c r="E41" s="224"/>
      <c r="F41" s="224">
        <v>191</v>
      </c>
    </row>
    <row r="42" spans="1:6" ht="15">
      <c r="A42" s="131" t="s">
        <v>242</v>
      </c>
      <c r="B42" s="134" t="s">
        <v>398</v>
      </c>
      <c r="C42" s="224">
        <f t="shared" si="0"/>
        <v>4227</v>
      </c>
      <c r="D42" s="224">
        <f>4143-54+12+18+29+6+5</f>
        <v>4159</v>
      </c>
      <c r="E42" s="224">
        <f>54+14</f>
        <v>68</v>
      </c>
      <c r="F42" s="224"/>
    </row>
    <row r="43" spans="1:6" ht="15">
      <c r="A43" s="131" t="s">
        <v>399</v>
      </c>
      <c r="B43" s="134" t="s">
        <v>400</v>
      </c>
      <c r="C43" s="224">
        <f t="shared" si="0"/>
        <v>1204</v>
      </c>
      <c r="D43" s="224"/>
      <c r="E43" s="224">
        <f>1174+3+5+2+20</f>
        <v>1204</v>
      </c>
      <c r="F43" s="224"/>
    </row>
    <row r="44" spans="1:6" ht="15">
      <c r="A44" s="131">
        <v>107052</v>
      </c>
      <c r="B44" s="134" t="s">
        <v>243</v>
      </c>
      <c r="C44" s="224">
        <f t="shared" si="0"/>
        <v>360</v>
      </c>
      <c r="D44" s="224">
        <v>360</v>
      </c>
      <c r="E44" s="224"/>
      <c r="F44" s="224"/>
    </row>
    <row r="45" spans="1:6" ht="15">
      <c r="A45" s="131">
        <v>107060</v>
      </c>
      <c r="B45" s="134" t="s">
        <v>244</v>
      </c>
      <c r="C45" s="224">
        <f t="shared" si="0"/>
        <v>2144</v>
      </c>
      <c r="D45" s="224">
        <f>249+228</f>
        <v>477</v>
      </c>
      <c r="E45" s="224">
        <f>1604+160-71-26</f>
        <v>1667</v>
      </c>
      <c r="F45" s="224"/>
    </row>
    <row r="46" spans="1:6" ht="15.75" thickBot="1">
      <c r="A46" s="131">
        <v>900070</v>
      </c>
      <c r="B46" s="134" t="s">
        <v>402</v>
      </c>
      <c r="C46" s="224">
        <f t="shared" si="0"/>
        <v>35255</v>
      </c>
      <c r="D46" s="224">
        <f>10107+185-155-1748-160-35+10000-140-250-480-191-20-18-20+15357-508-9560+13158-267</f>
        <v>35255</v>
      </c>
      <c r="E46" s="224"/>
      <c r="F46" s="224"/>
    </row>
    <row r="47" spans="1:6" ht="33" customHeight="1" thickBot="1">
      <c r="A47" s="226"/>
      <c r="B47" s="227" t="s">
        <v>1</v>
      </c>
      <c r="C47" s="228">
        <f>SUM(C15:C46)</f>
        <v>157496</v>
      </c>
      <c r="D47" s="228">
        <f>SUM(D15:D46)</f>
        <v>90003</v>
      </c>
      <c r="E47" s="228">
        <f>SUM(E15:E46)</f>
        <v>67083</v>
      </c>
      <c r="F47" s="228">
        <f>SUM(F15:F46)</f>
        <v>410</v>
      </c>
    </row>
  </sheetData>
  <sheetProtection/>
  <mergeCells count="10">
    <mergeCell ref="B3:F3"/>
    <mergeCell ref="B5:F5"/>
    <mergeCell ref="B6:F6"/>
    <mergeCell ref="B7:F7"/>
    <mergeCell ref="A10:A14"/>
    <mergeCell ref="B10:B14"/>
    <mergeCell ref="C10:C14"/>
    <mergeCell ref="D10:F10"/>
    <mergeCell ref="D12:F14"/>
    <mergeCell ref="B8:F8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2" customWidth="1"/>
    <col min="3" max="3" width="23.125" style="12" customWidth="1"/>
    <col min="4" max="4" width="17.375" style="12" customWidth="1"/>
    <col min="5" max="5" width="14.375" style="12" customWidth="1"/>
    <col min="6" max="6" width="17.125" style="12" customWidth="1"/>
    <col min="7" max="16384" width="9.125" style="12" customWidth="1"/>
  </cols>
  <sheetData>
    <row r="1" spans="1:10" ht="15.75">
      <c r="A1" s="145" t="s">
        <v>503</v>
      </c>
      <c r="C1" s="81"/>
      <c r="D1" s="81"/>
      <c r="E1" s="81"/>
      <c r="F1" s="81"/>
      <c r="G1" s="81"/>
      <c r="H1" s="81"/>
      <c r="I1" s="81"/>
      <c r="J1" s="81"/>
    </row>
    <row r="2" spans="1:6" ht="15">
      <c r="A2" s="459"/>
      <c r="B2" s="459"/>
      <c r="C2" s="459"/>
      <c r="D2" s="459"/>
      <c r="E2" s="459"/>
      <c r="F2" s="459"/>
    </row>
    <row r="3" spans="1:6" ht="15">
      <c r="A3" s="459"/>
      <c r="B3" s="459"/>
      <c r="C3" s="459"/>
      <c r="D3" s="459"/>
      <c r="E3" s="459"/>
      <c r="F3" s="459"/>
    </row>
    <row r="4" ht="12.75" customHeight="1"/>
    <row r="5" spans="1:6" s="22" customFormat="1" ht="15.75">
      <c r="A5" s="460" t="s">
        <v>3</v>
      </c>
      <c r="B5" s="460"/>
      <c r="C5" s="460"/>
      <c r="D5" s="460"/>
      <c r="E5" s="460"/>
      <c r="F5" s="460"/>
    </row>
    <row r="6" spans="1:6" s="22" customFormat="1" ht="15.75">
      <c r="A6" s="460" t="s">
        <v>455</v>
      </c>
      <c r="B6" s="460"/>
      <c r="C6" s="460"/>
      <c r="D6" s="460"/>
      <c r="E6" s="460"/>
      <c r="F6" s="460"/>
    </row>
    <row r="7" spans="1:6" s="22" customFormat="1" ht="15.75">
      <c r="A7" s="460"/>
      <c r="B7" s="383"/>
      <c r="C7" s="383"/>
      <c r="D7" s="383"/>
      <c r="E7" s="383"/>
      <c r="F7" s="383"/>
    </row>
    <row r="8" spans="1:6" ht="12.75" customHeight="1">
      <c r="A8" s="461"/>
      <c r="B8" s="461"/>
      <c r="C8" s="461"/>
      <c r="D8" s="461"/>
      <c r="E8" s="461"/>
      <c r="F8" s="461"/>
    </row>
    <row r="9" ht="15">
      <c r="F9" s="137" t="s">
        <v>7</v>
      </c>
    </row>
    <row r="10" spans="1:6" ht="15">
      <c r="A10" s="446" t="s">
        <v>0</v>
      </c>
      <c r="B10" s="447"/>
      <c r="C10" s="447"/>
      <c r="D10" s="447"/>
      <c r="E10" s="448"/>
      <c r="F10" s="456" t="s">
        <v>11</v>
      </c>
    </row>
    <row r="11" spans="1:6" ht="15">
      <c r="A11" s="449"/>
      <c r="B11" s="450"/>
      <c r="C11" s="450"/>
      <c r="D11" s="450"/>
      <c r="E11" s="451"/>
      <c r="F11" s="457"/>
    </row>
    <row r="12" spans="1:6" ht="15">
      <c r="A12" s="452"/>
      <c r="B12" s="453"/>
      <c r="C12" s="453"/>
      <c r="D12" s="453"/>
      <c r="E12" s="454"/>
      <c r="F12" s="458"/>
    </row>
    <row r="13" spans="1:6" ht="15">
      <c r="A13" s="14" t="s">
        <v>245</v>
      </c>
      <c r="E13" s="24"/>
      <c r="F13" s="25"/>
    </row>
    <row r="14" spans="1:2" s="14" customFormat="1" ht="11.25" customHeight="1">
      <c r="A14" s="137"/>
      <c r="B14" s="12"/>
    </row>
    <row r="15" spans="1:5" ht="29.25" customHeight="1">
      <c r="A15" s="137"/>
      <c r="B15" s="353" t="s">
        <v>246</v>
      </c>
      <c r="C15" s="353"/>
      <c r="D15" s="353"/>
      <c r="E15" s="353"/>
    </row>
    <row r="16" spans="1:6" ht="15.75">
      <c r="A16" s="138" t="s">
        <v>47</v>
      </c>
      <c r="B16" s="15" t="s">
        <v>20</v>
      </c>
      <c r="D16" s="13"/>
      <c r="F16" s="47"/>
    </row>
    <row r="17" spans="1:6" ht="15.75">
      <c r="A17" s="139" t="s">
        <v>24</v>
      </c>
      <c r="B17" s="16" t="s">
        <v>74</v>
      </c>
      <c r="F17" s="47">
        <f>20+49</f>
        <v>69</v>
      </c>
    </row>
    <row r="18" spans="1:6" ht="15">
      <c r="A18" s="13" t="s">
        <v>48</v>
      </c>
      <c r="B18" s="12" t="s">
        <v>25</v>
      </c>
      <c r="F18" s="47">
        <f>92+85</f>
        <v>177</v>
      </c>
    </row>
    <row r="19" spans="1:6" ht="15">
      <c r="A19" s="13" t="s">
        <v>106</v>
      </c>
      <c r="B19" s="12" t="s">
        <v>420</v>
      </c>
      <c r="F19" s="47">
        <v>15</v>
      </c>
    </row>
    <row r="20" spans="1:6" ht="15">
      <c r="A20" s="13" t="s">
        <v>108</v>
      </c>
      <c r="B20" s="12" t="s">
        <v>421</v>
      </c>
      <c r="F20" s="47">
        <v>120</v>
      </c>
    </row>
    <row r="21" spans="1:6" s="14" customFormat="1" ht="13.5" customHeight="1">
      <c r="A21" s="13" t="s">
        <v>114</v>
      </c>
      <c r="B21" s="12" t="s">
        <v>474</v>
      </c>
      <c r="F21" s="47">
        <v>18</v>
      </c>
    </row>
    <row r="22" spans="1:6" ht="33.75" customHeight="1">
      <c r="A22" s="14"/>
      <c r="B22" s="353" t="s">
        <v>247</v>
      </c>
      <c r="C22" s="353"/>
      <c r="D22" s="353"/>
      <c r="E22" s="353"/>
      <c r="F22" s="48">
        <f>SUM(F16:F21)</f>
        <v>399</v>
      </c>
    </row>
    <row r="23" spans="1:2" s="14" customFormat="1" ht="11.25" customHeight="1">
      <c r="A23" s="137"/>
      <c r="B23" s="12"/>
    </row>
    <row r="24" spans="1:6" ht="33" customHeight="1">
      <c r="A24" s="14"/>
      <c r="B24" s="353" t="s">
        <v>248</v>
      </c>
      <c r="C24" s="353"/>
      <c r="D24" s="353"/>
      <c r="E24" s="353"/>
      <c r="F24" s="47"/>
    </row>
    <row r="25" spans="1:2" s="14" customFormat="1" ht="11.25" customHeight="1">
      <c r="A25" s="137"/>
      <c r="B25" s="12"/>
    </row>
    <row r="26" spans="1:6" ht="15.75">
      <c r="A26" s="13" t="s">
        <v>47</v>
      </c>
      <c r="B26" s="15" t="s">
        <v>21</v>
      </c>
      <c r="C26" s="15"/>
      <c r="F26" s="47">
        <v>50</v>
      </c>
    </row>
    <row r="27" spans="1:2" s="14" customFormat="1" ht="11.25" customHeight="1">
      <c r="A27" s="137"/>
      <c r="B27" s="12"/>
    </row>
    <row r="28" spans="1:255" ht="15.75">
      <c r="A28" s="13" t="s">
        <v>24</v>
      </c>
      <c r="B28" s="18" t="s">
        <v>22</v>
      </c>
      <c r="C28" s="18"/>
      <c r="D28" s="18"/>
      <c r="E28" s="18"/>
      <c r="F28" s="47">
        <v>40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ht="15.75">
      <c r="A29" s="13" t="s">
        <v>48</v>
      </c>
      <c r="B29" s="18" t="s">
        <v>23</v>
      </c>
      <c r="C29" s="18"/>
      <c r="D29" s="18"/>
      <c r="E29" s="18"/>
      <c r="F29" s="47">
        <f>80+35</f>
        <v>115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ht="15.75">
      <c r="A30" s="13" t="s">
        <v>106</v>
      </c>
      <c r="B30" s="18" t="s">
        <v>50</v>
      </c>
      <c r="C30" s="18"/>
      <c r="D30" s="18"/>
      <c r="E30" s="18"/>
      <c r="F30" s="47">
        <f>80</f>
        <v>80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ht="15.75">
      <c r="A31" s="13" t="s">
        <v>108</v>
      </c>
      <c r="B31" s="18" t="s">
        <v>51</v>
      </c>
      <c r="C31" s="18"/>
      <c r="D31" s="18"/>
      <c r="E31" s="18"/>
      <c r="F31" s="47">
        <v>75</v>
      </c>
      <c r="G31" s="6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6" ht="13.5" customHeight="1">
      <c r="A32" s="13" t="s">
        <v>114</v>
      </c>
      <c r="B32" s="18" t="s">
        <v>75</v>
      </c>
      <c r="F32" s="47">
        <v>600</v>
      </c>
    </row>
    <row r="33" spans="1:2" s="14" customFormat="1" ht="11.25" customHeight="1">
      <c r="A33" s="137"/>
      <c r="B33" s="12"/>
    </row>
    <row r="34" spans="1:8" ht="32.25" customHeight="1">
      <c r="A34" s="14"/>
      <c r="B34" s="353" t="s">
        <v>249</v>
      </c>
      <c r="C34" s="353"/>
      <c r="D34" s="353"/>
      <c r="E34" s="353"/>
      <c r="F34" s="48">
        <f>SUM(F26:F33)</f>
        <v>960</v>
      </c>
      <c r="G34" s="17"/>
      <c r="H34" s="17"/>
    </row>
    <row r="35" spans="1:2" s="14" customFormat="1" ht="11.25" customHeight="1">
      <c r="A35" s="137"/>
      <c r="B35" s="12"/>
    </row>
    <row r="36" spans="1:7" s="19" customFormat="1" ht="15.75">
      <c r="A36" s="14" t="s">
        <v>250</v>
      </c>
      <c r="F36" s="48">
        <f>F34+F22</f>
        <v>1359</v>
      </c>
      <c r="G36" s="20"/>
    </row>
    <row r="37" spans="1:2" s="14" customFormat="1" ht="11.25" customHeight="1">
      <c r="A37" s="137"/>
      <c r="B37" s="12"/>
    </row>
    <row r="38" spans="2:7" s="19" customFormat="1" ht="54.75" customHeight="1">
      <c r="B38" s="350" t="s">
        <v>318</v>
      </c>
      <c r="C38" s="350"/>
      <c r="D38" s="350"/>
      <c r="E38" s="350"/>
      <c r="F38" s="48"/>
      <c r="G38" s="20"/>
    </row>
    <row r="39" spans="1:2" s="14" customFormat="1" ht="3" customHeight="1">
      <c r="A39" s="137"/>
      <c r="B39" s="12"/>
    </row>
    <row r="40" spans="1:6" ht="31.5" customHeight="1">
      <c r="A40" s="13" t="s">
        <v>47</v>
      </c>
      <c r="B40" s="455" t="s">
        <v>319</v>
      </c>
      <c r="C40" s="455"/>
      <c r="D40" s="455"/>
      <c r="E40" s="455"/>
      <c r="F40" s="47">
        <v>26215</v>
      </c>
    </row>
    <row r="41" spans="1:6" ht="31.5" customHeight="1">
      <c r="A41" s="13" t="s">
        <v>24</v>
      </c>
      <c r="B41" s="455" t="s">
        <v>456</v>
      </c>
      <c r="C41" s="455"/>
      <c r="D41" s="455"/>
      <c r="E41" s="455"/>
      <c r="F41" s="47">
        <v>10000</v>
      </c>
    </row>
    <row r="42" spans="1:2" s="14" customFormat="1" ht="11.25" customHeight="1">
      <c r="A42" s="137"/>
      <c r="B42" s="12"/>
    </row>
    <row r="43" spans="1:7" s="19" customFormat="1" ht="50.25" customHeight="1">
      <c r="A43" s="350" t="s">
        <v>320</v>
      </c>
      <c r="B43" s="350"/>
      <c r="C43" s="350"/>
      <c r="D43" s="350"/>
      <c r="E43" s="350"/>
      <c r="F43" s="48">
        <f>F40+F41</f>
        <v>36215</v>
      </c>
      <c r="G43" s="20"/>
    </row>
    <row r="44" spans="1:2" s="14" customFormat="1" ht="3.75" customHeight="1">
      <c r="A44" s="137"/>
      <c r="B44" s="12"/>
    </row>
    <row r="45" spans="1:6" s="21" customFormat="1" ht="18.75">
      <c r="A45" s="21" t="s">
        <v>6</v>
      </c>
      <c r="F45" s="43">
        <f>F36+F43</f>
        <v>37574</v>
      </c>
    </row>
  </sheetData>
  <sheetProtection/>
  <mergeCells count="16">
    <mergeCell ref="F10:F12"/>
    <mergeCell ref="A2:F2"/>
    <mergeCell ref="A3:F3"/>
    <mergeCell ref="A5:F5"/>
    <mergeCell ref="A8:F8"/>
    <mergeCell ref="A6:F6"/>
    <mergeCell ref="A7:F7"/>
    <mergeCell ref="A43:E43"/>
    <mergeCell ref="B24:E24"/>
    <mergeCell ref="B34:E34"/>
    <mergeCell ref="A10:E12"/>
    <mergeCell ref="B15:E15"/>
    <mergeCell ref="B22:E22"/>
    <mergeCell ref="B40:E40"/>
    <mergeCell ref="B38:E38"/>
    <mergeCell ref="B41:E4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7.875" style="28" customWidth="1"/>
    <col min="2" max="2" width="12.125" style="28" customWidth="1"/>
    <col min="3" max="3" width="16.00390625" style="42" customWidth="1"/>
    <col min="4" max="16384" width="9.125" style="28" customWidth="1"/>
  </cols>
  <sheetData>
    <row r="1" spans="1:4" ht="15.75">
      <c r="A1" s="145" t="s">
        <v>504</v>
      </c>
      <c r="B1" s="145"/>
      <c r="C1" s="145"/>
      <c r="D1" s="81"/>
    </row>
    <row r="2" spans="1:4" ht="15">
      <c r="A2" s="82"/>
      <c r="B2" s="82"/>
      <c r="C2" s="82"/>
      <c r="D2" s="81"/>
    </row>
    <row r="3" spans="1:3" ht="15.75" customHeight="1">
      <c r="A3" s="462"/>
      <c r="B3" s="462"/>
      <c r="C3" s="462"/>
    </row>
    <row r="4" spans="1:3" ht="15.75">
      <c r="A4" s="29"/>
      <c r="B4" s="29"/>
      <c r="C4" s="40"/>
    </row>
    <row r="5" spans="1:3" s="15" customFormat="1" ht="15.75" customHeight="1">
      <c r="A5" s="463" t="s">
        <v>42</v>
      </c>
      <c r="B5" s="463"/>
      <c r="C5" s="463"/>
    </row>
    <row r="6" spans="1:6" s="22" customFormat="1" ht="15.75">
      <c r="A6" s="460" t="s">
        <v>43</v>
      </c>
      <c r="B6" s="460"/>
      <c r="C6" s="460"/>
      <c r="D6" s="50"/>
      <c r="E6" s="50"/>
      <c r="F6" s="50"/>
    </row>
    <row r="7" spans="1:6" s="12" customFormat="1" ht="15">
      <c r="A7" s="459" t="s">
        <v>252</v>
      </c>
      <c r="B7" s="459"/>
      <c r="C7" s="459"/>
      <c r="D7" s="49"/>
      <c r="E7" s="49"/>
      <c r="F7" s="49"/>
    </row>
    <row r="8" spans="1:6" s="12" customFormat="1" ht="15">
      <c r="A8" s="459"/>
      <c r="B8" s="383"/>
      <c r="C8" s="383"/>
      <c r="D8" s="49"/>
      <c r="E8" s="49"/>
      <c r="F8" s="49"/>
    </row>
    <row r="9" spans="2:3" ht="15.75" customHeight="1" thickBot="1">
      <c r="B9" s="30"/>
      <c r="C9" s="41" t="s">
        <v>4</v>
      </c>
    </row>
    <row r="10" spans="1:3" ht="15" customHeight="1">
      <c r="A10" s="31"/>
      <c r="B10" s="32" t="s">
        <v>15</v>
      </c>
      <c r="C10" s="44" t="s">
        <v>33</v>
      </c>
    </row>
    <row r="11" spans="1:3" ht="15.75" customHeight="1">
      <c r="A11" s="33" t="s">
        <v>0</v>
      </c>
      <c r="B11" s="34"/>
      <c r="C11" s="45" t="s">
        <v>34</v>
      </c>
    </row>
    <row r="12" spans="1:3" ht="32.25" thickBot="1">
      <c r="A12" s="35"/>
      <c r="B12" s="36" t="s">
        <v>10</v>
      </c>
      <c r="C12" s="46" t="s">
        <v>35</v>
      </c>
    </row>
    <row r="13" ht="11.25" customHeight="1">
      <c r="C13" s="28"/>
    </row>
    <row r="14" ht="15.75">
      <c r="A14" s="37" t="s">
        <v>26</v>
      </c>
    </row>
    <row r="15" ht="15.75">
      <c r="A15" s="37" t="s">
        <v>9</v>
      </c>
    </row>
    <row r="16" ht="11.25" customHeight="1"/>
    <row r="17" spans="1:3" ht="15">
      <c r="A17" s="28" t="s">
        <v>54</v>
      </c>
      <c r="B17" s="54">
        <f>51+26</f>
        <v>77</v>
      </c>
      <c r="C17" s="54">
        <v>69</v>
      </c>
    </row>
    <row r="18" spans="1:3" ht="15">
      <c r="A18" s="28" t="s">
        <v>76</v>
      </c>
      <c r="B18" s="54">
        <v>96</v>
      </c>
      <c r="C18" s="54">
        <f>B18*0.8</f>
        <v>76.80000000000001</v>
      </c>
    </row>
    <row r="19" spans="1:3" ht="15">
      <c r="A19" s="28" t="s">
        <v>82</v>
      </c>
      <c r="B19" s="47">
        <v>191</v>
      </c>
      <c r="C19" s="54">
        <f>48+133</f>
        <v>181</v>
      </c>
    </row>
    <row r="20" spans="2:3" ht="11.25" customHeight="1">
      <c r="B20" s="47"/>
      <c r="C20" s="47"/>
    </row>
    <row r="21" spans="1:2" ht="15.75">
      <c r="A21" s="37" t="s">
        <v>26</v>
      </c>
      <c r="B21" s="47"/>
    </row>
    <row r="22" spans="1:3" ht="15">
      <c r="A22" s="37" t="s">
        <v>27</v>
      </c>
      <c r="B22" s="48">
        <f>SUM(B17:B21)</f>
        <v>364</v>
      </c>
      <c r="C22" s="48">
        <f>SUM(C17:C21)</f>
        <v>326.8</v>
      </c>
    </row>
    <row r="23" ht="11.25" customHeight="1">
      <c r="B23" s="47"/>
    </row>
    <row r="24" spans="1:3" ht="15.75">
      <c r="A24" s="37" t="s">
        <v>28</v>
      </c>
      <c r="B24" s="47"/>
      <c r="C24" s="42">
        <f>B23*0.9</f>
        <v>0</v>
      </c>
    </row>
    <row r="25" spans="1:2" ht="15.75">
      <c r="A25" s="37" t="s">
        <v>9</v>
      </c>
      <c r="B25" s="47"/>
    </row>
    <row r="26" ht="11.25" customHeight="1">
      <c r="B26" s="47"/>
    </row>
    <row r="27" spans="1:2" ht="15.75">
      <c r="A27" s="28" t="s">
        <v>253</v>
      </c>
      <c r="B27" s="47">
        <f>15+40</f>
        <v>55</v>
      </c>
    </row>
    <row r="28" spans="1:3" s="23" customFormat="1" ht="15.75">
      <c r="A28" s="23" t="s">
        <v>403</v>
      </c>
      <c r="B28" s="55">
        <f>71</f>
        <v>71</v>
      </c>
      <c r="C28" s="42"/>
    </row>
    <row r="29" spans="1:2" ht="15.75">
      <c r="A29" s="28" t="s">
        <v>77</v>
      </c>
      <c r="B29" s="47">
        <f>342</f>
        <v>342</v>
      </c>
    </row>
    <row r="30" spans="1:2" ht="15.75">
      <c r="A30" s="28" t="s">
        <v>404</v>
      </c>
      <c r="B30" s="47">
        <f>45+47</f>
        <v>92</v>
      </c>
    </row>
    <row r="31" spans="1:2" ht="30">
      <c r="A31" s="199" t="s">
        <v>405</v>
      </c>
      <c r="B31" s="47">
        <v>600</v>
      </c>
    </row>
    <row r="32" spans="1:2" ht="15.75">
      <c r="A32" s="199" t="s">
        <v>406</v>
      </c>
      <c r="B32" s="47">
        <f>700-137</f>
        <v>563</v>
      </c>
    </row>
    <row r="33" spans="1:2" ht="15.75">
      <c r="A33" s="199" t="s">
        <v>407</v>
      </c>
      <c r="B33" s="47">
        <v>450</v>
      </c>
    </row>
    <row r="34" spans="1:2" ht="30">
      <c r="A34" s="199" t="s">
        <v>408</v>
      </c>
      <c r="B34" s="47">
        <v>46</v>
      </c>
    </row>
    <row r="35" spans="1:2" ht="15.75">
      <c r="A35" s="28" t="s">
        <v>83</v>
      </c>
      <c r="B35" s="47">
        <f>50+160</f>
        <v>210</v>
      </c>
    </row>
    <row r="36" ht="11.25" customHeight="1">
      <c r="B36" s="47"/>
    </row>
    <row r="37" spans="1:2" ht="15.75">
      <c r="A37" s="37" t="s">
        <v>28</v>
      </c>
      <c r="B37" s="47"/>
    </row>
    <row r="38" spans="1:3" ht="15">
      <c r="A38" s="37" t="s">
        <v>29</v>
      </c>
      <c r="B38" s="48">
        <f>SUM(B27:B37)</f>
        <v>2429</v>
      </c>
      <c r="C38" s="48">
        <f>SUM(C27:C37)</f>
        <v>0</v>
      </c>
    </row>
    <row r="39" ht="11.25" customHeight="1">
      <c r="B39" s="47"/>
    </row>
    <row r="40" spans="1:3" ht="15">
      <c r="A40" s="37" t="s">
        <v>30</v>
      </c>
      <c r="B40" s="48">
        <f>B38+B22</f>
        <v>2793</v>
      </c>
      <c r="C40" s="48">
        <f>C38+C22</f>
        <v>326.8</v>
      </c>
    </row>
    <row r="41" ht="11.25" customHeight="1">
      <c r="B41" s="47"/>
    </row>
    <row r="42" spans="1:3" s="37" customFormat="1" ht="15.75">
      <c r="A42" s="37" t="s">
        <v>316</v>
      </c>
      <c r="B42" s="48"/>
      <c r="C42" s="43"/>
    </row>
    <row r="43" ht="11.25" customHeight="1">
      <c r="B43" s="47"/>
    </row>
    <row r="44" spans="1:2" ht="30" customHeight="1">
      <c r="A44" s="199" t="s">
        <v>435</v>
      </c>
      <c r="B44" s="47">
        <v>600</v>
      </c>
    </row>
    <row r="45" ht="11.25" customHeight="1">
      <c r="B45" s="47"/>
    </row>
    <row r="46" spans="1:2" ht="15.75">
      <c r="A46" s="37" t="s">
        <v>317</v>
      </c>
      <c r="B46" s="48">
        <v>600</v>
      </c>
    </row>
    <row r="47" ht="11.25" customHeight="1">
      <c r="B47" s="47"/>
    </row>
    <row r="48" spans="1:3" s="39" customFormat="1" ht="16.5">
      <c r="A48" s="38" t="s">
        <v>31</v>
      </c>
      <c r="B48" s="56"/>
      <c r="C48" s="42"/>
    </row>
    <row r="49" spans="1:3" s="39" customFormat="1" ht="16.5">
      <c r="A49" s="38" t="s">
        <v>32</v>
      </c>
      <c r="B49" s="57">
        <f>B22+B38+B46</f>
        <v>3393</v>
      </c>
      <c r="C49" s="57">
        <f>C40</f>
        <v>326.8</v>
      </c>
    </row>
    <row r="53" ht="15">
      <c r="C53" s="28"/>
    </row>
    <row r="54" ht="15.75">
      <c r="C54" s="15"/>
    </row>
    <row r="55" ht="15.75">
      <c r="C55" s="15"/>
    </row>
    <row r="56" ht="15.75">
      <c r="C56" s="43"/>
    </row>
  </sheetData>
  <sheetProtection/>
  <mergeCells count="5">
    <mergeCell ref="A7:C7"/>
    <mergeCell ref="A6:C6"/>
    <mergeCell ref="A3:C3"/>
    <mergeCell ref="A5:C5"/>
    <mergeCell ref="A8:C8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5.75390625" style="16" customWidth="1"/>
    <col min="2" max="2" width="20.00390625" style="16" customWidth="1"/>
    <col min="3" max="16384" width="9.125" style="16" customWidth="1"/>
  </cols>
  <sheetData>
    <row r="1" spans="1:3" s="241" customFormat="1" ht="15">
      <c r="A1" s="231" t="s">
        <v>505</v>
      </c>
      <c r="B1" s="231"/>
      <c r="C1" s="231"/>
    </row>
    <row r="2" ht="8.25" customHeight="1"/>
    <row r="3" spans="1:2" ht="15.75">
      <c r="A3" s="443"/>
      <c r="B3" s="443"/>
    </row>
    <row r="4" spans="1:2" ht="6" customHeight="1">
      <c r="A4" s="243"/>
      <c r="B4" s="243"/>
    </row>
    <row r="5" spans="1:2" s="245" customFormat="1" ht="18.75">
      <c r="A5" s="244" t="s">
        <v>348</v>
      </c>
      <c r="B5" s="244"/>
    </row>
    <row r="6" spans="1:2" s="245" customFormat="1" ht="18.75">
      <c r="A6" s="382" t="s">
        <v>349</v>
      </c>
      <c r="B6" s="382"/>
    </row>
    <row r="7" spans="1:2" s="245" customFormat="1" ht="18.75">
      <c r="A7" s="382" t="s">
        <v>162</v>
      </c>
      <c r="B7" s="382"/>
    </row>
    <row r="8" spans="1:2" s="245" customFormat="1" ht="18.75">
      <c r="A8" s="382"/>
      <c r="B8" s="383"/>
    </row>
    <row r="9" ht="9.75" customHeight="1" thickBot="1"/>
    <row r="10" spans="1:2" ht="15.75">
      <c r="A10" s="246"/>
      <c r="B10" s="247" t="s">
        <v>10</v>
      </c>
    </row>
    <row r="11" spans="1:2" ht="15.75">
      <c r="A11" s="248" t="s">
        <v>350</v>
      </c>
      <c r="B11" s="248"/>
    </row>
    <row r="12" spans="1:2" ht="16.5" thickBot="1">
      <c r="A12" s="249"/>
      <c r="B12" s="250" t="s">
        <v>351</v>
      </c>
    </row>
    <row r="13" spans="1:2" ht="9.75" customHeight="1">
      <c r="A13" s="251"/>
      <c r="B13" s="252"/>
    </row>
    <row r="14" spans="1:2" ht="29.25">
      <c r="A14" s="310" t="s">
        <v>424</v>
      </c>
      <c r="B14" s="252"/>
    </row>
    <row r="15" spans="1:2" ht="9" customHeight="1">
      <c r="A15" s="251"/>
      <c r="B15" s="252"/>
    </row>
    <row r="16" spans="1:2" ht="15.75">
      <c r="A16" s="255" t="s">
        <v>425</v>
      </c>
      <c r="B16" s="256">
        <f>116+20</f>
        <v>136</v>
      </c>
    </row>
    <row r="17" spans="1:2" ht="18">
      <c r="A17" s="258" t="s">
        <v>352</v>
      </c>
      <c r="B17" s="259">
        <v>32</v>
      </c>
    </row>
    <row r="18" spans="1:2" ht="15.75">
      <c r="A18" s="251" t="s">
        <v>1</v>
      </c>
      <c r="B18" s="260">
        <f>SUM(B16:B17)</f>
        <v>168</v>
      </c>
    </row>
    <row r="19" spans="1:2" ht="12" customHeight="1">
      <c r="A19" s="251"/>
      <c r="B19" s="252"/>
    </row>
    <row r="20" spans="1:2" ht="18.75" customHeight="1">
      <c r="A20" s="310" t="s">
        <v>410</v>
      </c>
      <c r="B20" s="252"/>
    </row>
    <row r="21" spans="1:2" ht="15.75">
      <c r="A21" s="251"/>
      <c r="B21" s="252"/>
    </row>
    <row r="22" spans="1:2" ht="15.75">
      <c r="A22" s="258" t="s">
        <v>411</v>
      </c>
      <c r="B22" s="260">
        <v>8</v>
      </c>
    </row>
    <row r="23" spans="1:2" ht="15.75">
      <c r="A23" s="258" t="s">
        <v>468</v>
      </c>
      <c r="B23" s="260">
        <v>250</v>
      </c>
    </row>
    <row r="24" spans="1:2" ht="15.75">
      <c r="A24" s="251"/>
      <c r="B24" s="252"/>
    </row>
    <row r="25" spans="1:2" ht="15.75">
      <c r="A25" s="261" t="s">
        <v>354</v>
      </c>
      <c r="B25" s="253"/>
    </row>
    <row r="26" spans="1:2" ht="13.5" customHeight="1">
      <c r="A26" s="251"/>
      <c r="B26" s="254"/>
    </row>
    <row r="27" spans="1:6" ht="15.75">
      <c r="A27" s="255" t="s">
        <v>355</v>
      </c>
      <c r="B27" s="256">
        <v>46</v>
      </c>
      <c r="C27" s="257"/>
      <c r="D27" s="257"/>
      <c r="E27" s="257"/>
      <c r="F27" s="257"/>
    </row>
    <row r="28" spans="1:2" ht="18">
      <c r="A28" s="258" t="s">
        <v>352</v>
      </c>
      <c r="B28" s="259">
        <v>12</v>
      </c>
    </row>
    <row r="29" spans="1:2" ht="15.75">
      <c r="A29" s="251" t="s">
        <v>1</v>
      </c>
      <c r="B29" s="260">
        <f>SUM(B26:B28)</f>
        <v>58</v>
      </c>
    </row>
    <row r="30" spans="1:2" ht="15.75">
      <c r="A30" s="251"/>
      <c r="B30" s="260"/>
    </row>
    <row r="31" spans="1:2" ht="15.75">
      <c r="A31" s="311" t="s">
        <v>477</v>
      </c>
      <c r="B31" s="260"/>
    </row>
    <row r="32" spans="1:2" ht="15.75">
      <c r="A32" s="251"/>
      <c r="B32" s="260"/>
    </row>
    <row r="33" spans="1:2" ht="15.75">
      <c r="A33" s="258" t="s">
        <v>478</v>
      </c>
      <c r="B33" s="256">
        <v>1290</v>
      </c>
    </row>
    <row r="34" spans="1:2" ht="18">
      <c r="A34" s="258" t="s">
        <v>352</v>
      </c>
      <c r="B34" s="259">
        <v>348</v>
      </c>
    </row>
    <row r="35" spans="1:2" ht="15.75">
      <c r="A35" s="251" t="s">
        <v>1</v>
      </c>
      <c r="B35" s="260">
        <f>SUM(B33:B34)</f>
        <v>1638</v>
      </c>
    </row>
    <row r="36" spans="1:2" ht="10.5" customHeight="1">
      <c r="A36" s="251"/>
      <c r="B36" s="260"/>
    </row>
    <row r="37" spans="1:2" ht="15.75">
      <c r="A37" s="258" t="s">
        <v>479</v>
      </c>
      <c r="B37" s="256">
        <v>482</v>
      </c>
    </row>
    <row r="38" spans="1:2" ht="18">
      <c r="A38" s="258" t="s">
        <v>352</v>
      </c>
      <c r="B38" s="259">
        <v>130</v>
      </c>
    </row>
    <row r="39" spans="1:2" ht="15.75">
      <c r="A39" s="251" t="s">
        <v>1</v>
      </c>
      <c r="B39" s="260">
        <f>SUM(B37:B38)</f>
        <v>612</v>
      </c>
    </row>
    <row r="40" spans="1:2" ht="12.75" customHeight="1">
      <c r="A40" s="251"/>
      <c r="B40" s="260"/>
    </row>
    <row r="41" spans="1:2" ht="15.75">
      <c r="A41" s="258" t="s">
        <v>480</v>
      </c>
      <c r="B41" s="256">
        <v>1400</v>
      </c>
    </row>
    <row r="42" spans="1:2" ht="18">
      <c r="A42" s="258" t="s">
        <v>352</v>
      </c>
      <c r="B42" s="259">
        <v>378</v>
      </c>
    </row>
    <row r="43" spans="1:2" ht="15.75">
      <c r="A43" s="251" t="s">
        <v>1</v>
      </c>
      <c r="B43" s="260">
        <f>SUM(B41:B42)</f>
        <v>1778</v>
      </c>
    </row>
    <row r="44" ht="15.75">
      <c r="A44" s="311" t="s">
        <v>412</v>
      </c>
    </row>
    <row r="45" ht="6.75" customHeight="1"/>
    <row r="46" spans="1:4" ht="15.75">
      <c r="A46" s="314" t="s">
        <v>413</v>
      </c>
      <c r="B46" s="256">
        <v>130</v>
      </c>
      <c r="C46" s="314"/>
      <c r="D46" s="314"/>
    </row>
    <row r="47" spans="1:2" ht="18">
      <c r="A47" s="258" t="s">
        <v>352</v>
      </c>
      <c r="B47" s="259">
        <v>35</v>
      </c>
    </row>
    <row r="48" spans="1:2" ht="13.5" customHeight="1">
      <c r="A48" s="251" t="s">
        <v>1</v>
      </c>
      <c r="B48" s="260">
        <f>SUM(B46:B47)</f>
        <v>165</v>
      </c>
    </row>
    <row r="49" spans="1:2" ht="10.5" customHeight="1">
      <c r="A49" s="251"/>
      <c r="B49" s="260"/>
    </row>
    <row r="50" spans="1:2" ht="17.25" customHeight="1" thickBot="1">
      <c r="A50" s="334" t="s">
        <v>485</v>
      </c>
      <c r="B50" s="252"/>
    </row>
    <row r="51" spans="1:2" ht="10.5" customHeight="1">
      <c r="A51" s="246"/>
      <c r="B51" s="247" t="s">
        <v>10</v>
      </c>
    </row>
    <row r="52" spans="1:2" ht="10.5" customHeight="1">
      <c r="A52" s="248" t="s">
        <v>350</v>
      </c>
      <c r="B52" s="248"/>
    </row>
    <row r="53" spans="1:2" ht="10.5" customHeight="1" thickBot="1">
      <c r="A53" s="249"/>
      <c r="B53" s="250" t="s">
        <v>351</v>
      </c>
    </row>
    <row r="54" spans="1:2" ht="10.5" customHeight="1">
      <c r="A54" s="251"/>
      <c r="B54" s="260"/>
    </row>
    <row r="55" spans="1:2" ht="8.25" customHeight="1">
      <c r="A55" s="251"/>
      <c r="B55" s="260"/>
    </row>
    <row r="56" spans="1:2" ht="19.5" customHeight="1">
      <c r="A56" s="311" t="s">
        <v>471</v>
      </c>
      <c r="B56" s="252"/>
    </row>
    <row r="57" spans="1:2" ht="15.75" customHeight="1">
      <c r="A57" s="311"/>
      <c r="B57" s="252"/>
    </row>
    <row r="58" spans="1:2" ht="19.5" customHeight="1">
      <c r="A58" s="314" t="s">
        <v>472</v>
      </c>
      <c r="B58" s="256">
        <v>150</v>
      </c>
    </row>
    <row r="59" spans="1:2" ht="19.5" customHeight="1">
      <c r="A59" s="258" t="s">
        <v>352</v>
      </c>
      <c r="B59" s="259">
        <v>41</v>
      </c>
    </row>
    <row r="60" spans="1:2" ht="19.5" customHeight="1">
      <c r="A60" s="251" t="s">
        <v>1</v>
      </c>
      <c r="B60" s="260">
        <f>SUM(B58:B59)</f>
        <v>191</v>
      </c>
    </row>
    <row r="61" spans="1:2" ht="19.5" customHeight="1">
      <c r="A61" s="251"/>
      <c r="B61" s="260"/>
    </row>
    <row r="62" spans="1:2" ht="19.5" customHeight="1">
      <c r="A62" s="258" t="s">
        <v>484</v>
      </c>
      <c r="B62" s="256">
        <v>60</v>
      </c>
    </row>
    <row r="63" spans="1:2" ht="19.5" customHeight="1">
      <c r="A63" s="258" t="s">
        <v>352</v>
      </c>
      <c r="B63" s="259">
        <v>16</v>
      </c>
    </row>
    <row r="64" spans="1:2" ht="15.75">
      <c r="A64" s="251" t="s">
        <v>1</v>
      </c>
      <c r="B64" s="260">
        <v>76</v>
      </c>
    </row>
    <row r="65" spans="1:2" ht="15.75">
      <c r="A65" s="251"/>
      <c r="B65" s="253"/>
    </row>
    <row r="66" spans="1:2" ht="15.75">
      <c r="A66" s="251" t="s">
        <v>353</v>
      </c>
      <c r="B66" s="260">
        <f>B22+B29+B48+B18+B23+B60+B35+B39+B43+B64</f>
        <v>4944</v>
      </c>
    </row>
  </sheetData>
  <sheetProtection/>
  <mergeCells count="4">
    <mergeCell ref="A3:B3"/>
    <mergeCell ref="A6:B6"/>
    <mergeCell ref="A7:B7"/>
    <mergeCell ref="A8:B8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Marsits Judit</cp:lastModifiedBy>
  <cp:lastPrinted>2015-11-20T09:20:08Z</cp:lastPrinted>
  <dcterms:created xsi:type="dcterms:W3CDTF">2002-11-26T17:22:50Z</dcterms:created>
  <dcterms:modified xsi:type="dcterms:W3CDTF">2015-11-26T09:55:31Z</dcterms:modified>
  <cp:category/>
  <cp:version/>
  <cp:contentType/>
  <cp:contentStatus/>
</cp:coreProperties>
</file>