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155" tabRatio="895" activeTab="0"/>
  </bookViews>
  <sheets>
    <sheet name="1. bevételek" sheetId="1" r:id="rId1"/>
    <sheet name="2. kiadások " sheetId="2" r:id="rId2"/>
    <sheet name="3.műk.-felh." sheetId="3" r:id="rId3"/>
    <sheet name="4.önkorm.kiad.feladat" sheetId="4" r:id="rId4"/>
    <sheet name="5.PH Óvoda, Kult. kiad. feladat" sheetId="5" r:id="rId5"/>
    <sheet name="6. kiadások megbontása" sheetId="6" r:id="rId6"/>
    <sheet name="7. források sz. bontás" sheetId="7" r:id="rId7"/>
    <sheet name="8. létszámok" sheetId="8" r:id="rId8"/>
    <sheet name="9.felhki" sheetId="9" r:id="rId9"/>
    <sheet name="10. tart." sheetId="10" r:id="rId10"/>
    <sheet name="11.Stab.tv.saját bev." sheetId="11" r:id="rId11"/>
    <sheet name="12.normatívák" sheetId="12" r:id="rId12"/>
    <sheet name="13. EU projektek" sheetId="13" r:id="rId13"/>
  </sheets>
  <definedNames>
    <definedName name="_xlnm.Print_Titles" localSheetId="0">'1. bevételek'!$5:$6</definedName>
    <definedName name="_xlnm.Print_Titles" localSheetId="12">'13. EU projektek'!$8:$11</definedName>
    <definedName name="_xlnm.Print_Titles" localSheetId="1">'2. kiadások '!$5:$6</definedName>
    <definedName name="_xlnm.Print_Titles" localSheetId="2">'3.műk.-felh.'!$4:$5</definedName>
    <definedName name="_xlnm.Print_Titles" localSheetId="3">'4.önkorm.kiad.feladat'!$4:$7</definedName>
    <definedName name="_xlnm.Print_Titles" localSheetId="5">'6. kiadások megbontása'!$5:$8</definedName>
    <definedName name="_xlnm.Print_Titles" localSheetId="7">'8. létszámok'!$6:$6</definedName>
    <definedName name="_xlnm.Print_Titles" localSheetId="8">'9.felhki'!$6:$7</definedName>
    <definedName name="_xlnm.Print_Area" localSheetId="0">'1. bevételek'!$A$1:$J$199</definedName>
    <definedName name="_xlnm.Print_Area" localSheetId="11">'12.normatívák'!$A$1:$L$54</definedName>
    <definedName name="_xlnm.Print_Area" localSheetId="1">'2. kiadások '!$A$1:$J$76</definedName>
    <definedName name="_xlnm.Print_Area" localSheetId="3">'4.önkorm.kiad.feladat'!$D$1:$V$52</definedName>
    <definedName name="_xlnm.Print_Area" localSheetId="4">'5.PH Óvoda, Kult. kiad. feladat'!$A$1:$I$34</definedName>
    <definedName name="_xlnm.Print_Area" localSheetId="5">'6. kiadások megbontása'!$A$1:$M$79</definedName>
    <definedName name="_xlnm.Print_Area" localSheetId="6">'7. források sz. bontás'!$A$1:$AC$63</definedName>
    <definedName name="_xlnm.Print_Area" localSheetId="7">'8. létszámok'!$A$1:$M$101</definedName>
    <definedName name="_xlnm.Print_Area" localSheetId="8">'9.felhki'!$A$1:$D$73</definedName>
  </definedNames>
  <calcPr fullCalcOnLoad="1"/>
</workbook>
</file>

<file path=xl/sharedStrings.xml><?xml version="1.0" encoding="utf-8"?>
<sst xmlns="http://schemas.openxmlformats.org/spreadsheetml/2006/main" count="1734" uniqueCount="1075">
  <si>
    <t>Rovatok megnevezése</t>
  </si>
  <si>
    <t>K1</t>
  </si>
  <si>
    <t>ebből:</t>
  </si>
  <si>
    <t>K2</t>
  </si>
  <si>
    <t>Munkaadókat terhelő járulékok és szoc. hozzájárulási adó</t>
  </si>
  <si>
    <t>K3</t>
  </si>
  <si>
    <t>Dologi kiadások</t>
  </si>
  <si>
    <t>államháztartáson belül</t>
  </si>
  <si>
    <t>K4</t>
  </si>
  <si>
    <t>Ellátottak pénzbeli juttatásai</t>
  </si>
  <si>
    <t>K41</t>
  </si>
  <si>
    <t>Társadalombiztosítási ellátások</t>
  </si>
  <si>
    <t>K42</t>
  </si>
  <si>
    <t>Családi támogatások</t>
  </si>
  <si>
    <t>Intézményi ellátottak pénzbeli juttatásai</t>
  </si>
  <si>
    <t>1. Működési célú támogatások államháztartáson belülről</t>
  </si>
  <si>
    <t>1.1. Önkormányzatok működési támogatásai</t>
  </si>
  <si>
    <t>1.3. Egyéb műk. c. támogatások bevételei állh.-on belülről</t>
  </si>
  <si>
    <t>1.Felhalm. célú támogatások államháztartáson belülről</t>
  </si>
  <si>
    <t>1.1. Felhalmozási célú önkormányzati támogatások</t>
  </si>
  <si>
    <t>1.2. Egyéb felh. c. támogatások bevételei államházt.-on belülről</t>
  </si>
  <si>
    <t>2. Közhatalmi bevételek</t>
  </si>
  <si>
    <t>3. Működési bevételek</t>
  </si>
  <si>
    <t>3.2. Szolgáltatások ellenértéke</t>
  </si>
  <si>
    <t>3.3. Közvetített szolgáltatások ellenértéke</t>
  </si>
  <si>
    <t>3.5. Ellátási díjak</t>
  </si>
  <si>
    <t>3.6. Kiszámlázott általános forgalmi adó</t>
  </si>
  <si>
    <t>2. Felhalmozási bevételek</t>
  </si>
  <si>
    <t>2.1. Immateriális javak értékesítése</t>
  </si>
  <si>
    <t>2.2. Ingatlanok értékesítése</t>
  </si>
  <si>
    <t>2.3. Egyéb tárgyi eszközök értékesítése</t>
  </si>
  <si>
    <t>2.4. Részesedések értékesítése</t>
  </si>
  <si>
    <t>4. Működési célú átvett pénzeszközök</t>
  </si>
  <si>
    <t>4.1. Műk. c. vtérítendő támog., kölcsönök vtérülése állh.-on kív.</t>
  </si>
  <si>
    <t>4.2. Egyéb műk. c. átvett pénzeszközök</t>
  </si>
  <si>
    <t>3.  Felhalmozási célú átvett pénzeszközök</t>
  </si>
  <si>
    <t>ebből működési</t>
  </si>
  <si>
    <t>ebből felhalmozási</t>
  </si>
  <si>
    <t xml:space="preserve">3. Dologi kiadások </t>
  </si>
  <si>
    <t>4. Ellátottak pénzbeli juttatásai</t>
  </si>
  <si>
    <t>5.3. Egyéb műk. célú támogatások államh.-on kívülre</t>
  </si>
  <si>
    <t>5. Egyéb működési célú kiadások</t>
  </si>
  <si>
    <t>5.4. Tartalékok</t>
  </si>
  <si>
    <t>1. Beruházások</t>
  </si>
  <si>
    <t>2. Felújítások</t>
  </si>
  <si>
    <t>3. Egyéb felhalmozási célú kiadások</t>
  </si>
  <si>
    <t>3.1. Felh. c. v.tér. tám. kölcs. nyújt. állh.-on belülre</t>
  </si>
  <si>
    <t>3.2. Felh. c. v.tér. tám. kölcs. törl. állh.-on belülre</t>
  </si>
  <si>
    <t>3.3. Egyéb felh. c. támogatások állh-on belülre</t>
  </si>
  <si>
    <t>3.4. Felh. c. v.tér. tám. kölcs. nyújt. állh.-on kívülre</t>
  </si>
  <si>
    <t>3.5. Egyéb felh. c. támogatások állh-on kívülre</t>
  </si>
  <si>
    <t>051030</t>
  </si>
  <si>
    <t>Nem veszélyes (települési) hulladék vegyes begyűjtése, szállítása, átrakása</t>
  </si>
  <si>
    <t>051060</t>
  </si>
  <si>
    <t>052080</t>
  </si>
  <si>
    <t>045160</t>
  </si>
  <si>
    <t>081071</t>
  </si>
  <si>
    <t>013350</t>
  </si>
  <si>
    <t>Önk-i vagyonnal való gazdálkodással kapcs. feladatok</t>
  </si>
  <si>
    <t>013360</t>
  </si>
  <si>
    <t>Más szerv részére végzett pü-i gazd-i, üzemeltetési, egyéb szolg.</t>
  </si>
  <si>
    <t>066010</t>
  </si>
  <si>
    <t>011130</t>
  </si>
  <si>
    <t>Önk-ok és önk-i hivatalok jogalkotói és ált. igazgatási tevékenysége</t>
  </si>
  <si>
    <t>016080</t>
  </si>
  <si>
    <t>064010</t>
  </si>
  <si>
    <t>066020</t>
  </si>
  <si>
    <t>032020</t>
  </si>
  <si>
    <t>Tűz- és katasztrófavédelmi tevékenységek</t>
  </si>
  <si>
    <t>047410</t>
  </si>
  <si>
    <t>Ár- és belvízvédelemmel összefüggő tevékenységek</t>
  </si>
  <si>
    <t>091140</t>
  </si>
  <si>
    <t>072111</t>
  </si>
  <si>
    <t>072112</t>
  </si>
  <si>
    <t>072311</t>
  </si>
  <si>
    <t>074031</t>
  </si>
  <si>
    <t>102021</t>
  </si>
  <si>
    <t>102030</t>
  </si>
  <si>
    <t>107051</t>
  </si>
  <si>
    <t>107054</t>
  </si>
  <si>
    <t>104060</t>
  </si>
  <si>
    <t>107060</t>
  </si>
  <si>
    <t>082044</t>
  </si>
  <si>
    <t>Hagyományos közösségi kult. értékek gondozása - Közművelődés</t>
  </si>
  <si>
    <t>081030</t>
  </si>
  <si>
    <t>Sportlétesítmények, edzőtáborok működtetése és fejlesztése</t>
  </si>
  <si>
    <t>Város-,  községgazdálkodási egyéb szolg.</t>
  </si>
  <si>
    <t>Múzeumi, gyűjteményi tevékenység</t>
  </si>
  <si>
    <t xml:space="preserve">működési </t>
  </si>
  <si>
    <t>felhalmozási</t>
  </si>
  <si>
    <t>össz.</t>
  </si>
  <si>
    <t>Jánoshalma Városi Önkormányzat</t>
  </si>
  <si>
    <t>Költségvetési egyenleg</t>
  </si>
  <si>
    <t>működési</t>
  </si>
  <si>
    <t>összesen</t>
  </si>
  <si>
    <t>Lakott külterülettel kapcsolatos feladatok támogatása</t>
  </si>
  <si>
    <t>Ingatlan, termőföld értékesítés</t>
  </si>
  <si>
    <t>Állami feladat kiadása</t>
  </si>
  <si>
    <t>Önkormányzat kiadásai összesen:</t>
  </si>
  <si>
    <t>Központi ktgv.-i támogatás össz.:</t>
  </si>
  <si>
    <t>Átvett pénzeszköz összesen:</t>
  </si>
  <si>
    <t>Saját bevétel összesen:</t>
  </si>
  <si>
    <t>Jh.-i Polgármesteri Hivatal</t>
  </si>
  <si>
    <t>Jh.-i Polgárm. Hiv. kiadásai össz.:</t>
  </si>
  <si>
    <t>Központi ktgv.-i támog. mindössz.:</t>
  </si>
  <si>
    <t>Átvett pénzeszköz mindösszesen:</t>
  </si>
  <si>
    <t>Saját bevétel mindösszesen:</t>
  </si>
  <si>
    <t>Földalapú támogatás</t>
  </si>
  <si>
    <t>Bérleti díj bevételek</t>
  </si>
  <si>
    <t>Kieg. RGYVK címén kifizetett összeg és kapcsolódó pótlék megtérítése</t>
  </si>
  <si>
    <t>Felhalmozás célú támogatás államháztartáson kívülre</t>
  </si>
  <si>
    <t>2.1. Helyi adók és adójellegű bevételek</t>
  </si>
  <si>
    <t>Település-üzemeltetéshez kapcsolódó feladatellátás támogatása</t>
  </si>
  <si>
    <t>Egyéb önkormányzati feladatok támogatása</t>
  </si>
  <si>
    <t>A települési önkormányzatok egyes köznevelési feladatainak támogatása</t>
  </si>
  <si>
    <t>Óvodapedagógusok, és az óvodapedagógusok nevelő munkáját közvetlenül segítők bértámogatása</t>
  </si>
  <si>
    <t>A települési önkormányzatok szociális, gyermekjóléti és gyermekétkeztetési feladatainak támogatása</t>
  </si>
  <si>
    <t>III.5</t>
  </si>
  <si>
    <t>III.5.b</t>
  </si>
  <si>
    <t>Gyermekétkeztetés üzemeltetési támogatása</t>
  </si>
  <si>
    <t>Települési önkormányzatok nyilvános könyvtári és közművelődési feladatainak támogatása</t>
  </si>
  <si>
    <t>Központi költségvetési támogatások mindösszesen:</t>
  </si>
  <si>
    <t>Műk. célú tám. ÁH-on kívülre</t>
  </si>
  <si>
    <t>K6</t>
  </si>
  <si>
    <t>Felújítások</t>
  </si>
  <si>
    <t>K7</t>
  </si>
  <si>
    <t>Egyéb felhalmozási célú kiadások</t>
  </si>
  <si>
    <t>K8</t>
  </si>
  <si>
    <t>Finanszírozási kiadások</t>
  </si>
  <si>
    <t>K9</t>
  </si>
  <si>
    <t>K43</t>
  </si>
  <si>
    <t>Pénzbeli kárpótlások, kártérítések</t>
  </si>
  <si>
    <t>K44</t>
  </si>
  <si>
    <t>Betegséggel kapcsolatos (nem TB) ellátások</t>
  </si>
  <si>
    <t>K45</t>
  </si>
  <si>
    <t>Foglalkoztatással, munkanélküliséggel kapcs. ellátások</t>
  </si>
  <si>
    <t>K46</t>
  </si>
  <si>
    <t>Lakhatással kapcsolatos ellátások</t>
  </si>
  <si>
    <t>K47</t>
  </si>
  <si>
    <t>K48</t>
  </si>
  <si>
    <t>Egyéb nem intézményi ellátások</t>
  </si>
  <si>
    <t>K5</t>
  </si>
  <si>
    <t>Egyéb működési célú kiadások</t>
  </si>
  <si>
    <t>K501</t>
  </si>
  <si>
    <t>Nemzetközi kötelezettségek</t>
  </si>
  <si>
    <t>K502</t>
  </si>
  <si>
    <t>Elvonások és befizetések</t>
  </si>
  <si>
    <t>K503</t>
  </si>
  <si>
    <t>Műk. célú garancia- és kezességvállalásból szárm. Kif. Államháztartáson belülre</t>
  </si>
  <si>
    <t>K504</t>
  </si>
  <si>
    <t>Műk. c. visszatérítendő támogatások, kölcsönök nyújtása államháztartáson belülre</t>
  </si>
  <si>
    <t>a,</t>
  </si>
  <si>
    <t>központi költségvetési szervek</t>
  </si>
  <si>
    <t>b,</t>
  </si>
  <si>
    <t>központi kezelésű előirányzatok</t>
  </si>
  <si>
    <t>c,</t>
  </si>
  <si>
    <t>fejezeti kezelésű ei EU-s pr. és azok hazai társfin.</t>
  </si>
  <si>
    <t>d,</t>
  </si>
  <si>
    <t>egyéb fejezeti kezelésű előirányzatok</t>
  </si>
  <si>
    <t>e,</t>
  </si>
  <si>
    <t>TB pénzügyi alapjai</t>
  </si>
  <si>
    <t xml:space="preserve">f, </t>
  </si>
  <si>
    <t>elkülönített állami pénzalapok</t>
  </si>
  <si>
    <t>g,</t>
  </si>
  <si>
    <t>helyi önkormányzatok és költségvetési szerveik</t>
  </si>
  <si>
    <t xml:space="preserve">h, </t>
  </si>
  <si>
    <t>társulások és költségvetési szerveik</t>
  </si>
  <si>
    <t xml:space="preserve">i, </t>
  </si>
  <si>
    <t>nemzetiségi önk-ok és költségvetési szerveik</t>
  </si>
  <si>
    <t>j,</t>
  </si>
  <si>
    <t>térségi fejleszt. tanácsok és költségvetési szerveik</t>
  </si>
  <si>
    <t>K505</t>
  </si>
  <si>
    <t>Műk. c. visszatérítendő támogatások, kölcsönök törtlesztése államháztartáson belülre</t>
  </si>
  <si>
    <t>K506</t>
  </si>
  <si>
    <t>Egyéb működési célú támogatások államháztartáson belülre</t>
  </si>
  <si>
    <t>K507</t>
  </si>
  <si>
    <t>Műk. c. garancia- és kezességv-ból származó kifizetés államháztartáson kívülre</t>
  </si>
  <si>
    <t>K508</t>
  </si>
  <si>
    <t>egyházi jogi személyek</t>
  </si>
  <si>
    <t>egyéb civil szervezetek</t>
  </si>
  <si>
    <t>háztartások</t>
  </si>
  <si>
    <t>pénzügyi vállalkozások</t>
  </si>
  <si>
    <t>állami többségi tul. -ú nem pénzügyi vállalkozások</t>
  </si>
  <si>
    <t>önk-i többségi tul.-ú nem pénzügyi vállalkozások</t>
  </si>
  <si>
    <t>egyéb vállalkozások</t>
  </si>
  <si>
    <t>Európai Unió</t>
  </si>
  <si>
    <t>kormányok és nemzetközi szervezetek</t>
  </si>
  <si>
    <t>egyéb külföldiek</t>
  </si>
  <si>
    <t>K509</t>
  </si>
  <si>
    <t>Árkiegészítések, átrtámogatások</t>
  </si>
  <si>
    <t>K510</t>
  </si>
  <si>
    <t>Kamattámogatások</t>
  </si>
  <si>
    <t>K511</t>
  </si>
  <si>
    <t>Egyéb műk. c. támogatások államháztartáson kívülre</t>
  </si>
  <si>
    <t>K512</t>
  </si>
  <si>
    <t>Tartalékok</t>
  </si>
  <si>
    <t xml:space="preserve">    </t>
  </si>
  <si>
    <t>K81</t>
  </si>
  <si>
    <t>Felhalm. c. garancia- és kez.váll-ból szárm. kif. állh-on belülre</t>
  </si>
  <si>
    <t>K82</t>
  </si>
  <si>
    <t>Felh. c. visszatér. tám, kölcsönök nyújt. állh-on belülre</t>
  </si>
  <si>
    <t>K83</t>
  </si>
  <si>
    <t>Felh. c. visszatér. tám, kölcsönök törl. állh-on belülre</t>
  </si>
  <si>
    <t>K84</t>
  </si>
  <si>
    <t>Egyéb felhalmozási c. támogatások állh-on belülre</t>
  </si>
  <si>
    <t>K85</t>
  </si>
  <si>
    <t>Felhalm. c. garancia- és kez.váll-ból szárm. kif. állh-on kívülre</t>
  </si>
  <si>
    <t>K86</t>
  </si>
  <si>
    <t>Felh. c. visszatér. tám, kölcsönök nyújt. állh-on kívülre</t>
  </si>
  <si>
    <t>K87</t>
  </si>
  <si>
    <t>Lakástámogatás</t>
  </si>
  <si>
    <t>K88</t>
  </si>
  <si>
    <t>Kiadások mindösszesen</t>
  </si>
  <si>
    <t>B1</t>
  </si>
  <si>
    <t>Működési célú támogatások államháztartáson belülről</t>
  </si>
  <si>
    <t>B11</t>
  </si>
  <si>
    <t>Önkormányzatok működési támogatásai</t>
  </si>
  <si>
    <t>B111</t>
  </si>
  <si>
    <t>B112</t>
  </si>
  <si>
    <t>B113</t>
  </si>
  <si>
    <t>B114</t>
  </si>
  <si>
    <t>B115</t>
  </si>
  <si>
    <t>B116</t>
  </si>
  <si>
    <t>B12</t>
  </si>
  <si>
    <t>Elvonások és befizetések bevételei</t>
  </si>
  <si>
    <t>B13</t>
  </si>
  <si>
    <t>B14</t>
  </si>
  <si>
    <t>fejezeti kezelésű ei EU-s pr. és azok hazai társfinanszírozása</t>
  </si>
  <si>
    <t>B15</t>
  </si>
  <si>
    <t>B16</t>
  </si>
  <si>
    <t>B2</t>
  </si>
  <si>
    <t>B21</t>
  </si>
  <si>
    <t>B22</t>
  </si>
  <si>
    <t>B23</t>
  </si>
  <si>
    <t>B24</t>
  </si>
  <si>
    <t>B25</t>
  </si>
  <si>
    <t>B3</t>
  </si>
  <si>
    <t>Közhatalmi bevételek</t>
  </si>
  <si>
    <t>B31</t>
  </si>
  <si>
    <t>Jövedelemadók</t>
  </si>
  <si>
    <t>B32</t>
  </si>
  <si>
    <t>Szociális hozzájárulási adó és járulékok</t>
  </si>
  <si>
    <t>B33</t>
  </si>
  <si>
    <t>Bérhez és foglalkoztatáshoz kapcsolódó adók</t>
  </si>
  <si>
    <t>B34</t>
  </si>
  <si>
    <t xml:space="preserve">Vagyoni típusú adók </t>
  </si>
  <si>
    <t>magánszemélyek kommunális adója</t>
  </si>
  <si>
    <t>telekadó</t>
  </si>
  <si>
    <t>B35</t>
  </si>
  <si>
    <t>Termékek és szolgáltatások adói</t>
  </si>
  <si>
    <t>B351</t>
  </si>
  <si>
    <t>Értékesítési és forgalmi adók</t>
  </si>
  <si>
    <t>B352</t>
  </si>
  <si>
    <t>B353</t>
  </si>
  <si>
    <t>Pü-i monopóliumok nyereségét terhelő adók</t>
  </si>
  <si>
    <t>B354</t>
  </si>
  <si>
    <t>Gépjárműadók</t>
  </si>
  <si>
    <t>B355</t>
  </si>
  <si>
    <t>Egyéb áruhasználati és szolgáltatási adók</t>
  </si>
  <si>
    <t>talajterhelési díj</t>
  </si>
  <si>
    <t>korábbi évek megszűnt adónemei áthúzódó bevételei</t>
  </si>
  <si>
    <t>B36</t>
  </si>
  <si>
    <t>Egyéb közhatalmi bevételek</t>
  </si>
  <si>
    <t>eljárási illetékek</t>
  </si>
  <si>
    <t>igazgatási szolgáltatási díjak</t>
  </si>
  <si>
    <t>felügyeleti díjak</t>
  </si>
  <si>
    <t>környezetvédelmi bírság</t>
  </si>
  <si>
    <t>építésügyi bírság</t>
  </si>
  <si>
    <t>egyéb bírságok</t>
  </si>
  <si>
    <t>késedelmi és önellenőrzési pótlék</t>
  </si>
  <si>
    <t>B4</t>
  </si>
  <si>
    <t>Működési bevételek</t>
  </si>
  <si>
    <t>B401</t>
  </si>
  <si>
    <t>B402</t>
  </si>
  <si>
    <t>tárgyi eszközök bérbe adásából származó bevétel</t>
  </si>
  <si>
    <t>B403</t>
  </si>
  <si>
    <t>Közvetített szolgáltatások ellenértéke</t>
  </si>
  <si>
    <t>B404</t>
  </si>
  <si>
    <t>Tulajdonosi bevételek</t>
  </si>
  <si>
    <t>vadászati jog bérbeadásából származó bevétel</t>
  </si>
  <si>
    <t>B405</t>
  </si>
  <si>
    <t>Ellátási díjak (pl. szociális és ellátotti étkeztetés díja)</t>
  </si>
  <si>
    <t>B406</t>
  </si>
  <si>
    <t>Kiszámlázott általános forgalmi adó</t>
  </si>
  <si>
    <t>B407</t>
  </si>
  <si>
    <t>Általános forgalmi adó visszatérítése</t>
  </si>
  <si>
    <t>B408</t>
  </si>
  <si>
    <t>B409</t>
  </si>
  <si>
    <t>B410</t>
  </si>
  <si>
    <t>B5</t>
  </si>
  <si>
    <t>Felhalmozási bevételek</t>
  </si>
  <si>
    <t>B51</t>
  </si>
  <si>
    <t>B52</t>
  </si>
  <si>
    <t>Ingatlanok értékesítése</t>
  </si>
  <si>
    <t>termőföld-eladás bevételei</t>
  </si>
  <si>
    <t>B53</t>
  </si>
  <si>
    <t>Egyéb tárgyi eszközök értékesítése</t>
  </si>
  <si>
    <t>B54</t>
  </si>
  <si>
    <t>Részesedések értékesítése</t>
  </si>
  <si>
    <t>B55</t>
  </si>
  <si>
    <t>Részesedések megszűnéséhez kapcsolódó bevételek</t>
  </si>
  <si>
    <t>B6</t>
  </si>
  <si>
    <t>Működési célú átvett pénzeszközök</t>
  </si>
  <si>
    <t>B61</t>
  </si>
  <si>
    <t>B62</t>
  </si>
  <si>
    <t>3.7. Általános forgalmi adó visszatérítése</t>
  </si>
  <si>
    <t>B63</t>
  </si>
  <si>
    <t>B7</t>
  </si>
  <si>
    <t>Felhalmozási célú átvett pénzeszközök</t>
  </si>
  <si>
    <t>B71</t>
  </si>
  <si>
    <t>B72</t>
  </si>
  <si>
    <t>B73</t>
  </si>
  <si>
    <t>B8</t>
  </si>
  <si>
    <t>Finanszírozási bevételek</t>
  </si>
  <si>
    <t>B81</t>
  </si>
  <si>
    <t>Belföldi finanszírozás bevételei</t>
  </si>
  <si>
    <t>B811</t>
  </si>
  <si>
    <t>B8111</t>
  </si>
  <si>
    <t>B8112</t>
  </si>
  <si>
    <t>B8113</t>
  </si>
  <si>
    <t>B812</t>
  </si>
  <si>
    <t>Belföldi értékpapírok bevételei</t>
  </si>
  <si>
    <t>B813</t>
  </si>
  <si>
    <t>Maradvány igénybevétele</t>
  </si>
  <si>
    <t>B8131</t>
  </si>
  <si>
    <t>Előző év költségvetési maradványának igénybevétele</t>
  </si>
  <si>
    <t>B8132</t>
  </si>
  <si>
    <t>Előző év vállalkozási maradványának igénybevétele</t>
  </si>
  <si>
    <t>B814</t>
  </si>
  <si>
    <t>B815</t>
  </si>
  <si>
    <t>B816</t>
  </si>
  <si>
    <t>Központi, irányító szervi támogatás</t>
  </si>
  <si>
    <t>B817</t>
  </si>
  <si>
    <t>B818</t>
  </si>
  <si>
    <t>Központi költségvetés sajátos finanszírozási bevételei</t>
  </si>
  <si>
    <t>B82</t>
  </si>
  <si>
    <t>Külföldi finanszírozás bevételei</t>
  </si>
  <si>
    <t>B83</t>
  </si>
  <si>
    <t>Adóssághoz nem kapcsolódó származékos ügyletek bevételei</t>
  </si>
  <si>
    <t>II. Felhalmozási kiadások</t>
  </si>
  <si>
    <t>C. Költségvetési hiány belső finanszírozására szolgáló pénzforgalom nélküli bevételek</t>
  </si>
  <si>
    <t>D. Költségvetési hiány belső finanszírozását meghaladó összegének külső finanszírozására szolgáló bevételek</t>
  </si>
  <si>
    <t>E. Finanszírozási kiadások</t>
  </si>
  <si>
    <t>Felh. célú</t>
  </si>
  <si>
    <t>Műk. célú</t>
  </si>
  <si>
    <t>Szolgáltatások ellenértéke</t>
  </si>
  <si>
    <t>Immateriális javak értékesítése</t>
  </si>
  <si>
    <t>Beruházás</t>
  </si>
  <si>
    <t>Építményüzemeltetés</t>
  </si>
  <si>
    <t>Közutak, alagutak üzemeltetése, fenntartása</t>
  </si>
  <si>
    <t>Személyi juttatások</t>
  </si>
  <si>
    <t>Kiadások mindösszesen:</t>
  </si>
  <si>
    <t>Jan</t>
  </si>
  <si>
    <t>Febr</t>
  </si>
  <si>
    <t>Márc</t>
  </si>
  <si>
    <t>Ápr</t>
  </si>
  <si>
    <t>Máj</t>
  </si>
  <si>
    <t>Jún</t>
  </si>
  <si>
    <t>Júl</t>
  </si>
  <si>
    <t>Aug</t>
  </si>
  <si>
    <t>Szept</t>
  </si>
  <si>
    <t>Okt</t>
  </si>
  <si>
    <t>Nov</t>
  </si>
  <si>
    <t>Dec</t>
  </si>
  <si>
    <t xml:space="preserve">Közfoglalkoztatás </t>
  </si>
  <si>
    <t>Ügyeleti Szolgálat</t>
  </si>
  <si>
    <t>- Gépkocsivezető</t>
  </si>
  <si>
    <t>Védőnői Szolgálat</t>
  </si>
  <si>
    <t>- Védőnők</t>
  </si>
  <si>
    <t>Megnevezés</t>
  </si>
  <si>
    <t>Kiadások</t>
  </si>
  <si>
    <t>Dologi kiadás</t>
  </si>
  <si>
    <t>Összesen:</t>
  </si>
  <si>
    <t>Mindösszesen:</t>
  </si>
  <si>
    <t>Mindösszesen</t>
  </si>
  <si>
    <t>Beruházások</t>
  </si>
  <si>
    <t>Bevé-        telek</t>
  </si>
  <si>
    <t>K i a d á s b ó l</t>
  </si>
  <si>
    <t>Kiadások összesen</t>
  </si>
  <si>
    <t>Polgármesteri Hivatal</t>
  </si>
  <si>
    <t>Felújítás</t>
  </si>
  <si>
    <t>Összeg</t>
  </si>
  <si>
    <t>–</t>
  </si>
  <si>
    <t>Veszélyes hulladék kezelése, ártalmatlanítása</t>
  </si>
  <si>
    <t>Zöldterület kezelés</t>
  </si>
  <si>
    <t>Kiemelt állami és önkormányzati rendezvények</t>
  </si>
  <si>
    <t>Közvilágítás</t>
  </si>
  <si>
    <t>Fejezeti és általános tartalékok elszámolása</t>
  </si>
  <si>
    <t>Háziorvosi alapellátás</t>
  </si>
  <si>
    <t>Háziorvosi ügyeleti ellátás</t>
  </si>
  <si>
    <t>Fogorvosi alapellátás</t>
  </si>
  <si>
    <t>Könyvtári szolgáltatások</t>
  </si>
  <si>
    <t>Helyi önkormányzat összesen:</t>
  </si>
  <si>
    <t>I</t>
  </si>
  <si>
    <t>J</t>
  </si>
  <si>
    <t>K</t>
  </si>
  <si>
    <t>L</t>
  </si>
  <si>
    <t>M</t>
  </si>
  <si>
    <t>N</t>
  </si>
  <si>
    <t>O</t>
  </si>
  <si>
    <t>P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</si>
  <si>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</si>
  <si>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</si>
  <si>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</si>
  <si>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</si>
  <si>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</si>
  <si>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</si>
  <si>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</si>
  <si>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</si>
  <si>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</si>
  <si>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</si>
  <si>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</si>
  <si>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</si>
  <si>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</si>
  <si>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</si>
  <si>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</si>
  <si>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</si>
  <si>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</si>
  <si>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</si>
  <si>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</si>
  <si>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</si>
  <si>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</si>
  <si>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</si>
  <si>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28</t>
  </si>
  <si>
    <t>29</t>
  </si>
  <si>
    <t>30</t>
  </si>
  <si>
    <t>32</t>
  </si>
  <si>
    <t xml:space="preserve">- Köztisztviselők                      </t>
  </si>
  <si>
    <t>HELYI ÖNKORMÁNYZAT ÉS INTÉZMÉNYEI ÖSSZESEN:</t>
  </si>
  <si>
    <t>Összesen</t>
  </si>
  <si>
    <t>Felújítási alap befizetési kötelezettség (vegyes tulajdonú társasházak)</t>
  </si>
  <si>
    <t>Fejlesztési célú támogatásértékű kiadások</t>
  </si>
  <si>
    <t>Fejlesztési célú tartalék</t>
  </si>
  <si>
    <t>Vis maior tartalék</t>
  </si>
  <si>
    <t>A</t>
  </si>
  <si>
    <t>B</t>
  </si>
  <si>
    <t>C</t>
  </si>
  <si>
    <t>D</t>
  </si>
  <si>
    <t>E</t>
  </si>
  <si>
    <t>F</t>
  </si>
  <si>
    <t>Ssz.</t>
  </si>
  <si>
    <t>G</t>
  </si>
  <si>
    <t>H</t>
  </si>
  <si>
    <t>33</t>
  </si>
  <si>
    <t>Család- és nővédelmi egészségügyi gondozás</t>
  </si>
  <si>
    <t>Körny. véd. alap</t>
  </si>
  <si>
    <t>Bevételek</t>
  </si>
  <si>
    <t>Bevételek mindösszesen:</t>
  </si>
  <si>
    <t>-</t>
  </si>
  <si>
    <t>Helyi önkormányzat</t>
  </si>
  <si>
    <t>2017. év</t>
  </si>
  <si>
    <t>2018. év</t>
  </si>
  <si>
    <t>2019. év</t>
  </si>
  <si>
    <t>2020. év</t>
  </si>
  <si>
    <t>2021. év</t>
  </si>
  <si>
    <t>2022. év</t>
  </si>
  <si>
    <t>Jogcím</t>
  </si>
  <si>
    <t>száma</t>
  </si>
  <si>
    <t>megnevezése</t>
  </si>
  <si>
    <t>mutató</t>
  </si>
  <si>
    <t>fajlagos Ft</t>
  </si>
  <si>
    <t>mutató    (8 hó)</t>
  </si>
  <si>
    <t>mutató   (4 hó)</t>
  </si>
  <si>
    <t>xxx</t>
  </si>
  <si>
    <t>I. Működési bevételek</t>
  </si>
  <si>
    <t>Szociális étkeztetés</t>
  </si>
  <si>
    <t>II. Felhalmozási bevételek</t>
  </si>
  <si>
    <t>I. Működési kiadások</t>
  </si>
  <si>
    <t>1. Személyi juttatások</t>
  </si>
  <si>
    <t>26</t>
  </si>
  <si>
    <t>Általános tartalék</t>
  </si>
  <si>
    <t>A települési önkormányzatok kulturális feladatainak támogatása</t>
  </si>
  <si>
    <t xml:space="preserve">fajlagos Ft </t>
  </si>
  <si>
    <t>Önkormányzati hivatal működésének támogatása</t>
  </si>
  <si>
    <t>A zöldterület-gazdálkodással kapcsolatos feladatok ellátásának támogatása</t>
  </si>
  <si>
    <t>Közvilágítás fenntartásának támogatása</t>
  </si>
  <si>
    <t>Köztemető fenntartással kapcsolatos feladatok támogatása</t>
  </si>
  <si>
    <t>Közutak fenntartásának támogatása</t>
  </si>
  <si>
    <t>II.</t>
  </si>
  <si>
    <t>I.</t>
  </si>
  <si>
    <t>II.1</t>
  </si>
  <si>
    <t>Óvodapedagógusok bértámogatása</t>
  </si>
  <si>
    <t>II.2</t>
  </si>
  <si>
    <t>Óvodaműködtetési támogatás</t>
  </si>
  <si>
    <t>III.</t>
  </si>
  <si>
    <t>III.1</t>
  </si>
  <si>
    <t>III.2</t>
  </si>
  <si>
    <t>III.3</t>
  </si>
  <si>
    <t>Egyes szociális és gyermekjóléti feladatok támogatása</t>
  </si>
  <si>
    <t xml:space="preserve">Helyi önkormányzatok működésének általános támogatása </t>
  </si>
  <si>
    <t>IV.</t>
  </si>
  <si>
    <t>összeg Ft</t>
  </si>
  <si>
    <t>Ell.szám</t>
  </si>
  <si>
    <t>2. melléklet jogcímei mindösszesen:</t>
  </si>
  <si>
    <t>KIADÁSOK</t>
  </si>
  <si>
    <t>Feladatellátás jogszabályi alapja</t>
  </si>
  <si>
    <t>Kötelező feladatok kiadása</t>
  </si>
  <si>
    <t>Önként vállalt feladatok kiadása</t>
  </si>
  <si>
    <t>Állami (államigazgatási) feladatok kiadása</t>
  </si>
  <si>
    <t>23</t>
  </si>
  <si>
    <t>24</t>
  </si>
  <si>
    <t>25</t>
  </si>
  <si>
    <t>27</t>
  </si>
  <si>
    <t>31</t>
  </si>
  <si>
    <t>34</t>
  </si>
  <si>
    <t>35</t>
  </si>
  <si>
    <t>Polgármesteri Hivatal összesen:</t>
  </si>
  <si>
    <t>Óvodai intézményi étkeztetés</t>
  </si>
  <si>
    <t>Óvodai nevelés, ellátás Jh.</t>
  </si>
  <si>
    <t>Óvodai nevelés, ellátás Kéleshalom</t>
  </si>
  <si>
    <t>Önkormányzat mindösszesen:</t>
  </si>
  <si>
    <t>Mötv.</t>
  </si>
  <si>
    <t>2011. évi CLXXXIX. tv. Magyarország helyi önkormányzatairól</t>
  </si>
  <si>
    <t xml:space="preserve">Szoc. tv. </t>
  </si>
  <si>
    <t>1993. évi III. törvény a szociális igazgatásról és szociális ellátásokról</t>
  </si>
  <si>
    <t>Ttv.</t>
  </si>
  <si>
    <t xml:space="preserve">1996. évi XXXI. törvény a tűz elleni védekezésről, a műszaki mentésről és tűzoltóságról </t>
  </si>
  <si>
    <t xml:space="preserve">Gyvt. </t>
  </si>
  <si>
    <t>1997. évi XXXI. törvény a gyermekek védelméről és a gyámügyi igazgatásról</t>
  </si>
  <si>
    <t xml:space="preserve">Közműv. tv. </t>
  </si>
  <si>
    <t>1997. évi CXL. törvény a muzeális intézményekről, a nyilvános könyvtári ellátásról és a közművelődésről</t>
  </si>
  <si>
    <t>Központi költségvetési támogatás</t>
  </si>
  <si>
    <t>Átvett pénzeszközök</t>
  </si>
  <si>
    <t>Saját bevételek</t>
  </si>
  <si>
    <t>Bevételek összesen</t>
  </si>
  <si>
    <t>Család- és nővédelmi eü. gondozáshoz OEP-finanszírozás</t>
  </si>
  <si>
    <t>Tűzoltóság BM támogatása</t>
  </si>
  <si>
    <t>Továbbszámlázott szolg. bevételei</t>
  </si>
  <si>
    <t>Étkeztetéssel kapcsolatos térítési díj bevétel</t>
  </si>
  <si>
    <t>KÖZFOGLALKOZTATOTTAK LÉTSZÁMA ÖSSZESEN:</t>
  </si>
  <si>
    <t xml:space="preserve">A helyi önkormányzat és költségvetési szervei engedélyezett létszáma és a közfoglalkoztatottak létszáma </t>
  </si>
  <si>
    <t>B. Költségvetési bevételek (I.+...+IV.)</t>
  </si>
  <si>
    <t>A. Költségvetési kiadások (I.+...+IV.)</t>
  </si>
  <si>
    <t>B. Költségvetési bevételek és A. költségvetési kiadások összesítésének egyenlege (hiány/többlet):</t>
  </si>
  <si>
    <t>I.1.a</t>
  </si>
  <si>
    <t>I.1.b</t>
  </si>
  <si>
    <t>I.1.ba</t>
  </si>
  <si>
    <t>I.1.bb</t>
  </si>
  <si>
    <t>I.1.bc</t>
  </si>
  <si>
    <t>I.1.bd</t>
  </si>
  <si>
    <t>I.1.c</t>
  </si>
  <si>
    <t>I.1.d</t>
  </si>
  <si>
    <t>I.6.</t>
  </si>
  <si>
    <t>II.4</t>
  </si>
  <si>
    <t>Kiegészítő támogatás az óvodapedagógusok minősítéséből adódó többletkiadásokhoz</t>
  </si>
  <si>
    <t>A települési önkorm.-k szociális feladatainak egyéb támogatása</t>
  </si>
  <si>
    <t xml:space="preserve">III.5.a </t>
  </si>
  <si>
    <t>IV.1.d</t>
  </si>
  <si>
    <t>IV.1</t>
  </si>
  <si>
    <t>Könyvtári, közművelődési és múzeumi feladatok támogatása</t>
  </si>
  <si>
    <t>önk-i többségi tulajdonú nem pénzügyi vállalkozások</t>
  </si>
  <si>
    <t>állami többségi tulajdonú nem pénzügyi vállalkozások</t>
  </si>
  <si>
    <t>Műk. c. visszatérítendő támogatások, kölcsönök nyújtása államháztartáson kívülre g, egyéb vállalkoz</t>
  </si>
  <si>
    <t>3.4. Tulajdonosi bevételek</t>
  </si>
  <si>
    <t>082030</t>
  </si>
  <si>
    <t>Más szerv részére végzett pü-i, gazd-i, üzemeltetési, egyéb szolg. - Építményüzemeltetés</t>
  </si>
  <si>
    <t>Közutak, hidak, alagutak üzemeltetése, fenntartása</t>
  </si>
  <si>
    <t>Zöldterület -kezelés</t>
  </si>
  <si>
    <t>Város-, községgazdálkodási egyéb szolgáltatások</t>
  </si>
  <si>
    <t>Könyvtári állomány gyarapítása, nyilvántartása</t>
  </si>
  <si>
    <t>Nyitnikék Gyerekház</t>
  </si>
  <si>
    <t>Szociális feladatok egyéb támogatása</t>
  </si>
  <si>
    <t>Elszámolásból származó bevételek</t>
  </si>
  <si>
    <t>Készletértékesítés ellenértéke</t>
  </si>
  <si>
    <t>egyéb részesedések után kapott osztalék</t>
  </si>
  <si>
    <t>fedezeti ügyletek kamatbevételei</t>
  </si>
  <si>
    <t>Biztosító által fizetett kártérítés</t>
  </si>
  <si>
    <t>B411</t>
  </si>
  <si>
    <t>Egyéb működési bevételek (pl. közbesz. ajánlati biztosíték, pályázati díjak, kötbér, késedelmi kamat, kerekítési különbözet stb.)</t>
  </si>
  <si>
    <t>B64</t>
  </si>
  <si>
    <t>B65</t>
  </si>
  <si>
    <t>B74</t>
  </si>
  <si>
    <t>B75</t>
  </si>
  <si>
    <t>B8121</t>
  </si>
  <si>
    <t>Forgatási c. belföldi értékpapírok beváltása, értékesítése</t>
  </si>
  <si>
    <t>B8122</t>
  </si>
  <si>
    <t>Éven belüli lejáratú belföldi értékpapírok kibocsátása</t>
  </si>
  <si>
    <t>B8123</t>
  </si>
  <si>
    <t>Befektetési célú belföldi értékpapírok beváltása, értékesítése</t>
  </si>
  <si>
    <t>B8124</t>
  </si>
  <si>
    <t>Éven túli lejáratú belföldi értékpapírok kibocsátása</t>
  </si>
  <si>
    <t>Lekötött bankbetétek megszüntetése</t>
  </si>
  <si>
    <t>B819</t>
  </si>
  <si>
    <t>Tulajdonosi kölcsönök bevételei</t>
  </si>
  <si>
    <t>B8191</t>
  </si>
  <si>
    <t>Hosszú lejáratú tulajdonosi kölcsönök bevételei</t>
  </si>
  <si>
    <t>B8192</t>
  </si>
  <si>
    <t>Rövid lejáratú tulajdonosi kölcsönök bevételei</t>
  </si>
  <si>
    <t>B84</t>
  </si>
  <si>
    <t>Váltóbevételek</t>
  </si>
  <si>
    <t>szerződés megerősítésével, a szerződésszegéssel kapcsolatos véglegesen járó bevételek, a szerződésen kívüli károkozásért, személyiségi, dologi vagy más jog megsértéséért, jogalap nélküli gazdagodásért kapott összegek</t>
  </si>
  <si>
    <t>nonprofit gazdasági társaságok</t>
  </si>
  <si>
    <t>külföldi szervezetek, személyek</t>
  </si>
  <si>
    <t xml:space="preserve">k, </t>
  </si>
  <si>
    <t>Egyéb műk. c. támogatások EU-nak</t>
  </si>
  <si>
    <t>K513</t>
  </si>
  <si>
    <t>K89</t>
  </si>
  <si>
    <t>Egyéb felhalmozási c. támogatások EU-nak</t>
  </si>
  <si>
    <t>3.1. Készletértékesítés ellenértéke</t>
  </si>
  <si>
    <t>Gyermeklánc Óvoda és Egységes Óvoda-Bölcsőde, Család- és Gyermekjóléti Központ</t>
  </si>
  <si>
    <t>Család- és Gyermekjóléti Központ</t>
  </si>
  <si>
    <t>Pedagógus szakképzettséggel nem rendelkező, óvodapedagógusok nevelő munkáját közvetlenül segítők bértámogatása</t>
  </si>
  <si>
    <t xml:space="preserve">III.3.a </t>
  </si>
  <si>
    <t>Család- és gyermekjóléti szolgálat</t>
  </si>
  <si>
    <t>Család- és gyermekjóléti központ</t>
  </si>
  <si>
    <t>III.3.b</t>
  </si>
  <si>
    <t xml:space="preserve">Fogyasztási adók </t>
  </si>
  <si>
    <t>jövedéki adó</t>
  </si>
  <si>
    <t>Kamatbevételek és más nyereségjellegű bevételek</t>
  </si>
  <si>
    <t>hitelviszonyt megtest. értékpapírok értékesítési nyeresége</t>
  </si>
  <si>
    <t>Egyéb kapott (járó) kamatok és kamatjellegű bevételek</t>
  </si>
  <si>
    <t>Részesedésekből származó pénzügyi műveletek bevételei</t>
  </si>
  <si>
    <t>Más egyéb pénzügyi műveletek bevételei</t>
  </si>
  <si>
    <t xml:space="preserve">Egyéb pénzügyi műveletek bevételei </t>
  </si>
  <si>
    <t>részesedések értékesítéséhez kapcs. realizált nyereség</t>
  </si>
  <si>
    <t>befektetési jegyek bevételei</t>
  </si>
  <si>
    <t>hitelviszonyt megtest. értékpapírok kibocsátási nyeresége</t>
  </si>
  <si>
    <t>valuta és deviza eszközök realizált árfolyamnyeresége</t>
  </si>
  <si>
    <t>kiadások visszatérítései</t>
  </si>
  <si>
    <t>Hitel-, kölcsönfelvétel pénzügyi vállalkozástól</t>
  </si>
  <si>
    <t>Államháztartáson belüli megelől. törleszt. (Áht. 78.§ (4) és 83.§ (3) bek.)</t>
  </si>
  <si>
    <t>Köztemetés (Szoc. tv. 48.§)</t>
  </si>
  <si>
    <t>települési támogatás (Szoc. tv. 45.§)</t>
  </si>
  <si>
    <t>091250</t>
  </si>
  <si>
    <t>Alapfokú művészetoktatással összefüggő működtetési feladatok</t>
  </si>
  <si>
    <t>098022</t>
  </si>
  <si>
    <t>Pedagógiai szakszolgáltató tevékenység működtetési feladatai</t>
  </si>
  <si>
    <t>Vállalk. tev. - Növénytermesztés és kapcsolódó szolgáltatások</t>
  </si>
  <si>
    <t>Művészeti tevékenységek -Jánoshalmi Művésztelep működtetése</t>
  </si>
  <si>
    <t>Művészeti tevékenységek - Jánoshalmi Művésztelep működtetése</t>
  </si>
  <si>
    <t xml:space="preserve">Egyéb szoc. pénzbeli ellátások, támogatások </t>
  </si>
  <si>
    <t>2015. évi  CXXIII. törvény az egészségügyi alapellátásról</t>
  </si>
  <si>
    <t>Eü a. tv.</t>
  </si>
  <si>
    <t>Gyermekvédelmi pénzbeli és természetbeni ell. -(Erzsébet ut., kieg. gyerm.véd. tám. és pótléka)</t>
  </si>
  <si>
    <t>Gyvt. 40/A. §</t>
  </si>
  <si>
    <t xml:space="preserve">Gyvt. tv. 14.§ (3), 18.§ (1a), 20/A.§,20/B.§, </t>
  </si>
  <si>
    <t>Óvodapedagógusok és a munkájukat közvetlen segítők bértámogatása</t>
  </si>
  <si>
    <t>A rászoruló gyermekek intézményen kívüli szünidei étkeztetésének támogatása</t>
  </si>
  <si>
    <t>Tűzoltóság települési támogatása</t>
  </si>
  <si>
    <t xml:space="preserve">- Óvónő </t>
  </si>
  <si>
    <t>- Pedagógiai asszisztens</t>
  </si>
  <si>
    <t xml:space="preserve">- Óvodai dajka </t>
  </si>
  <si>
    <t>- Óvodatitkár</t>
  </si>
  <si>
    <t>- Óvónő</t>
  </si>
  <si>
    <t>- Óvodai dajka</t>
  </si>
  <si>
    <t>- Szakmai vezető</t>
  </si>
  <si>
    <t>- Családsegítő</t>
  </si>
  <si>
    <t xml:space="preserve">Nyitnikék Gyerekház </t>
  </si>
  <si>
    <t>- Polgármester</t>
  </si>
  <si>
    <t>- Főállású alpolgármester</t>
  </si>
  <si>
    <t>Önkormányzati Tűzoltóság</t>
  </si>
  <si>
    <t>összeg  Ft</t>
  </si>
  <si>
    <t>II.3</t>
  </si>
  <si>
    <t>Társulás által fenntartott óvodákba bejáró gyermekek utaztatásának tám.</t>
  </si>
  <si>
    <t xml:space="preserve">II.4 a (1) </t>
  </si>
  <si>
    <t xml:space="preserve">II.4 a (2) </t>
  </si>
  <si>
    <t>Szociális ágazati összevont pótlék</t>
  </si>
  <si>
    <t>adatok Ft-ban</t>
  </si>
  <si>
    <t>Telep. önk-ok szoc.,  gyermekjóléti és gyermekétk. feladatainak tám.</t>
  </si>
  <si>
    <t>termőföld bérbeadásából származó jövedelem adója</t>
  </si>
  <si>
    <t>Egyéb felhalmozási célra átvett pénzeszközök</t>
  </si>
  <si>
    <t>018020</t>
  </si>
  <si>
    <t>Központi költségvetési befizetések</t>
  </si>
  <si>
    <t>Kerékpárút építése</t>
  </si>
  <si>
    <t>045120</t>
  </si>
  <si>
    <t>Munkaadót terhelő járulékok</t>
  </si>
  <si>
    <t>102023</t>
  </si>
  <si>
    <t>Időskorúak tartós bentlakásos ellátása (Szoc. Otthon)</t>
  </si>
  <si>
    <t>Egyéb szociális pénzbeli és természetbeni ellátások, támog.</t>
  </si>
  <si>
    <t>096015</t>
  </si>
  <si>
    <t>Gyermekétkeztetés köznevelési intézményben</t>
  </si>
  <si>
    <t>104037</t>
  </si>
  <si>
    <t>Intézményen kívüli gyermekétkeztetés</t>
  </si>
  <si>
    <t>Egyéb felhalmozási célú kiadás</t>
  </si>
  <si>
    <t>K5 Egyéb működési célú kiadások</t>
  </si>
  <si>
    <t>Rendszeres gyermekvédelmi kedvezményhez kapcsolódó természetbeni juttatás Gyvt. 20/A § (1) - (2) bek.</t>
  </si>
  <si>
    <t>Kiegészítő gyermekvédelmi támogatás és a kieg. gyermekvédelmi támogatás pótléka Gyvt. 20/B. § (3), (5) bek.</t>
  </si>
  <si>
    <t>kiotói egységek és kibocsátási egységek eladásából befolyt eladási ár</t>
  </si>
  <si>
    <t>Egyéb működési célú átvett pénzeszközök</t>
  </si>
  <si>
    <t>Helyi önkormányzatok működésének általános támogatása</t>
  </si>
  <si>
    <t>Működési célú költségvetési támogatás és kiegészítő támogatás</t>
  </si>
  <si>
    <t>Működési c. garancia- és kezesságvállalásból származó megtérülés államháztartáson belülről</t>
  </si>
  <si>
    <t>Működési célú visszatérítendő támogatások, kölcsönök visszatérülése ÁH-on belülről</t>
  </si>
  <si>
    <t>Működési célú visszatérítendő támogatások, kölcsönök igénybevétele ÁH-on belülről</t>
  </si>
  <si>
    <t>Egyéb működési célú támogatások bevételei államháztartáson belülről</t>
  </si>
  <si>
    <t>Települési önkormányzatok egyes köznevelési feladatainak támogatása</t>
  </si>
  <si>
    <t>Települési önkormányzatok kulturális feladatainak támogatása</t>
  </si>
  <si>
    <t>fejezeti kezelésű ei EU-s programok és azok hazai társfinanszírozása</t>
  </si>
  <si>
    <t>nemzetiségi önkormányzatok és költségvetési szerveik</t>
  </si>
  <si>
    <t>térségi fejlesztési tanácsok és költségvetési szerveik</t>
  </si>
  <si>
    <t>Felhalmozási célú önkormányzati támogatások</t>
  </si>
  <si>
    <t>Felhalm. célú garancia- és kezességvállalásból származó megtérülés állháztartáson belülről</t>
  </si>
  <si>
    <t>Felhalm. célú visszatérítendő támogatások, kölcsönök visszatérülése állháztartáson belülről</t>
  </si>
  <si>
    <t>Felhalm. célú visszatérítendő támogatások, kölcsönök igénybevétele állháztartáson belülről</t>
  </si>
  <si>
    <t>Egyéb felhalmozási célú támogatások bevételei államháztartáson belülről</t>
  </si>
  <si>
    <t>Felhalmozási célú támogatások államháztartáson belülről</t>
  </si>
  <si>
    <t>állandó jelleggel végzett iparűzési tevékenység utáni helyi iparűzési adó</t>
  </si>
  <si>
    <t>ideiglenes jelleggel végzett tevékenység utáni helyi iparűzési adó</t>
  </si>
  <si>
    <t>belföldi gépjárművek adójának helyi önkormányzatot megillető része</t>
  </si>
  <si>
    <t>szabálysértési pénz- és helyszíni bírság és a közlekedési szabályszegések után kiszabott közigazgatási bírság önkormányzatot megillető része</t>
  </si>
  <si>
    <t>utak használata ellenében beszedett használati díj, pótdíj, elektr. Útdíj</t>
  </si>
  <si>
    <t>önkormányzati vagyon üzemeltetéséből, koncesszióból származó bevétel</t>
  </si>
  <si>
    <t>önkormányzati vagyon vagyonkezelésbe adásából szárm. bevétel</t>
  </si>
  <si>
    <t>állami többségi tulajdonú vállalkozástól kapott osztalék</t>
  </si>
  <si>
    <t>önkormányzati többségi tulaljdonú vállalkozástól kapott osztalék</t>
  </si>
  <si>
    <t>Befektetett pénzügyi eszközökből származó bevételek</t>
  </si>
  <si>
    <t>hitelviszonyt megtestesítő értékpapírok értékesítési nyeresége</t>
  </si>
  <si>
    <t>Működési célú garancia- és kezességvállalásból származó megtérülés ÁH-on kívülről</t>
  </si>
  <si>
    <t>Működési célú visszatérítendő támogatások, kölcsönök visszatérülése EU-tól</t>
  </si>
  <si>
    <t>Működési célú visszatérítendő támogatások, kölcsönök visszatérülése kormányoktól és más nemzetközi szervezetektől</t>
  </si>
  <si>
    <t>Működési célú visszatérítendő támogatások, kölcsönök visszatérülése ÁH-n kívülről</t>
  </si>
  <si>
    <t>Felhalmozási célú garancia- és kezességvállalásból származó megtérülés ÁH-on kívülről</t>
  </si>
  <si>
    <t>Felhalmozási célú visszatérítendő támogatások, kölcsönök visszatérülése EU-tól</t>
  </si>
  <si>
    <t>Felhalmozási célú visszatérítendő támogatások, kölcsönök visszatérülése kormányoktól és más nemzetközi szervezetektől</t>
  </si>
  <si>
    <t>Felhalmozási célú visszatérítendő támogatások, kölcsönök visszatérülése állházt.-on kívülről</t>
  </si>
  <si>
    <t>Hosszú lejáratú hitelek, kölcsönök felvétele pénzügyi vállalkozástól</t>
  </si>
  <si>
    <t>Likviditási célú hitelek, kölcsönök felvétele pénzügyi vállalkozástól</t>
  </si>
  <si>
    <t>Rövid lejáratú hitelek, kölcsönök felvétele pénzügyi vállalkozástól</t>
  </si>
  <si>
    <t>Egyéb felhalmozási célú támogatások állháztartáson kívülre</t>
  </si>
  <si>
    <t>Működési célú tartalék - Környezetvédelmi alap</t>
  </si>
  <si>
    <t>VI. Államháztartáson belüli megelőlegezések</t>
  </si>
  <si>
    <t>VI. Államháztartáson belüli megelőlegezések visszafizetése</t>
  </si>
  <si>
    <t>3.2. Egyéb felhalmozási célra átvett pénzeszközök</t>
  </si>
  <si>
    <t>3.1. Felh. c. visszatérít. támog., kölcsönök visszatér. ÁH-on kív.</t>
  </si>
  <si>
    <t>III/a. Előző évek költségvetési maradványának igénybevétele</t>
  </si>
  <si>
    <t>III/b. Előző évek vállakozási maradványának igénybevétele</t>
  </si>
  <si>
    <t>IV. Belföldi értékpapírok bevételei</t>
  </si>
  <si>
    <t>V. Hitel-, kölcsönfelvétel államháztartáson kívülről</t>
  </si>
  <si>
    <t>IV. Értékpapírok vásárlásának kiadása</t>
  </si>
  <si>
    <t>V. Hitelek törlesztése és kötvénykibocsátás kiadásai</t>
  </si>
  <si>
    <t>1.2. Műk. c. visszatérítendő tám., kölcsönök v.térülése ÁH-on bel.</t>
  </si>
  <si>
    <t>5.2. Műk. c. v.térítendő támog.-k, kölcs. nyújt. ÁH-on kívülre</t>
  </si>
  <si>
    <t>2. Munkaadót terhelő járulékok és szociális hozzájárulási adó</t>
  </si>
  <si>
    <t>Időskorúak tartós bentlakásos ellátása</t>
  </si>
  <si>
    <t>Jánoshalma Városi Önkormányzat összesen:</t>
  </si>
  <si>
    <t>Család- és Gyermekjóléti Szolgálat</t>
  </si>
  <si>
    <t>Bölcsődei ellátás</t>
  </si>
  <si>
    <t>Bölcsődei étkeztetés</t>
  </si>
  <si>
    <t>Mötv. 13.§ (1) 9.</t>
  </si>
  <si>
    <t>Ttv. 2.§(2) Mötv. 13.§ (1) 12.</t>
  </si>
  <si>
    <t>Mötv. 13.§ (1) 2.</t>
  </si>
  <si>
    <t>Mötv. 13.§ (1) 11.</t>
  </si>
  <si>
    <t>Mötv. 13.§ (1) 19.</t>
  </si>
  <si>
    <t>Mötv. 13.§ (1) 5., 19.</t>
  </si>
  <si>
    <t>Mötv. 13.§ (1) 2., 11., 9., 12., 5.</t>
  </si>
  <si>
    <t xml:space="preserve">Mötv. 13.§ (1) 4.,  Eü tv. 5.§ (1) </t>
  </si>
  <si>
    <t>Mötv. 13.§ (1) 15.</t>
  </si>
  <si>
    <t>Mötv. 13.§ (1) 7., Közműv. tv. 64.§ (1)</t>
  </si>
  <si>
    <t>Mötv. 13.§ (1) 7</t>
  </si>
  <si>
    <t>Mötv. 13.§ (1) 7., Közműv. tv. 73.§ (2)</t>
  </si>
  <si>
    <t>Szoc. tv. 86.§ (1) b,</t>
  </si>
  <si>
    <t>Mötv. 13.§ (1)13.</t>
  </si>
  <si>
    <t>Mötv. 13.§ (1) 13.</t>
  </si>
  <si>
    <t>Mötv. 13.§ (1) 6.</t>
  </si>
  <si>
    <t>Család- és nővédelmi egészségügyi gondozás (Védőnői Szolg.)</t>
  </si>
  <si>
    <t>3.8. Kamatbevételek</t>
  </si>
  <si>
    <t>3.9. Egyéb működési bevételek</t>
  </si>
  <si>
    <t>Gyvt. 21/A § (3)</t>
  </si>
  <si>
    <t xml:space="preserve">Mötv. 13.§ (1) 8a, Szoc. tv.  45.§, 48.§ </t>
  </si>
  <si>
    <t>Gyvt. 40. §</t>
  </si>
  <si>
    <t>Gyvt. 94. § (3a)</t>
  </si>
  <si>
    <t xml:space="preserve">Gyvt. 38/A § </t>
  </si>
  <si>
    <t>Gyvt. 21/C § (1)</t>
  </si>
  <si>
    <t xml:space="preserve">200/2016.(XII.15.) Kt. hat. Kiskunhalas - Jánoshalma - Mélykút kerékpárút Jánoshalma közigazgatási területét érintő szakaszának tervezési munkái - VIA Futura Mérnöki Tanácsadó és Szolgáltató Kft </t>
  </si>
  <si>
    <t>208/2016.(XII.15.) Kt. hat. Pályázati önerő VP6-7.2.1-7.4.2-16. kódszámú pályázathoz (közutak karbantartásához erő- és munkagépek beszerzése)</t>
  </si>
  <si>
    <t>209/2016.(XII.15.) Kt. hat. Pályázati önerő az "Innovatív vízgazdálkodási tervezés a határmenti régióban" projekthez</t>
  </si>
  <si>
    <t>Tűzoltó laktanya vizesblokkjának felújítása</t>
  </si>
  <si>
    <t>- Szakmai munkatárs</t>
  </si>
  <si>
    <t>RGYVK-hoz kapcs. természetbeni juttatás (Erzsébet utalvány) megtérítése</t>
  </si>
  <si>
    <t>Felhalmozási célú maradvány igénybevétele</t>
  </si>
  <si>
    <t>Készletértékesítés (homokbánya)</t>
  </si>
  <si>
    <t>Készletértékesítés (búza, kukorica stb.)</t>
  </si>
  <si>
    <t>Naperőmű által termelt többlet energia értékesítésének bevétele</t>
  </si>
  <si>
    <t>Közvetített szolgáltatások értéke</t>
  </si>
  <si>
    <t>Kamatbevétel</t>
  </si>
  <si>
    <t>Működési célú maradvány igénybevétele</t>
  </si>
  <si>
    <t>Intézményi gyermekétkeztetési feladatok támogatása (iskolai étkeztetés)</t>
  </si>
  <si>
    <t>Intézményi gyermekétkeztetési feladatok támogatása (óvodai étkeztetés)</t>
  </si>
  <si>
    <t>Eü. Ágazat</t>
  </si>
  <si>
    <t>Családsegítő- és Gyermekjóléti Szolgálat, Családsegítő- és Gyermekjóléti Központ</t>
  </si>
  <si>
    <t>A 2017. évről áthúzódó bérkompenzáció támogatása</t>
  </si>
  <si>
    <t>I.5.</t>
  </si>
  <si>
    <t>Polgármesteri illetmény támogatása</t>
  </si>
  <si>
    <t>Jánoshalma Városi Önkormányzat 2018. évi költségvetésében tervezett köponti költségvetési támogatások</t>
  </si>
  <si>
    <t>II.1 (1)1,2</t>
  </si>
  <si>
    <t>II.1 (2)1,2</t>
  </si>
  <si>
    <t>Alapfokú végzettségű pedagógus II. kategóriába sorolt óvodapedagógusok kiegészítő támogatása, akik a minősítést 2016.12.31-ig szerezték meg</t>
  </si>
  <si>
    <t>Alapfokú végzettségű mesterpedagógus kategóriába sorolt óvodapedagógusok kiegészítő támogatása, akik a minősítést 2016. december 31-ig szerezték meg</t>
  </si>
  <si>
    <t>III.6.</t>
  </si>
  <si>
    <t xml:space="preserve">III.7. </t>
  </si>
  <si>
    <t>Bölcsőde, minibölcsőde támogatása</t>
  </si>
  <si>
    <t>III.7. a (1)</t>
  </si>
  <si>
    <t>Felsőfokú végzettségű kisgyermeknevelők, szaktanácsadók bértámogatása</t>
  </si>
  <si>
    <t>III.7. a (2)</t>
  </si>
  <si>
    <t>Bölcsődei dajkák, középfokú végzettségű kisgyermeknevelők, szaktanácsadók bértámogatása</t>
  </si>
  <si>
    <t>III.7.b</t>
  </si>
  <si>
    <t>Bölcsőde üzemeltetési támogatás</t>
  </si>
  <si>
    <t>Intézményi gyermekétkeztetés támogatása</t>
  </si>
  <si>
    <t>Étkeztetési feladatot ellátók után járó bértámogatás</t>
  </si>
  <si>
    <t>A rászoruló gyermekek szünidei étkeztetésének támogatása</t>
  </si>
  <si>
    <t xml:space="preserve">Jánoshalmi tagóvodák                          </t>
  </si>
  <si>
    <t>Gyermeklánc Óvoda és Bölcsőde, Család- és Gyermekjóléti Központ</t>
  </si>
  <si>
    <t>Bölcsődei csoport</t>
  </si>
  <si>
    <t>Felsőfokú végzettségű kisgyermeknevelő</t>
  </si>
  <si>
    <t>Középfokú végzettségű kisgyermeknevelő</t>
  </si>
  <si>
    <t>Bölcsődei dajka</t>
  </si>
  <si>
    <t>Gyermekház vezető</t>
  </si>
  <si>
    <t>Szakmai munkatárs</t>
  </si>
  <si>
    <t>Kéleshalmi tagintézmény</t>
  </si>
  <si>
    <t>- Esetmenedzser és tanácsadó</t>
  </si>
  <si>
    <t>- Esetmenedzser és tanácsadó (részfoglalk. napi 4 órában)</t>
  </si>
  <si>
    <t>- Esetmenedzser és tanácsadó (részfoglalk. napi 5 órában)</t>
  </si>
  <si>
    <t>- Szakmai vezető (részfoglalk. napi 4 órában)</t>
  </si>
  <si>
    <t>- MT hatálya alá tartozó munkavállaló</t>
  </si>
  <si>
    <t>Önkormányzati tisztségviselők</t>
  </si>
  <si>
    <t>- Vonuló tűzoltók</t>
  </si>
  <si>
    <t>Igazgatási tevékenység</t>
  </si>
  <si>
    <t>- Szociális segítő</t>
  </si>
  <si>
    <t>- Közfoglalkoztatási ügyintéző</t>
  </si>
  <si>
    <t>Gyermekétkeztetés</t>
  </si>
  <si>
    <t>- Szakmai asszisztens</t>
  </si>
  <si>
    <t xml:space="preserve">- Könyvtáros                      </t>
  </si>
  <si>
    <t>- Művelődésszervező</t>
  </si>
  <si>
    <t>- Technikus</t>
  </si>
  <si>
    <t>- Adminisztrátor</t>
  </si>
  <si>
    <t>Bio- és megújuló energia felhasználás programelem</t>
  </si>
  <si>
    <t>Belterületi közutak karbantartása programelem</t>
  </si>
  <si>
    <t>Belvízelvezetés programelem</t>
  </si>
  <si>
    <t>12 fő álláskereső közfoglalkoztatása (Roma védőháló)</t>
  </si>
  <si>
    <t>72 fő álláskereső közfoglalkoztatása (Intézményes)</t>
  </si>
  <si>
    <t>Start-munka program - Téli közfoglalkoztatás (2017. évről áthúzódó programok 2018.02.28-ig)</t>
  </si>
  <si>
    <t>Hosszabb időtartamú közfoglalkoztatás (2017. évről áthúzódó programok 2018.02.28-ig)</t>
  </si>
  <si>
    <t>Jánoshalma Városi Önkormányzat és költségvetési szervei 2018. évi költségvetésének bevételi előirányzatai</t>
  </si>
  <si>
    <t>Működési célú tartalék - Városgazda Kft. központi irányítási feladataira</t>
  </si>
  <si>
    <t>Jánoshalma Városi Önkormányzat és költségvetési szervei 2018. évi költségvetésének kiadási előirányzatai</t>
  </si>
  <si>
    <t>Jánoshalma Város Önkormányzat 2018. évi költségvetése működési és felhalmozási célú bontásban</t>
  </si>
  <si>
    <t xml:space="preserve">5.1. Elvonások és befizetések </t>
  </si>
  <si>
    <t>Jánoshalma Városi Önkormányzat  2018. évi költségvetési kiadásai feladatonként</t>
  </si>
  <si>
    <t>Önkormányzatok elszámolásai a központi költségvetéssel</t>
  </si>
  <si>
    <t>Általános gazdasági és kereskedelmi ügyek igazgatása</t>
  </si>
  <si>
    <t>Imre Zoltán Kulturális Központ és Könyvtár</t>
  </si>
  <si>
    <t>Start-munka program - Téli közfoglalkoztatás</t>
  </si>
  <si>
    <t>Hosszabb időtartamú közfoglalkoztatás</t>
  </si>
  <si>
    <t>063020</t>
  </si>
  <si>
    <t>Víztermelés, -kezelés, -ellátás</t>
  </si>
  <si>
    <t>A gyermekek, fiatalok és családok életminőségét javító programok</t>
  </si>
  <si>
    <t>Fejlesztési tartalék - biztonsági előírások teljesítésére</t>
  </si>
  <si>
    <t>900090</t>
  </si>
  <si>
    <t>Céltartalék -Városgazda Kft. kp-i irányítási feladatainak tám.-ra</t>
  </si>
  <si>
    <t>041110</t>
  </si>
  <si>
    <t>041232</t>
  </si>
  <si>
    <t>041233</t>
  </si>
  <si>
    <t>20. Egészségügyi ellátás</t>
  </si>
  <si>
    <t>Óvodai étkeztetés</t>
  </si>
  <si>
    <t>Óvodai nevelés (Jánoshalmi óvodák)</t>
  </si>
  <si>
    <t>Óvodai nevelés (Kéleshalmi tagóvoda)</t>
  </si>
  <si>
    <t>Bölcsődei gyermek étkeztetés</t>
  </si>
  <si>
    <t>Közművelődés- hagyományos közösségi kult. értékek gondozása</t>
  </si>
  <si>
    <t>Jánoshalma Városi Önkormányzat és költségvetési szerveinek 2018. évi költségvetési kiadásai kötelező-, önként vállalt-, és állami (államigazgatási) feladatok szerinti bontásban</t>
  </si>
  <si>
    <t>Mötv. 13.§ (1)12.</t>
  </si>
  <si>
    <t>Mötv. 13.§ (1)11,  21.</t>
  </si>
  <si>
    <t>Mötv. 13.§ (1)13, 9.</t>
  </si>
  <si>
    <t>Áht. 53/A. §</t>
  </si>
  <si>
    <t>Áht.</t>
  </si>
  <si>
    <t>2011. évi CXCV. törvény az államháztartásról</t>
  </si>
  <si>
    <t>Gyermeklánc Óvoda és Bölcsőde, Család- és Gyermekjóléti Központ összesen:</t>
  </si>
  <si>
    <t>Jánoshalma Városi Önkormányzat  és költségvetési szerveinek 2018. évi költségvetési bevételei és  kiadásai kötelező-, önként vállalt-, és állami (államigazgatási) feladatok szerinti bontásban</t>
  </si>
  <si>
    <t>Csatornamosó GFB túlfizetés visszatérülése</t>
  </si>
  <si>
    <t>TOP-3.2.1.-16 Polg. Hiv. energetikai korsz. projekt, TOP-2.1.2-16 "Zöld tér felújítása projekt és TOP-2.1.3-16 "Jh. belvíz elvezetése I. ütem" c. projekt támogatása</t>
  </si>
  <si>
    <t>Hosszabb időtartamú közfogl. felhalm. c. tám.</t>
  </si>
  <si>
    <t>Startmunka programok felhalm. c. támogatás</t>
  </si>
  <si>
    <t>Bölcsőde támogatása</t>
  </si>
  <si>
    <t xml:space="preserve"> TOP-1.1.2-16 Jh. térségi szerepének erősítése a mg.-ban", TOP-1.1.3-16 "Agrárlogisztikai központ építése Jh-n" c. projektek támogatása</t>
  </si>
  <si>
    <t>Tűzker IMP Bt-től vfiz.támogatás visszatérítés</t>
  </si>
  <si>
    <t>"Jánoshalmi Művésztelep energetikai felújítása" projekt támogatása (VP)</t>
  </si>
  <si>
    <t>Kéleshalom önkormányzat támogatása óvodai ellátáshoz</t>
  </si>
  <si>
    <t>Ellátási díjak (ált. isk. étkezés)</t>
  </si>
  <si>
    <t>EFOP-1.4.2-16 Integrált térs. gyermekpr. "Együtt könnyebb" támogatása</t>
  </si>
  <si>
    <t>Köztemetés kiadásának megtérítése</t>
  </si>
  <si>
    <t>Támogatott foglalkoztatás bevétele</t>
  </si>
  <si>
    <t>Könyvtári szolgáltatások ellenértéke</t>
  </si>
  <si>
    <t>Közművelődési szolgáltatások ellenértéke</t>
  </si>
  <si>
    <t>2018. évi felhalmozási kiadások feladatonként, felújítási kiadások célonként</t>
  </si>
  <si>
    <t>154/2017.(VIII.24.) Kt. hat.  TOP-3.2.1-16  - "Önkormányzati épületek energetikai korszerűsítése" c. projekt (előzetes tanulmányok, engedélyezési dokumentumok költségei)</t>
  </si>
  <si>
    <t>35/2016.(III.24.) Kt. hat. Nyertes pályázat esetén a Gazdakörnek székház felújításához biztosított 1,5 millió Ft támogatás (pályázati önerő) 2018. évben átutalásra kerülő része</t>
  </si>
  <si>
    <t>Tűzoltó laktanya felújítása</t>
  </si>
  <si>
    <t>Alapfokú végzettségű pedagógus II. kategóriába sorolt óvodapedagógusok kiegészítő támogatása, akik a minősítést a 2018. január 1-jei átsorolással szerezték meg</t>
  </si>
  <si>
    <t>Alapfokú végzettségű mesterpedagógus kategóriába sorolt óvodapedagógusok kiegészítő támogatása, akik a minősítést a 2018. január 1-jei átsorolással szerezték meg</t>
  </si>
  <si>
    <t>58/2015.(III.26) Kt. hat.  TOP-1.1.1-15-BK1-2016-00006 - "Iparterület fejlesztése Jánoshalmán" c. projekt</t>
  </si>
  <si>
    <t>58/2015.(III.26) Kt. hat.  TOP-1.1.2-16-BK1 - "Jánoshalma térségi szerepének erősítése a mezőgazdaságban" c. projekt (előzetes tanulmányok, engedélyezési dokumentumok költségei)</t>
  </si>
  <si>
    <t>58/2015.(III.26) Kt. hat.  TOP-1.1.3-16-BK1 - "Agrárlogisztikai központ építése Jánoshalmán c. projekt (előzetes tanulmányok, engedélyezési dokumentumok költségei)</t>
  </si>
  <si>
    <t>58/2015.(III.26) Kt. hat.  TOP-2.1.3-16-BK1 - "Jánoshalma belvíz elvezetése I. ütem" c. projekt</t>
  </si>
  <si>
    <t>Viziközművek felújítása a viziközművek 2018. évi bérleti díj bevételéből</t>
  </si>
  <si>
    <t>58/2015.(III.26) Kt. hat. TOP-2.1.2-16-BK1 - "Zöld tér felújítása Jánoshalmán" c. projekt (előzetes tanulmányok, engedélyezési dokumentumok költségei)</t>
  </si>
  <si>
    <t>Háziorvosi Ügyeleti szolgálat - 1 db heverő nővér szobába</t>
  </si>
  <si>
    <t xml:space="preserve">173/2017.(X.26.) Kt. hat. Pályázati önerő - MLSZ "Telephely korszerűsítési program" pályázathoz </t>
  </si>
  <si>
    <t xml:space="preserve">207/2017.(XI.29.) Kt. hat. Pályázati önerő - MLSZ "Kedvezményes pályaépítési program" pályázathoz </t>
  </si>
  <si>
    <t>207/2017.(XI.29.) Kt. hat.  MLSZ "Kedvezményes pályaépítési program" pályázathoz szükséges tervrajz készítése</t>
  </si>
  <si>
    <t xml:space="preserve">168/2017.(IX.28.) Kt. hat. Pályázati önerő - a konyhafejlesztésre benyújtott VP 6-7.2.1-7.4.1.3-17 kódszámú pályázathoz </t>
  </si>
  <si>
    <t>Fényképezőgép, területmérő, további eszközbeszerzések</t>
  </si>
  <si>
    <t>Egyéb tárgyi eszközök beszerzése (Panda vírusírtó 10.000 Ft + Áfa /gép) - Jánoshalmi óvoda 9 gép, Nyitnikék Gyerekház 2 gép</t>
  </si>
  <si>
    <t>Egyéb tárgyi eszközök beszerzése  - Család- és Gyermekjóléti Központ</t>
  </si>
  <si>
    <t>Egyéb tárgyi eszközök beszerzése - Család- és Gyermekjóléti Szolgálat</t>
  </si>
  <si>
    <t xml:space="preserve">Fejlesztési célú tartalék - kötelező elektronikus ügyintézéshez kapcsolódó biztonsági előírások teljesítésére (2015. évi CCXXII. tv.) </t>
  </si>
  <si>
    <t>72/2017.(IV.20.) Kt. hat. Belterületi utak, járdák felújítása (önerő és központi támogatás)</t>
  </si>
  <si>
    <t xml:space="preserve">Támogatási szerződés szerinti bevételek, kiadások  (Ft)     </t>
  </si>
  <si>
    <t>évenkénti üteme</t>
  </si>
  <si>
    <t>Saját erő</t>
  </si>
  <si>
    <t>EU-s és hazai forrás együtt</t>
  </si>
  <si>
    <t>Források összesen</t>
  </si>
  <si>
    <t>Beruházási kiadások (elszámolható)</t>
  </si>
  <si>
    <t>Dologi kiadások (elszámolható)</t>
  </si>
  <si>
    <t xml:space="preserve">Saját erő </t>
  </si>
  <si>
    <t>Bér+járulék kiadások (elszámolható)</t>
  </si>
  <si>
    <t>Iparterület fejlesztése Jánoshalmán (TOP-1.1.1-15-BK1-2016-00006)</t>
  </si>
  <si>
    <t>Beruházási kiadások (nem elszámolható)</t>
  </si>
  <si>
    <t>"A Jánoshalmi Művésztelep energetikai felújítása" (Vidékfejlesztési Program)</t>
  </si>
  <si>
    <t>Felújítási kiadások (elszámolható)</t>
  </si>
  <si>
    <t>Felújítási kiadások (nem elszámolható)</t>
  </si>
  <si>
    <t>A 2018. évi költségvetésben tervezett, EU-forrásból finanszírozott  támogatással megvalósuló projektek kiadásai, a helyi önkormányzat ilyen projektekhez történő hozzájárulásai</t>
  </si>
  <si>
    <t xml:space="preserve">2018. évi költségvetésben tervezett kiadási előirányzatok   </t>
  </si>
  <si>
    <t>A helyi önkormányzat által irányított költségvetési szervek 2018. évi költségvetési kiadásai feladatonként</t>
  </si>
  <si>
    <t>Gyermekvédelmi pénzbeli és természetbeni ellátások</t>
  </si>
  <si>
    <t>2.2. Termőföld bérbead.-ból szárm. jöv. utáni SZJA</t>
  </si>
  <si>
    <t>2.3. Belföldi gépjárművek adójának helyi önk-t megillető része</t>
  </si>
  <si>
    <t>2.4. Egyéb közhatalmi bevételek</t>
  </si>
  <si>
    <t>Polgármesteri Hivatal igazgatási tevékenysége</t>
  </si>
  <si>
    <t>Imre Zoltán Művelődési Központ és Könyvtár</t>
  </si>
  <si>
    <t>Imre Zoltán Művelődési Központ és Könyvtár összesen:</t>
  </si>
  <si>
    <t>Közvetített szolg. értéke (műv. okt. rezsi ktg.)</t>
  </si>
  <si>
    <t>Anyakönyvi szolgáltatás díjbevétele</t>
  </si>
  <si>
    <t>Nyitnikék Gyerekház EMMI-fejezeti támogatása</t>
  </si>
  <si>
    <t>Gyermeklánc Óvoda és Bölcsőde, Család- és Gyermekjóléti Központ kiadásai összesen:</t>
  </si>
  <si>
    <t>Imre Zoltán Kulturális Központ és Könyvtár kiadásai össz.:</t>
  </si>
  <si>
    <t>- Pénzügyi vezető (részmunkaidős napi 4 órában)</t>
  </si>
  <si>
    <t>- Projektmenedzser (részmunkaidős napi 4 órában)</t>
  </si>
  <si>
    <t>- Gazdasági ügyintéző (térítési díjak beszedése, étkezők nyilvántartása)</t>
  </si>
  <si>
    <t>- Technikai dolgozók  (2 fő részfoglalk. napi 4 órában)</t>
  </si>
  <si>
    <t>018010</t>
  </si>
  <si>
    <t>102031</t>
  </si>
  <si>
    <t>Idősek nappali ellátása</t>
  </si>
  <si>
    <t>107013</t>
  </si>
  <si>
    <t>Hajléktalanok átmeneti ellátása - éjjeli menedékhelyen</t>
  </si>
  <si>
    <t>107015</t>
  </si>
  <si>
    <t>Hajléktalanok nappali ellátása - Nappali melegedő</t>
  </si>
  <si>
    <t>107052</t>
  </si>
  <si>
    <t>Házi segítségnyújtás</t>
  </si>
  <si>
    <t>36</t>
  </si>
  <si>
    <t>37</t>
  </si>
  <si>
    <t>Szoc. tv. 86.§ (1) d,</t>
  </si>
  <si>
    <t xml:space="preserve">Mötv. 13.§ (1) 10. </t>
  </si>
  <si>
    <t>Hajléktalanok átmeneti ellátása</t>
  </si>
  <si>
    <t>Hajléktalanok nappali ellátása</t>
  </si>
  <si>
    <t>Szoc. tv. 86.§ (1) c,</t>
  </si>
  <si>
    <t>38</t>
  </si>
  <si>
    <t>39</t>
  </si>
  <si>
    <t>51/2016.(III.24.) Kt. Hat. Jánoshalmi Művésztelep energetikai felújítása, közösségi terek fejlesztése pályázati  önerő és támogatás, 16/2018. (I.25) Kt. hat. alapján 670eFt + Áfa keretösszeg biztosítása kiviteli tervek elkészítésére és tervezői művezetésre</t>
  </si>
  <si>
    <t>224/2017.(XII.14) Kt. hat.  VP6-19.2.1-32-1-17  "Települések élhetőbbé tétele" c. pályázathoz önerő  és 20 eFt keret a nem elszámolható költségekre (gépjármű tároló építése a Mélykúti u. 7. sz. alatt) 17/2018.(I.25) Kt. hat. alapján nem elszámolható kiadásokra 495.250,- Ft keretösszeg</t>
  </si>
  <si>
    <t xml:space="preserve">2018. évi költségvetésben tervezett bevételi előirányzatok    </t>
  </si>
  <si>
    <t>Integrált térségi gyermekprogramok  - "Együtt könnyebb" komplex prevenciós és társadalmi felzárkóztató program a gyermekszegénység ellen (EFOP-1.4.2-16-2016-00020)</t>
  </si>
  <si>
    <t>Önkormányzati bérlakások felújítása</t>
  </si>
  <si>
    <t>Jánoshalma Radnóti u. 13. (volt Gimnázium épület) tetőfeljújítása</t>
  </si>
  <si>
    <t>082091</t>
  </si>
  <si>
    <t>Országgyűlési képviselők 2018. évi választása</t>
  </si>
  <si>
    <t>EFOP-3.2.9-16-2016-00044 "Segítsd, hogy segíthessen!" c. projekt</t>
  </si>
  <si>
    <t>EFOP-3.9.2-16-2017-00057 "Járásokat összekötő humán kapacitások fejlesztése térségi szemléletben" c. projekt</t>
  </si>
  <si>
    <t xml:space="preserve">Államháztartáson belüli megelőlegezések </t>
  </si>
  <si>
    <t>Közművelődés-közösségi és társadalmi részvétel fejlesztése (EFOP-3.3.2-16-2016-00284 projekt)</t>
  </si>
  <si>
    <t>40</t>
  </si>
  <si>
    <t>2013. évi XXXVI.törvány a választási eljárásról</t>
  </si>
  <si>
    <t>Ve.</t>
  </si>
  <si>
    <t>8 Általános gazd-i és kereskedelmi ügyek igazgatása</t>
  </si>
  <si>
    <t>TOP-1.1.1-15 BK1-2016-00006 "Iparterület fejlesztése Jánoshalmán" c. projekt</t>
  </si>
  <si>
    <t>TOP-1.1.2-16 BK1 "Jánoshalma térségi szerepének erősítése a mezőgazdaságban" c. projekt</t>
  </si>
  <si>
    <t>TOP-1.1.3-16 BK1 "Agrárlogisztikai központ építése Jánoshalmán" c. projekt</t>
  </si>
  <si>
    <t>30 A gyermekek, fiatalok és családok életminőségét javító programok</t>
  </si>
  <si>
    <t>EFOP-1.4.2-16  "Együtt könnyebb" c. projekt</t>
  </si>
  <si>
    <t>EFOP-1.5.3-16-2017-00082 "Együtt vagyunk, otthon vagyunk és itt maradunk" c. projekt</t>
  </si>
  <si>
    <t>Startmunka programok működési c. támogatás</t>
  </si>
  <si>
    <t>Hosszabb időtartamú közfogl. működési c. tám.</t>
  </si>
  <si>
    <t>EFOP-1.5.3-16-2017-00082"Együtt vagyunk, otthon vagyunk…"pr. felh. c. tám.</t>
  </si>
  <si>
    <t>EFOP-1.5.3-16-2017-00082"Együtt vagyunk, otthon vagyunk…"pr. műk. c. tám.</t>
  </si>
  <si>
    <t>EFOP-3.9.2-16-2017-00057 "Járásokat összekötő humán kapacitások..."pr. műk. c. tám.</t>
  </si>
  <si>
    <t>EFOP-3.3.2-16-2016-00284 "Kultúrával az oktatás színesítéséért"pr. műk. c. tám.</t>
  </si>
  <si>
    <t>EFOP-3.3.2-16-2016-00284 "Kultúrával az oktatás színesítéséért"pr. felh. c. tám.</t>
  </si>
  <si>
    <t>2018. évi bérkompenzáció támogatása</t>
  </si>
  <si>
    <t>Helyi önkormányzatok működésének ált. tám.</t>
  </si>
  <si>
    <t>EFOP-3.9.2-16-2017-00057 "Járásokat összekötő humán kapacitások..."pr. felh. c. tám.</t>
  </si>
  <si>
    <t>Működési célú maradvány igénybevétele "Segítsd, hogy segíthessen!" pr.</t>
  </si>
  <si>
    <t>Felhalm. célú maradvány igénybevétele "Segítsd, hogy segíthessen!" pr.</t>
  </si>
  <si>
    <t>2017. decemberi bérkompenzáció</t>
  </si>
  <si>
    <t>Bölcsődei pótlék</t>
  </si>
  <si>
    <t>2017. december havi bérkompenzáció (68.320-8.784,-=59.536,-Ft), szoc. ágazati összevont pótlék (9.189.220,- Ft) támogatása</t>
  </si>
  <si>
    <t>Bölcsőde 2017. december havi bérkompenzáció 8.784,- Ft, 2018. évi tervezett bérkompenzáció 78.870,-Ft.</t>
  </si>
  <si>
    <t xml:space="preserve">Kulturális illetménypótlék 2018. évi terv </t>
  </si>
  <si>
    <t>Hosszabb időtartamú közfoglalkoztatás (2018. március 1-től indult programok 2019.02.28-ig)</t>
  </si>
  <si>
    <t>94 fő álláskereső közfoglalkoztatása</t>
  </si>
  <si>
    <t>Start-munka program - Téli közfoglalkoztatás (2018. március 1-től indult programok 2019.02.28-ig)</t>
  </si>
  <si>
    <t>Illegális hulladéklerakóhelyek felszámolása programelem</t>
  </si>
  <si>
    <t>EFOP-1.5.3-16-2017-00082 "Együtt vagyunk, otthon vagyunk és itt maradunk" projekt</t>
  </si>
  <si>
    <t>Ifjúsági referens</t>
  </si>
  <si>
    <t>Szakmai vezető</t>
  </si>
  <si>
    <t>Közösségszervező</t>
  </si>
  <si>
    <t>EFOP-3.9.2-16-2017-00057 "Járásokat összekötő humán kapacitások fejlesztése térségi szemléletben" projekt</t>
  </si>
  <si>
    <t>Óvodapedagógus</t>
  </si>
  <si>
    <t>Gyógytornász</t>
  </si>
  <si>
    <t>EFOP-3.2.9-16-2016-00044 "Segítsd, hogy segíthessen!" projekt</t>
  </si>
  <si>
    <t>Szociális segítő</t>
  </si>
  <si>
    <t>2018. március hónapban indult hosszabb időtartamú közfoglalkoztatás beruházási kiadása</t>
  </si>
  <si>
    <t>2018. március hónapban indult járási startmunka mintaprogramok - közfoglalkoztatás beruházási kiadása</t>
  </si>
  <si>
    <t>EFOP-1.5.3-16-2017-00082 "Együtt vagyunk, otthon vagyunk és itt maradunk" projekt keretében játszótér felújítás</t>
  </si>
  <si>
    <t>Tűzoltóság eszközbeszerzése (TV készülék)</t>
  </si>
  <si>
    <t>EFOP-3.3.2-16-2016-00284 "Kulturával az oktatás színesítéséért" projekt eszközbeszerzései</t>
  </si>
  <si>
    <t>EFOP-1.5.3-16-2017-00082 "Együtt vagyunk, otthon vagyunk és itt maradunk" projekt beruházási kiadása (eszközbeszerzések, Imre Z. Műv. Közp. klimatizálása)</t>
  </si>
  <si>
    <t>Gyermeklánc Óvoda és Bölcsőde, Család- és Gyermekjóléti Központ  összesen:</t>
  </si>
  <si>
    <t>1 db Voice-Kraft VK UFX-16 zenekari keverőpult</t>
  </si>
  <si>
    <t xml:space="preserve">EFOP-3.9.2-16-2017-00057 "Járásokat összekötő humán kapacitások fejlesztése térségi szemléletben" projekt beruházási kiadása </t>
  </si>
  <si>
    <t xml:space="preserve">EFOP-3.2.9-16-2016-00044 "Segítsd, hogy segíthessen!" projekt beruházási kiadása </t>
  </si>
  <si>
    <t>2018. évi bérkompenzáció</t>
  </si>
  <si>
    <t>IV.3.</t>
  </si>
  <si>
    <t>Kulturális illetménypótlék</t>
  </si>
  <si>
    <t>Bölcsődében foglalkoztatott középfokú végzettséggel rendelkező kisgyermeknevelőt megillető bölcsődei pótlék</t>
  </si>
  <si>
    <t>3. melléklet jogcímei mindösszesen:</t>
  </si>
  <si>
    <t>a Magyarország 2018. évi központi költségvetéséről szóló 2017. évi C. törvény 2. sz. és 3. sz. mellékletének jogcímei szerint</t>
  </si>
  <si>
    <t>"Együtt vagyunk, otthon vagyunk és itt maradunk" c. projekt (EFOP-1.5.3-16-2017-00082)</t>
  </si>
  <si>
    <t xml:space="preserve">Prevenciós munkatárs </t>
  </si>
  <si>
    <t>Támogatás (elszámolható)</t>
  </si>
  <si>
    <t xml:space="preserve">"Kulturával az oktatás színesítéséért" c. projekt (EFOP-3.3.2-16-2016-00284) </t>
  </si>
  <si>
    <t>Fejlesztési célú tartalék - kötelező elektronikus ügyintézéshez kapcsolódó biztonsági előírások teljesítésére</t>
  </si>
  <si>
    <t>Q</t>
  </si>
  <si>
    <t>Ügyeleti ellátáshoz önkormányzatoktól átvett pénzeszköz</t>
  </si>
  <si>
    <t>"Segítsd, hogy segíthessen!" c. projekt (EFOP-3.2.9-16-2016-00044)</t>
  </si>
  <si>
    <t xml:space="preserve">"Járásokat összekötő humán kapacitások fejlesztése térségi szemléletben" c. projekt (EFOP-3.9.2-16-2017-00057) </t>
  </si>
  <si>
    <t>Jánoshalma Városi Önkormányzat ASP központhoz való csatlakozása (KÖFOP-1.2.1-VEKOP-16-2017-00938)</t>
  </si>
  <si>
    <t>- Gazdasági ügyintéző (Gyermeklánc Óvoda számviteli-gazdálkodási feladatai)</t>
  </si>
  <si>
    <t>- Szakterületi koordinátor (teljes munkaidős)</t>
  </si>
  <si>
    <t>- Szakterületi koordinátor (1 fő napi 4 órában)</t>
  </si>
  <si>
    <t>EFOP-3.3.2-16-2016-00284 "Kultúrával az oktatás színesítéséért" projekt</t>
  </si>
  <si>
    <t>EFOP-1.4.2-16-2016-00020 "Együtt könnyebb" komplex prevenciós és társadalmi felzárkóztató program a gyermekszegénység ellen (GYEP-II.)</t>
  </si>
  <si>
    <t>Szatyorközösség vezető</t>
  </si>
  <si>
    <r>
      <t>1. melléklet a 2/2018.(II.19.) önkormányzati rendelethez</t>
    </r>
    <r>
      <rPr>
        <vertAlign val="superscript"/>
        <sz val="10"/>
        <color indexed="12"/>
        <rFont val="Times New Roman"/>
        <family val="1"/>
      </rPr>
      <t>7</t>
    </r>
  </si>
  <si>
    <t>Módosította 4/2018.(IV.03.)ör. 5.§, Hatályos: 2018. április 04.</t>
  </si>
  <si>
    <r>
      <t>2. melléklet a 2/2018.(II.19.) önkormányzati rendelethez</t>
    </r>
    <r>
      <rPr>
        <sz val="10"/>
        <color indexed="12"/>
        <rFont val="Times New Roman"/>
        <family val="1"/>
      </rPr>
      <t>8</t>
    </r>
  </si>
  <si>
    <r>
      <t>3. melléklet a 2/2018.(II.19.) önkormányzati rendelethez</t>
    </r>
    <r>
      <rPr>
        <sz val="11"/>
        <color indexed="12"/>
        <rFont val="Times New Roman CE"/>
        <family val="0"/>
      </rPr>
      <t>9</t>
    </r>
  </si>
  <si>
    <r>
      <t>13. melléklet a 2/2018. (II.19.) önkormányzati rendelethez</t>
    </r>
    <r>
      <rPr>
        <sz val="11"/>
        <color indexed="12"/>
        <rFont val="Times New Roman CE"/>
        <family val="0"/>
      </rPr>
      <t>17</t>
    </r>
  </si>
  <si>
    <r>
      <t>12. melléklet a 2/2018. (II.19.) önkormányzati rendelethez</t>
    </r>
    <r>
      <rPr>
        <sz val="11"/>
        <color indexed="12"/>
        <rFont val="Times New Roman"/>
        <family val="1"/>
      </rPr>
      <t>16</t>
    </r>
  </si>
  <si>
    <r>
      <t>9. melléklet a 2/2018.(II.19.) önkormányzati rendelethez</t>
    </r>
    <r>
      <rPr>
        <sz val="11"/>
        <color indexed="12"/>
        <rFont val="Times New Roman CE"/>
        <family val="0"/>
      </rPr>
      <t>15</t>
    </r>
  </si>
  <si>
    <r>
      <t>8. melléklet a 2/2018. (II.19.) önkormányzati rendelethez</t>
    </r>
    <r>
      <rPr>
        <sz val="11"/>
        <color indexed="12"/>
        <rFont val="Times New Roman CE"/>
        <family val="0"/>
      </rPr>
      <t>14</t>
    </r>
  </si>
  <si>
    <r>
      <t>7. melléklet a 2/2018.(II.19.) önkormányzati rendelethez</t>
    </r>
    <r>
      <rPr>
        <sz val="11"/>
        <color indexed="12"/>
        <rFont val="Times New Roman"/>
        <family val="1"/>
      </rPr>
      <t>13</t>
    </r>
  </si>
  <si>
    <r>
      <t>6. melléklet a 2/2018.(II.19.) önkormányzati rendelethez</t>
    </r>
    <r>
      <rPr>
        <sz val="10"/>
        <color indexed="12"/>
        <rFont val="Times New Roman"/>
        <family val="1"/>
      </rPr>
      <t>12</t>
    </r>
  </si>
  <si>
    <r>
      <t>5. melléklet a 2/2018.(II.19.) önkormányzati rendelethez</t>
    </r>
    <r>
      <rPr>
        <sz val="11"/>
        <color indexed="12"/>
        <rFont val="Times New Roman"/>
        <family val="1"/>
      </rPr>
      <t>11</t>
    </r>
  </si>
  <si>
    <r>
      <t>4. melléklet a 2/2018.(II.19.) önkormányzati rendelethez</t>
    </r>
    <r>
      <rPr>
        <sz val="11"/>
        <color indexed="12"/>
        <rFont val="Times New Roman"/>
        <family val="1"/>
      </rPr>
      <t>10</t>
    </r>
  </si>
  <si>
    <t>10. melléklet a 2/2018.(II.19.) önkormányzati rendelethez</t>
  </si>
  <si>
    <t>Tervezett tartalékok</t>
  </si>
  <si>
    <t>Vis maior tartalék (működési)</t>
  </si>
  <si>
    <t>Céltartalék (működési)</t>
  </si>
  <si>
    <t>Környezetvédelmi alap a 2018. évre tervezett talajterhelési díj bevételből</t>
  </si>
  <si>
    <t xml:space="preserve">A Városgazda Kft. központi irányítási feladatainak támogatására </t>
  </si>
  <si>
    <t>Általános tartalék (működési)</t>
  </si>
  <si>
    <t xml:space="preserve">Általános tartalék </t>
  </si>
  <si>
    <t>Működési tartalékok összesen (I.):</t>
  </si>
  <si>
    <t>Céltartalék (felhalmozási)</t>
  </si>
  <si>
    <t xml:space="preserve">Kötelező elektronikus ügyintézéshez kapcsolódó biztonsági előírások teljesítésére (2015. évi CCXXII. tv.) </t>
  </si>
  <si>
    <t>Felhalmozási tartalékok összesen (II.):</t>
  </si>
  <si>
    <t>Tartalékok mindösszesen (I.+II.)</t>
  </si>
  <si>
    <t>11. melléklet a 2/2018. (II.19.) önkormányzati rendelethez</t>
  </si>
  <si>
    <t>353/2011. (XII. 30.) Korm. rendelet 2.§ (1) bek. szerinti saját bevétel összege az adósságot keletkeztető ügyletek (viziközmű-társulati hitel kapcsán vállalt készfizető kezesség)  futamidejének végéig</t>
  </si>
  <si>
    <t>Időszak</t>
  </si>
  <si>
    <t>Az önkormányzat saját bevételének típusa</t>
  </si>
  <si>
    <t>1. helyi adóból származó bevétel</t>
  </si>
  <si>
    <t>2. önkormányzati  vagyon és az önkormányzatot megillető vagyoni értékű jog értékesítéséből és hasznosításából származó bevétel</t>
  </si>
  <si>
    <t>3. osztalék, koncessziós díj és hozambevétel</t>
  </si>
  <si>
    <t>4. tárgyi eszköz és az immateriális jószág, részvény, részesedés, vállalat értékesítéséből vagy privatizációból származó bevétel</t>
  </si>
  <si>
    <t>5. bírság-, pótlék- és díjbevétel</t>
  </si>
  <si>
    <t>6. kezességvállalással kapcsolatos megtérülés</t>
  </si>
</sst>
</file>

<file path=xl/styles.xml><?xml version="1.0" encoding="utf-8"?>
<styleSheet xmlns="http://schemas.openxmlformats.org/spreadsheetml/2006/main">
  <numFmts count="3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  <numFmt numFmtId="165" formatCode="0.0"/>
    <numFmt numFmtId="166" formatCode="#,##0.0\ &quot;Ft&quot;"/>
    <numFmt numFmtId="167" formatCode="#,##0.0\ _F_t"/>
    <numFmt numFmtId="168" formatCode="#,##0\ _F_t"/>
    <numFmt numFmtId="169" formatCode="#,##0.0"/>
    <numFmt numFmtId="170" formatCode="yyyy/\ mmmm\ d\."/>
    <numFmt numFmtId="171" formatCode="mmm/yyyy"/>
    <numFmt numFmtId="172" formatCode="[$-40E]yyyy\.\ mmmm\ d\."/>
    <numFmt numFmtId="173" formatCode="&quot;H-&quot;0000"/>
    <numFmt numFmtId="174" formatCode="0.0000"/>
    <numFmt numFmtId="175" formatCode="#,##0.0000"/>
    <numFmt numFmtId="176" formatCode="#,##0.00000"/>
    <numFmt numFmtId="177" formatCode="&quot;Igen&quot;;&quot;Igen&quot;;&quot;Nem&quot;"/>
    <numFmt numFmtId="178" formatCode="&quot;Igaz&quot;;&quot;Igaz&quot;;&quot;Hamis&quot;"/>
    <numFmt numFmtId="179" formatCode="&quot;Be&quot;;&quot;Be&quot;;&quot;Ki&quot;"/>
    <numFmt numFmtId="180" formatCode="#,##0.00\ [$CHF]"/>
    <numFmt numFmtId="181" formatCode="#,##0.00\ &quot;Ft&quot;"/>
    <numFmt numFmtId="182" formatCode="#,##0_ ;\-#,##0\ "/>
    <numFmt numFmtId="183" formatCode="_-* #,##0.000\ _F_t_-;\-* #,##0.000\ _F_t_-;_-* &quot;-&quot;??\ _F_t_-;_-@_-"/>
    <numFmt numFmtId="184" formatCode="_-* #,##0.0\ _F_t_-;\-* #,##0.0\ _F_t_-;_-* &quot;-&quot;??\ _F_t_-;_-@_-"/>
    <numFmt numFmtId="185" formatCode="_-* #,##0\ _F_t_-;\-* #,##0\ _F_t_-;_-* &quot;-&quot;??\ _F_t_-;_-@_-"/>
    <numFmt numFmtId="186" formatCode="[$€-2]\ #\ ##,000_);[Red]\([$€-2]\ #\ ##,000\)"/>
    <numFmt numFmtId="187" formatCode="#,##0\ [$CHF]"/>
    <numFmt numFmtId="188" formatCode="0.0000000%"/>
    <numFmt numFmtId="189" formatCode="0.000000%"/>
    <numFmt numFmtId="190" formatCode="[$¥€-2]\ #\ ##,000_);[Red]\([$€-2]\ #\ ##,000\)"/>
  </numFmts>
  <fonts count="121">
    <font>
      <sz val="10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b/>
      <sz val="9"/>
      <name val="Arial CE"/>
      <family val="2"/>
    </font>
    <font>
      <sz val="10"/>
      <name val="Times New Roman CE"/>
      <family val="1"/>
    </font>
    <font>
      <sz val="8"/>
      <name val="Times New Roman CE"/>
      <family val="1"/>
    </font>
    <font>
      <sz val="11"/>
      <name val="Times New Roman CE"/>
      <family val="1"/>
    </font>
    <font>
      <b/>
      <sz val="11"/>
      <name val="Times New Roman CE"/>
      <family val="1"/>
    </font>
    <font>
      <i/>
      <sz val="11"/>
      <name val="Times New Roman CE"/>
      <family val="1"/>
    </font>
    <font>
      <u val="single"/>
      <sz val="11"/>
      <color indexed="12"/>
      <name val="Arial CE"/>
      <family val="0"/>
    </font>
    <font>
      <u val="single"/>
      <sz val="11"/>
      <color indexed="36"/>
      <name val="Arial CE"/>
      <family val="0"/>
    </font>
    <font>
      <b/>
      <sz val="12"/>
      <name val="Arial CE"/>
      <family val="2"/>
    </font>
    <font>
      <b/>
      <sz val="9"/>
      <name val="Times New Roman CE"/>
      <family val="1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2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11"/>
      <color indexed="10"/>
      <name val="Times New Roman CE"/>
      <family val="1"/>
    </font>
    <font>
      <b/>
      <sz val="11"/>
      <color indexed="60"/>
      <name val="Times New Roman"/>
      <family val="1"/>
    </font>
    <font>
      <b/>
      <i/>
      <sz val="11"/>
      <color indexed="60"/>
      <name val="Times New Roman"/>
      <family val="1"/>
    </font>
    <font>
      <b/>
      <sz val="12"/>
      <color indexed="60"/>
      <name val="Times New Roman"/>
      <family val="1"/>
    </font>
    <font>
      <sz val="11"/>
      <color indexed="60"/>
      <name val="Times New Roman"/>
      <family val="1"/>
    </font>
    <font>
      <b/>
      <sz val="10"/>
      <color indexed="56"/>
      <name val="Times New Roman"/>
      <family val="1"/>
    </font>
    <font>
      <b/>
      <i/>
      <sz val="10"/>
      <color indexed="56"/>
      <name val="Times New Roman"/>
      <family val="1"/>
    </font>
    <font>
      <i/>
      <sz val="10"/>
      <color indexed="56"/>
      <name val="Times New Roman"/>
      <family val="1"/>
    </font>
    <font>
      <b/>
      <sz val="10"/>
      <color indexed="60"/>
      <name val="Times New Roman"/>
      <family val="1"/>
    </font>
    <font>
      <b/>
      <sz val="9"/>
      <name val="Arial"/>
      <family val="2"/>
    </font>
    <font>
      <sz val="8"/>
      <name val="Arial CE"/>
      <family val="0"/>
    </font>
    <font>
      <b/>
      <sz val="13"/>
      <name val="Arial CE"/>
      <family val="2"/>
    </font>
    <font>
      <b/>
      <sz val="13"/>
      <name val="Arial"/>
      <family val="2"/>
    </font>
    <font>
      <sz val="11"/>
      <name val="Arial CE"/>
      <family val="0"/>
    </font>
    <font>
      <sz val="9"/>
      <name val="Times New Roman"/>
      <family val="1"/>
    </font>
    <font>
      <sz val="8"/>
      <name val="Times New Roman"/>
      <family val="1"/>
    </font>
    <font>
      <sz val="10"/>
      <color indexed="12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sz val="10"/>
      <color indexed="30"/>
      <name val="Times New Roman"/>
      <family val="1"/>
    </font>
    <font>
      <sz val="10"/>
      <color indexed="30"/>
      <name val="Times New Roman"/>
      <family val="1"/>
    </font>
    <font>
      <sz val="8"/>
      <color indexed="30"/>
      <name val="Times New Roman"/>
      <family val="1"/>
    </font>
    <font>
      <b/>
      <i/>
      <sz val="8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i/>
      <sz val="7"/>
      <name val="Times New Roman"/>
      <family val="1"/>
    </font>
    <font>
      <b/>
      <i/>
      <sz val="7"/>
      <name val="Times New Roman"/>
      <family val="1"/>
    </font>
    <font>
      <i/>
      <sz val="9"/>
      <name val="Times New Roman"/>
      <family val="1"/>
    </font>
    <font>
      <sz val="9"/>
      <color indexed="10"/>
      <name val="Times New Roman"/>
      <family val="1"/>
    </font>
    <font>
      <sz val="8"/>
      <color indexed="10"/>
      <name val="Times New Roman"/>
      <family val="1"/>
    </font>
    <font>
      <b/>
      <i/>
      <sz val="12"/>
      <name val="Times New Roman"/>
      <family val="1"/>
    </font>
    <font>
      <i/>
      <sz val="10"/>
      <color indexed="62"/>
      <name val="Times New Roman"/>
      <family val="1"/>
    </font>
    <font>
      <b/>
      <sz val="12"/>
      <name val="Times New Roman CE"/>
      <family val="1"/>
    </font>
    <font>
      <b/>
      <sz val="9"/>
      <color indexed="10"/>
      <name val="Times New Roman"/>
      <family val="1"/>
    </font>
    <font>
      <b/>
      <sz val="10"/>
      <color indexed="10"/>
      <name val="Times New Roman"/>
      <family val="1"/>
    </font>
    <font>
      <b/>
      <i/>
      <sz val="10"/>
      <name val="Arial"/>
      <family val="2"/>
    </font>
    <font>
      <b/>
      <i/>
      <sz val="9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vertAlign val="superscript"/>
      <sz val="10"/>
      <color indexed="12"/>
      <name val="Times New Roman"/>
      <family val="1"/>
    </font>
    <font>
      <sz val="11"/>
      <color indexed="12"/>
      <name val="Times New Roman CE"/>
      <family val="0"/>
    </font>
    <font>
      <sz val="11"/>
      <color indexed="12"/>
      <name val="Times New Roman"/>
      <family val="1"/>
    </font>
    <font>
      <sz val="9"/>
      <name val="Arial CE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10"/>
      <name val="Arial"/>
      <family val="2"/>
    </font>
    <font>
      <sz val="8"/>
      <color indexed="40"/>
      <name val="Times New Roman"/>
      <family val="1"/>
    </font>
    <font>
      <b/>
      <sz val="9"/>
      <color indexed="12"/>
      <name val="Times New Roman"/>
      <family val="1"/>
    </font>
    <font>
      <sz val="9"/>
      <color indexed="12"/>
      <name val="Times New Roman"/>
      <family val="1"/>
    </font>
    <font>
      <sz val="10"/>
      <color indexed="12"/>
      <name val="Arial CE"/>
      <family val="0"/>
    </font>
    <font>
      <sz val="10"/>
      <color indexed="12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0"/>
      <color rgb="FFFF0000"/>
      <name val="Arial"/>
      <family val="2"/>
    </font>
    <font>
      <sz val="8"/>
      <color rgb="FF00B0F0"/>
      <name val="Times New Roman"/>
      <family val="1"/>
    </font>
    <font>
      <sz val="10"/>
      <color rgb="FF0000FF"/>
      <name val="Times New Roman"/>
      <family val="1"/>
    </font>
    <font>
      <b/>
      <sz val="9"/>
      <color rgb="FF0000FF"/>
      <name val="Times New Roman"/>
      <family val="1"/>
    </font>
    <font>
      <sz val="9"/>
      <color rgb="FF0000FF"/>
      <name val="Times New Roman"/>
      <family val="1"/>
    </font>
    <font>
      <sz val="10"/>
      <color rgb="FF0000FF"/>
      <name val="Arial CE"/>
      <family val="0"/>
    </font>
    <font>
      <sz val="11"/>
      <color rgb="FF0000FF"/>
      <name val="Times New Roman CE"/>
      <family val="1"/>
    </font>
    <font>
      <sz val="10"/>
      <color rgb="FF0000FF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1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medium"/>
      <bottom style="medium"/>
    </border>
    <border>
      <left style="thin"/>
      <right style="thick"/>
      <top style="medium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ck"/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ck"/>
    </border>
    <border>
      <left style="thin"/>
      <right style="thin"/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 style="thin"/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 style="medium"/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ck"/>
      <top style="thick"/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ck"/>
    </border>
    <border>
      <left style="thin"/>
      <right style="thin"/>
      <top style="thick"/>
      <bottom style="thick"/>
    </border>
    <border>
      <left style="medium"/>
      <right>
        <color indexed="63"/>
      </right>
      <top style="thick"/>
      <bottom style="thick"/>
    </border>
    <border>
      <left style="medium"/>
      <right style="medium"/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 style="thin"/>
      <top style="medium"/>
      <bottom style="medium"/>
    </border>
    <border>
      <left style="thick"/>
      <right>
        <color indexed="63"/>
      </right>
      <top>
        <color indexed="63"/>
      </top>
      <bottom style="medium"/>
    </border>
    <border>
      <left style="thin"/>
      <right style="thick"/>
      <top style="medium"/>
      <bottom style="thick"/>
    </border>
    <border>
      <left style="medium"/>
      <right style="medium"/>
      <top style="medium"/>
      <bottom style="thick"/>
    </border>
    <border>
      <left style="medium"/>
      <right style="thick"/>
      <top style="medium"/>
      <bottom style="thick"/>
    </border>
    <border>
      <left style="thick"/>
      <right style="thin"/>
      <top style="thick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/>
      <top style="thin"/>
      <bottom style="thick"/>
    </border>
    <border>
      <left style="medium"/>
      <right style="medium"/>
      <top style="thin"/>
      <bottom style="thick"/>
    </border>
    <border>
      <left/>
      <right style="medium"/>
      <top style="thin"/>
      <bottom style="thick"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ck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ck"/>
    </border>
    <border>
      <left style="thick"/>
      <right style="thin"/>
      <top style="medium"/>
      <bottom style="medium"/>
    </border>
    <border>
      <left style="thick"/>
      <right style="thin"/>
      <top style="medium"/>
      <bottom>
        <color indexed="63"/>
      </bottom>
    </border>
    <border>
      <left>
        <color indexed="63"/>
      </left>
      <right style="thick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medium"/>
      <right style="thick"/>
      <top style="medium"/>
      <bottom style="medium"/>
    </border>
    <border>
      <left style="thick"/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thick"/>
      <bottom style="medium"/>
    </border>
    <border>
      <left/>
      <right style="medium"/>
      <top style="thick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ck"/>
      <right style="thin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medium"/>
      <right style="medium"/>
      <top style="thick"/>
      <bottom>
        <color indexed="63"/>
      </bottom>
    </border>
    <border>
      <left>
        <color indexed="63"/>
      </left>
      <right style="medium"/>
      <top style="medium"/>
      <bottom style="thick"/>
    </border>
    <border>
      <left style="medium"/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thin"/>
      <top style="medium"/>
      <bottom style="thick"/>
    </border>
    <border>
      <left style="thick"/>
      <right>
        <color indexed="63"/>
      </right>
      <top style="thick"/>
      <bottom style="thick"/>
    </border>
    <border>
      <left style="medium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/>
      <top style="thick"/>
      <bottom style="medium"/>
    </border>
    <border>
      <left/>
      <right style="medium"/>
      <top style="thick"/>
      <bottom style="thick"/>
    </border>
    <border>
      <left style="medium"/>
      <right>
        <color indexed="63"/>
      </right>
      <top style="thick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6" fillId="2" borderId="0" applyNumberFormat="0" applyBorder="0" applyAlignment="0" applyProtection="0"/>
    <xf numFmtId="0" fontId="96" fillId="3" borderId="0" applyNumberFormat="0" applyBorder="0" applyAlignment="0" applyProtection="0"/>
    <xf numFmtId="0" fontId="97" fillId="4" borderId="0" applyNumberFormat="0" applyBorder="0" applyAlignment="0" applyProtection="0"/>
    <xf numFmtId="0" fontId="97" fillId="5" borderId="0" applyNumberFormat="0" applyBorder="0" applyAlignment="0" applyProtection="0"/>
    <xf numFmtId="0" fontId="97" fillId="6" borderId="0" applyNumberFormat="0" applyBorder="0" applyAlignment="0" applyProtection="0"/>
    <xf numFmtId="0" fontId="97" fillId="7" borderId="0" applyNumberFormat="0" applyBorder="0" applyAlignment="0" applyProtection="0"/>
    <xf numFmtId="0" fontId="97" fillId="8" borderId="0" applyNumberFormat="0" applyBorder="0" applyAlignment="0" applyProtection="0"/>
    <xf numFmtId="0" fontId="97" fillId="9" borderId="0" applyNumberFormat="0" applyBorder="0" applyAlignment="0" applyProtection="0"/>
    <xf numFmtId="0" fontId="96" fillId="10" borderId="0" applyNumberFormat="0" applyBorder="0" applyAlignment="0" applyProtection="0"/>
    <xf numFmtId="0" fontId="96" fillId="11" borderId="0" applyNumberFormat="0" applyBorder="0" applyAlignment="0" applyProtection="0"/>
    <xf numFmtId="0" fontId="97" fillId="12" borderId="0" applyNumberFormat="0" applyBorder="0" applyAlignment="0" applyProtection="0"/>
    <xf numFmtId="0" fontId="97" fillId="13" borderId="0" applyNumberFormat="0" applyBorder="0" applyAlignment="0" applyProtection="0"/>
    <xf numFmtId="0" fontId="97" fillId="14" borderId="0" applyNumberFormat="0" applyBorder="0" applyAlignment="0" applyProtection="0"/>
    <xf numFmtId="0" fontId="97" fillId="15" borderId="0" applyNumberFormat="0" applyBorder="0" applyAlignment="0" applyProtection="0"/>
    <xf numFmtId="0" fontId="97" fillId="16" borderId="0" applyNumberFormat="0" applyBorder="0" applyAlignment="0" applyProtection="0"/>
    <xf numFmtId="0" fontId="97" fillId="17" borderId="0" applyNumberFormat="0" applyBorder="0" applyAlignment="0" applyProtection="0"/>
    <xf numFmtId="0" fontId="96" fillId="18" borderId="0" applyNumberFormat="0" applyBorder="0" applyAlignment="0" applyProtection="0"/>
    <xf numFmtId="0" fontId="96" fillId="19" borderId="0" applyNumberFormat="0" applyBorder="0" applyAlignment="0" applyProtection="0"/>
    <xf numFmtId="0" fontId="96" fillId="20" borderId="0" applyNumberFormat="0" applyBorder="0" applyAlignment="0" applyProtection="0"/>
    <xf numFmtId="0" fontId="96" fillId="21" borderId="0" applyNumberFormat="0" applyBorder="0" applyAlignment="0" applyProtection="0"/>
    <xf numFmtId="0" fontId="96" fillId="14" borderId="0" applyNumberFormat="0" applyBorder="0" applyAlignment="0" applyProtection="0"/>
    <xf numFmtId="0" fontId="96" fillId="22" borderId="0" applyNumberFormat="0" applyBorder="0" applyAlignment="0" applyProtection="0"/>
    <xf numFmtId="0" fontId="96" fillId="23" borderId="0" applyNumberFormat="0" applyBorder="0" applyAlignment="0" applyProtection="0"/>
    <xf numFmtId="0" fontId="96" fillId="24" borderId="0" applyNumberFormat="0" applyBorder="0" applyAlignment="0" applyProtection="0"/>
    <xf numFmtId="0" fontId="98" fillId="25" borderId="1" applyNumberFormat="0" applyAlignment="0" applyProtection="0"/>
    <xf numFmtId="0" fontId="99" fillId="0" borderId="0" applyNumberFormat="0" applyFill="0" applyBorder="0" applyAlignment="0" applyProtection="0"/>
    <xf numFmtId="0" fontId="100" fillId="0" borderId="2" applyNumberFormat="0" applyFill="0" applyAlignment="0" applyProtection="0"/>
    <xf numFmtId="0" fontId="101" fillId="0" borderId="3" applyNumberFormat="0" applyFill="0" applyAlignment="0" applyProtection="0"/>
    <xf numFmtId="0" fontId="102" fillId="0" borderId="4" applyNumberFormat="0" applyFill="0" applyAlignment="0" applyProtection="0"/>
    <xf numFmtId="0" fontId="102" fillId="0" borderId="0" applyNumberFormat="0" applyFill="0" applyBorder="0" applyAlignment="0" applyProtection="0"/>
    <xf numFmtId="0" fontId="103" fillId="2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0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5" fillId="0" borderId="6" applyNumberFormat="0" applyFill="0" applyAlignment="0" applyProtection="0"/>
    <xf numFmtId="0" fontId="0" fillId="27" borderId="7" applyNumberFormat="0" applyFont="0" applyAlignment="0" applyProtection="0"/>
    <xf numFmtId="0" fontId="106" fillId="28" borderId="0" applyNumberFormat="0" applyBorder="0" applyAlignment="0" applyProtection="0"/>
    <xf numFmtId="0" fontId="107" fillId="29" borderId="8" applyNumberFormat="0" applyAlignment="0" applyProtection="0"/>
    <xf numFmtId="0" fontId="10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0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0" fillId="30" borderId="0" applyNumberFormat="0" applyBorder="0" applyAlignment="0" applyProtection="0"/>
    <xf numFmtId="0" fontId="111" fillId="31" borderId="0" applyNumberFormat="0" applyBorder="0" applyAlignment="0" applyProtection="0"/>
    <xf numFmtId="0" fontId="112" fillId="29" borderId="1" applyNumberFormat="0" applyAlignment="0" applyProtection="0"/>
    <xf numFmtId="9" fontId="0" fillId="0" borderId="0" applyFont="0" applyFill="0" applyBorder="0" applyAlignment="0" applyProtection="0"/>
  </cellStyleXfs>
  <cellXfs count="1310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7" fillId="0" borderId="10" xfId="0" applyFont="1" applyFill="1" applyBorder="1" applyAlignment="1">
      <alignment horizontal="center" vertical="center"/>
    </xf>
    <xf numFmtId="3" fontId="8" fillId="0" borderId="11" xfId="0" applyNumberFormat="1" applyFont="1" applyFill="1" applyBorder="1" applyAlignment="1">
      <alignment horizontal="left" vertical="center"/>
    </xf>
    <xf numFmtId="3" fontId="8" fillId="0" borderId="12" xfId="0" applyNumberFormat="1" applyFont="1" applyFill="1" applyBorder="1" applyAlignment="1">
      <alignment horizontal="left" vertical="center"/>
    </xf>
    <xf numFmtId="3" fontId="7" fillId="0" borderId="13" xfId="0" applyNumberFormat="1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16" xfId="0" applyFont="1" applyFill="1" applyBorder="1" applyAlignment="1">
      <alignment horizontal="left" vertical="center"/>
    </xf>
    <xf numFmtId="0" fontId="8" fillId="0" borderId="17" xfId="0" applyFont="1" applyFill="1" applyBorder="1" applyAlignment="1">
      <alignment horizontal="right" vertical="center"/>
    </xf>
    <xf numFmtId="0" fontId="7" fillId="0" borderId="18" xfId="0" applyFont="1" applyFill="1" applyBorder="1" applyAlignment="1">
      <alignment vertical="center"/>
    </xf>
    <xf numFmtId="0" fontId="8" fillId="0" borderId="19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 vertical="center"/>
    </xf>
    <xf numFmtId="3" fontId="6" fillId="0" borderId="12" xfId="0" applyNumberFormat="1" applyFont="1" applyFill="1" applyBorder="1" applyAlignment="1">
      <alignment horizontal="right" vertical="center"/>
    </xf>
    <xf numFmtId="0" fontId="6" fillId="0" borderId="17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right" vertical="center"/>
    </xf>
    <xf numFmtId="0" fontId="11" fillId="0" borderId="0" xfId="61" applyFont="1">
      <alignment/>
      <protection/>
    </xf>
    <xf numFmtId="0" fontId="11" fillId="0" borderId="0" xfId="61" applyFont="1" applyAlignment="1">
      <alignment horizontal="center"/>
      <protection/>
    </xf>
    <xf numFmtId="0" fontId="1" fillId="0" borderId="14" xfId="61" applyFont="1" applyBorder="1" applyAlignment="1">
      <alignment horizontal="center" vertical="center"/>
      <protection/>
    </xf>
    <xf numFmtId="0" fontId="1" fillId="0" borderId="21" xfId="61" applyFont="1" applyBorder="1" applyAlignment="1">
      <alignment horizontal="center" vertical="center" wrapText="1"/>
      <protection/>
    </xf>
    <xf numFmtId="0" fontId="1" fillId="0" borderId="17" xfId="61" applyFont="1" applyBorder="1" applyAlignment="1">
      <alignment horizontal="center" vertical="center" wrapText="1"/>
      <protection/>
    </xf>
    <xf numFmtId="0" fontId="1" fillId="0" borderId="22" xfId="61" applyFont="1" applyBorder="1" applyAlignment="1">
      <alignment horizontal="center" vertical="center" wrapText="1"/>
      <protection/>
    </xf>
    <xf numFmtId="0" fontId="1" fillId="0" borderId="23" xfId="61" applyFont="1" applyBorder="1" applyAlignment="1">
      <alignment horizontal="center" vertical="center" wrapText="1"/>
      <protection/>
    </xf>
    <xf numFmtId="0" fontId="1" fillId="0" borderId="0" xfId="61" applyFont="1" applyAlignment="1">
      <alignment horizontal="center" vertical="center"/>
      <protection/>
    </xf>
    <xf numFmtId="49" fontId="13" fillId="0" borderId="22" xfId="61" applyNumberFormat="1" applyBorder="1" applyAlignment="1">
      <alignment vertical="center"/>
      <protection/>
    </xf>
    <xf numFmtId="3" fontId="13" fillId="0" borderId="0" xfId="61" applyNumberFormat="1">
      <alignment/>
      <protection/>
    </xf>
    <xf numFmtId="0" fontId="13" fillId="0" borderId="0" xfId="61">
      <alignment/>
      <protection/>
    </xf>
    <xf numFmtId="3" fontId="2" fillId="0" borderId="0" xfId="61" applyNumberFormat="1" applyFont="1">
      <alignment/>
      <protection/>
    </xf>
    <xf numFmtId="3" fontId="1" fillId="0" borderId="0" xfId="61" applyNumberFormat="1" applyFont="1">
      <alignment/>
      <protection/>
    </xf>
    <xf numFmtId="0" fontId="2" fillId="0" borderId="0" xfId="61" applyFont="1">
      <alignment/>
      <protection/>
    </xf>
    <xf numFmtId="49" fontId="13" fillId="0" borderId="0" xfId="61" applyNumberFormat="1">
      <alignment/>
      <protection/>
    </xf>
    <xf numFmtId="0" fontId="28" fillId="0" borderId="0" xfId="0" applyFont="1" applyFill="1" applyAlignment="1">
      <alignment vertical="center"/>
    </xf>
    <xf numFmtId="0" fontId="16" fillId="0" borderId="0" xfId="57" applyFont="1">
      <alignment/>
      <protection/>
    </xf>
    <xf numFmtId="0" fontId="15" fillId="0" borderId="0" xfId="57" applyFont="1" applyAlignment="1">
      <alignment vertical="center"/>
      <protection/>
    </xf>
    <xf numFmtId="0" fontId="17" fillId="0" borderId="22" xfId="57" applyFont="1" applyBorder="1" applyAlignment="1">
      <alignment horizontal="center" vertical="center" wrapText="1"/>
      <protection/>
    </xf>
    <xf numFmtId="0" fontId="19" fillId="0" borderId="22" xfId="57" applyFont="1" applyBorder="1" applyAlignment="1">
      <alignment horizontal="center" vertical="center" wrapText="1"/>
      <protection/>
    </xf>
    <xf numFmtId="0" fontId="19" fillId="0" borderId="0" xfId="57" applyFont="1" applyAlignment="1">
      <alignment horizontal="center" vertical="center" wrapText="1"/>
      <protection/>
    </xf>
    <xf numFmtId="0" fontId="19" fillId="0" borderId="0" xfId="57" applyFont="1">
      <alignment/>
      <protection/>
    </xf>
    <xf numFmtId="0" fontId="18" fillId="0" borderId="22" xfId="57" applyFont="1" applyBorder="1">
      <alignment/>
      <protection/>
    </xf>
    <xf numFmtId="0" fontId="18" fillId="0" borderId="0" xfId="57" applyFont="1">
      <alignment/>
      <protection/>
    </xf>
    <xf numFmtId="0" fontId="22" fillId="0" borderId="0" xfId="57" applyFont="1">
      <alignment/>
      <protection/>
    </xf>
    <xf numFmtId="0" fontId="23" fillId="0" borderId="0" xfId="57" applyFont="1">
      <alignment/>
      <protection/>
    </xf>
    <xf numFmtId="0" fontId="22" fillId="0" borderId="22" xfId="57" applyFont="1" applyBorder="1">
      <alignment/>
      <protection/>
    </xf>
    <xf numFmtId="0" fontId="24" fillId="0" borderId="0" xfId="57" applyFont="1">
      <alignment/>
      <protection/>
    </xf>
    <xf numFmtId="0" fontId="18" fillId="0" borderId="0" xfId="57" applyFont="1" applyBorder="1">
      <alignment/>
      <protection/>
    </xf>
    <xf numFmtId="0" fontId="22" fillId="0" borderId="22" xfId="57" applyFont="1" applyBorder="1" applyAlignment="1">
      <alignment horizontal="left" vertical="center" indent="2"/>
      <protection/>
    </xf>
    <xf numFmtId="16" fontId="22" fillId="0" borderId="22" xfId="57" applyNumberFormat="1" applyFont="1" applyBorder="1" applyAlignment="1">
      <alignment horizontal="left" vertical="center" indent="2"/>
      <protection/>
    </xf>
    <xf numFmtId="0" fontId="22" fillId="0" borderId="22" xfId="57" applyFont="1" applyBorder="1" applyAlignment="1">
      <alignment horizontal="left" indent="2"/>
      <protection/>
    </xf>
    <xf numFmtId="3" fontId="19" fillId="0" borderId="22" xfId="48" applyNumberFormat="1" applyFont="1" applyBorder="1" applyAlignment="1">
      <alignment horizontal="right"/>
    </xf>
    <xf numFmtId="3" fontId="18" fillId="0" borderId="22" xfId="48" applyNumberFormat="1" applyFont="1" applyBorder="1" applyAlignment="1">
      <alignment horizontal="right"/>
    </xf>
    <xf numFmtId="3" fontId="22" fillId="0" borderId="22" xfId="48" applyNumberFormat="1" applyFont="1" applyBorder="1" applyAlignment="1">
      <alignment horizontal="right"/>
    </xf>
    <xf numFmtId="0" fontId="29" fillId="0" borderId="22" xfId="57" applyFont="1" applyBorder="1" applyAlignment="1">
      <alignment horizontal="left" vertical="center" wrapText="1"/>
      <protection/>
    </xf>
    <xf numFmtId="0" fontId="29" fillId="0" borderId="0" xfId="57" applyFont="1" applyAlignment="1">
      <alignment horizontal="center" vertical="center" wrapText="1"/>
      <protection/>
    </xf>
    <xf numFmtId="3" fontId="29" fillId="0" borderId="22" xfId="48" applyNumberFormat="1" applyFont="1" applyBorder="1" applyAlignment="1">
      <alignment horizontal="right"/>
    </xf>
    <xf numFmtId="0" fontId="29" fillId="0" borderId="22" xfId="57" applyFont="1" applyBorder="1">
      <alignment/>
      <protection/>
    </xf>
    <xf numFmtId="0" fontId="30" fillId="0" borderId="0" xfId="57" applyFont="1">
      <alignment/>
      <protection/>
    </xf>
    <xf numFmtId="0" fontId="31" fillId="0" borderId="22" xfId="57" applyFont="1" applyBorder="1" applyAlignment="1">
      <alignment horizontal="right"/>
      <protection/>
    </xf>
    <xf numFmtId="0" fontId="32" fillId="0" borderId="0" xfId="57" applyFont="1">
      <alignment/>
      <protection/>
    </xf>
    <xf numFmtId="0" fontId="33" fillId="0" borderId="22" xfId="57" applyFont="1" applyBorder="1" applyAlignment="1">
      <alignment vertical="center"/>
      <protection/>
    </xf>
    <xf numFmtId="3" fontId="33" fillId="0" borderId="22" xfId="48" applyNumberFormat="1" applyFont="1" applyBorder="1" applyAlignment="1">
      <alignment horizontal="right"/>
    </xf>
    <xf numFmtId="0" fontId="33" fillId="0" borderId="22" xfId="57" applyFont="1" applyBorder="1">
      <alignment/>
      <protection/>
    </xf>
    <xf numFmtId="0" fontId="33" fillId="0" borderId="0" xfId="57" applyFont="1">
      <alignment/>
      <protection/>
    </xf>
    <xf numFmtId="0" fontId="33" fillId="0" borderId="22" xfId="57" applyFont="1" applyBorder="1" applyAlignment="1">
      <alignment vertical="center" wrapText="1"/>
      <protection/>
    </xf>
    <xf numFmtId="0" fontId="33" fillId="0" borderId="22" xfId="57" applyFont="1" applyBorder="1" applyAlignment="1">
      <alignment horizontal="left" vertical="center"/>
      <protection/>
    </xf>
    <xf numFmtId="0" fontId="34" fillId="0" borderId="0" xfId="57" applyFont="1">
      <alignment/>
      <protection/>
    </xf>
    <xf numFmtId="0" fontId="33" fillId="0" borderId="22" xfId="57" applyFont="1" applyBorder="1" applyAlignment="1">
      <alignment horizontal="left" vertical="center" wrapText="1"/>
      <protection/>
    </xf>
    <xf numFmtId="0" fontId="35" fillId="0" borderId="0" xfId="57" applyFont="1">
      <alignment/>
      <protection/>
    </xf>
    <xf numFmtId="0" fontId="19" fillId="0" borderId="22" xfId="57" applyFont="1" applyBorder="1" applyAlignment="1">
      <alignment horizontal="left" vertical="center" indent="1"/>
      <protection/>
    </xf>
    <xf numFmtId="0" fontId="19" fillId="0" borderId="22" xfId="57" applyFont="1" applyBorder="1" applyAlignment="1">
      <alignment horizontal="left" indent="1"/>
      <protection/>
    </xf>
    <xf numFmtId="3" fontId="36" fillId="0" borderId="22" xfId="57" applyNumberFormat="1" applyFont="1" applyBorder="1" applyAlignment="1">
      <alignment horizontal="right" vertical="center"/>
      <protection/>
    </xf>
    <xf numFmtId="3" fontId="36" fillId="0" borderId="22" xfId="48" applyNumberFormat="1" applyFont="1" applyBorder="1" applyAlignment="1">
      <alignment horizontal="right"/>
    </xf>
    <xf numFmtId="0" fontId="19" fillId="0" borderId="22" xfId="57" applyFont="1" applyBorder="1" applyAlignment="1">
      <alignment horizontal="left" vertical="top" indent="1"/>
      <protection/>
    </xf>
    <xf numFmtId="0" fontId="21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0" xfId="0" applyAlignment="1">
      <alignment/>
    </xf>
    <xf numFmtId="0" fontId="12" fillId="0" borderId="0" xfId="0" applyFont="1" applyFill="1" applyAlignment="1">
      <alignment horizontal="center" vertical="center"/>
    </xf>
    <xf numFmtId="0" fontId="12" fillId="0" borderId="22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vertical="center"/>
    </xf>
    <xf numFmtId="0" fontId="16" fillId="0" borderId="22" xfId="0" applyFont="1" applyBorder="1" applyAlignment="1">
      <alignment vertical="center" wrapText="1"/>
    </xf>
    <xf numFmtId="0" fontId="20" fillId="0" borderId="0" xfId="0" applyFont="1" applyAlignment="1">
      <alignment horizontal="center" vertical="center"/>
    </xf>
    <xf numFmtId="0" fontId="20" fillId="0" borderId="22" xfId="57" applyFont="1" applyBorder="1" applyAlignment="1">
      <alignment horizontal="center" vertical="center" wrapText="1"/>
      <protection/>
    </xf>
    <xf numFmtId="0" fontId="20" fillId="0" borderId="0" xfId="57" applyFont="1" applyAlignment="1">
      <alignment horizontal="center" vertical="center" wrapText="1"/>
      <protection/>
    </xf>
    <xf numFmtId="0" fontId="20" fillId="0" borderId="0" xfId="57" applyFont="1" applyAlignment="1">
      <alignment horizontal="center"/>
      <protection/>
    </xf>
    <xf numFmtId="0" fontId="20" fillId="0" borderId="22" xfId="57" applyFont="1" applyBorder="1" applyAlignment="1">
      <alignment horizontal="center"/>
      <protection/>
    </xf>
    <xf numFmtId="0" fontId="7" fillId="0" borderId="24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12" fillId="0" borderId="23" xfId="0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7" fillId="0" borderId="17" xfId="0" applyFont="1" applyFill="1" applyBorder="1" applyAlignment="1">
      <alignment vertical="center"/>
    </xf>
    <xf numFmtId="0" fontId="8" fillId="0" borderId="25" xfId="0" applyFont="1" applyFill="1" applyBorder="1" applyAlignment="1">
      <alignment vertical="center"/>
    </xf>
    <xf numFmtId="0" fontId="7" fillId="0" borderId="26" xfId="0" applyFont="1" applyFill="1" applyBorder="1" applyAlignment="1">
      <alignment vertical="center"/>
    </xf>
    <xf numFmtId="0" fontId="8" fillId="0" borderId="27" xfId="0" applyFont="1" applyFill="1" applyBorder="1" applyAlignment="1">
      <alignment vertical="center"/>
    </xf>
    <xf numFmtId="0" fontId="7" fillId="0" borderId="28" xfId="0" applyFont="1" applyFill="1" applyBorder="1" applyAlignment="1">
      <alignment vertical="center"/>
    </xf>
    <xf numFmtId="0" fontId="12" fillId="0" borderId="21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/>
    </xf>
    <xf numFmtId="0" fontId="3" fillId="0" borderId="14" xfId="61" applyFont="1" applyBorder="1" applyAlignment="1">
      <alignment horizontal="center" vertical="center"/>
      <protection/>
    </xf>
    <xf numFmtId="0" fontId="3" fillId="0" borderId="21" xfId="61" applyFont="1" applyBorder="1" applyAlignment="1">
      <alignment horizontal="center" vertical="center" wrapText="1"/>
      <protection/>
    </xf>
    <xf numFmtId="0" fontId="3" fillId="0" borderId="22" xfId="61" applyFont="1" applyBorder="1" applyAlignment="1">
      <alignment horizontal="center" vertical="center" wrapText="1"/>
      <protection/>
    </xf>
    <xf numFmtId="0" fontId="3" fillId="0" borderId="23" xfId="61" applyFont="1" applyBorder="1" applyAlignment="1">
      <alignment horizontal="center" vertical="center" wrapText="1"/>
      <protection/>
    </xf>
    <xf numFmtId="0" fontId="3" fillId="0" borderId="17" xfId="61" applyFont="1" applyBorder="1" applyAlignment="1">
      <alignment horizontal="center" vertical="center" wrapText="1"/>
      <protection/>
    </xf>
    <xf numFmtId="0" fontId="3" fillId="0" borderId="0" xfId="61" applyFont="1" applyAlignment="1">
      <alignment horizontal="center" vertical="center"/>
      <protection/>
    </xf>
    <xf numFmtId="0" fontId="21" fillId="0" borderId="22" xfId="0" applyFont="1" applyBorder="1" applyAlignment="1">
      <alignment horizontal="center"/>
    </xf>
    <xf numFmtId="0" fontId="21" fillId="32" borderId="22" xfId="0" applyFont="1" applyFill="1" applyBorder="1" applyAlignment="1">
      <alignment/>
    </xf>
    <xf numFmtId="0" fontId="26" fillId="0" borderId="22" xfId="0" applyFont="1" applyBorder="1" applyAlignment="1">
      <alignment/>
    </xf>
    <xf numFmtId="0" fontId="21" fillId="0" borderId="22" xfId="0" applyFont="1" applyFill="1" applyBorder="1" applyAlignment="1">
      <alignment/>
    </xf>
    <xf numFmtId="0" fontId="21" fillId="0" borderId="0" xfId="0" applyFont="1" applyFill="1" applyAlignment="1">
      <alignment/>
    </xf>
    <xf numFmtId="0" fontId="8" fillId="0" borderId="14" xfId="0" applyFont="1" applyFill="1" applyBorder="1" applyAlignment="1">
      <alignment horizontal="left" vertical="center"/>
    </xf>
    <xf numFmtId="0" fontId="13" fillId="0" borderId="22" xfId="61" applyFont="1" applyBorder="1">
      <alignment/>
      <protection/>
    </xf>
    <xf numFmtId="0" fontId="13" fillId="0" borderId="14" xfId="61" applyFont="1" applyBorder="1">
      <alignment/>
      <protection/>
    </xf>
    <xf numFmtId="49" fontId="21" fillId="0" borderId="22" xfId="61" applyNumberFormat="1" applyFont="1" applyBorder="1" applyAlignment="1">
      <alignment vertical="center"/>
      <protection/>
    </xf>
    <xf numFmtId="0" fontId="21" fillId="0" borderId="22" xfId="61" applyFont="1" applyBorder="1">
      <alignment/>
      <protection/>
    </xf>
    <xf numFmtId="0" fontId="21" fillId="0" borderId="14" xfId="61" applyFont="1" applyBorder="1" applyAlignment="1">
      <alignment wrapText="1"/>
      <protection/>
    </xf>
    <xf numFmtId="3" fontId="21" fillId="0" borderId="0" xfId="61" applyNumberFormat="1" applyFont="1">
      <alignment/>
      <protection/>
    </xf>
    <xf numFmtId="0" fontId="21" fillId="0" borderId="0" xfId="61" applyFont="1">
      <alignment/>
      <protection/>
    </xf>
    <xf numFmtId="0" fontId="21" fillId="0" borderId="14" xfId="61" applyFont="1" applyBorder="1">
      <alignment/>
      <protection/>
    </xf>
    <xf numFmtId="3" fontId="21" fillId="0" borderId="0" xfId="61" applyNumberFormat="1" applyFont="1" applyAlignment="1">
      <alignment vertical="center"/>
      <protection/>
    </xf>
    <xf numFmtId="0" fontId="21" fillId="0" borderId="0" xfId="61" applyFont="1" applyAlignment="1">
      <alignment vertical="center"/>
      <protection/>
    </xf>
    <xf numFmtId="49" fontId="21" fillId="0" borderId="22" xfId="61" applyNumberFormat="1" applyFont="1" applyBorder="1" applyAlignment="1">
      <alignment horizontal="center" vertical="center"/>
      <protection/>
    </xf>
    <xf numFmtId="49" fontId="21" fillId="33" borderId="22" xfId="61" applyNumberFormat="1" applyFont="1" applyFill="1" applyBorder="1" applyAlignment="1">
      <alignment horizontal="center" vertical="center"/>
      <protection/>
    </xf>
    <xf numFmtId="0" fontId="21" fillId="33" borderId="22" xfId="61" applyFont="1" applyFill="1" applyBorder="1" applyAlignment="1">
      <alignment vertical="center"/>
      <protection/>
    </xf>
    <xf numFmtId="0" fontId="21" fillId="33" borderId="14" xfId="61" applyFont="1" applyFill="1" applyBorder="1" applyAlignment="1">
      <alignment vertical="center" wrapText="1"/>
      <protection/>
    </xf>
    <xf numFmtId="3" fontId="21" fillId="33" borderId="21" xfId="61" applyNumberFormat="1" applyFont="1" applyFill="1" applyBorder="1" applyAlignment="1">
      <alignment vertical="center"/>
      <protection/>
    </xf>
    <xf numFmtId="3" fontId="21" fillId="33" borderId="22" xfId="61" applyNumberFormat="1" applyFont="1" applyFill="1" applyBorder="1" applyAlignment="1">
      <alignment vertical="center"/>
      <protection/>
    </xf>
    <xf numFmtId="3" fontId="21" fillId="33" borderId="23" xfId="61" applyNumberFormat="1" applyFont="1" applyFill="1" applyBorder="1" applyAlignment="1">
      <alignment vertical="center"/>
      <protection/>
    </xf>
    <xf numFmtId="3" fontId="21" fillId="33" borderId="17" xfId="61" applyNumberFormat="1" applyFont="1" applyFill="1" applyBorder="1" applyAlignment="1">
      <alignment vertical="center"/>
      <protection/>
    </xf>
    <xf numFmtId="0" fontId="13" fillId="33" borderId="22" xfId="61" applyFill="1" applyBorder="1">
      <alignment/>
      <protection/>
    </xf>
    <xf numFmtId="0" fontId="21" fillId="33" borderId="22" xfId="61" applyFont="1" applyFill="1" applyBorder="1">
      <alignment/>
      <protection/>
    </xf>
    <xf numFmtId="3" fontId="17" fillId="0" borderId="22" xfId="57" applyNumberFormat="1" applyFont="1" applyBorder="1" applyAlignment="1">
      <alignment vertical="center"/>
      <protection/>
    </xf>
    <xf numFmtId="0" fontId="21" fillId="32" borderId="22" xfId="0" applyFont="1" applyFill="1" applyBorder="1" applyAlignment="1">
      <alignment vertical="center"/>
    </xf>
    <xf numFmtId="0" fontId="21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22" xfId="0" applyFont="1" applyFill="1" applyBorder="1" applyAlignment="1">
      <alignment vertical="center" wrapText="1"/>
    </xf>
    <xf numFmtId="0" fontId="21" fillId="0" borderId="21" xfId="0" applyFont="1" applyBorder="1" applyAlignment="1">
      <alignment horizontal="center"/>
    </xf>
    <xf numFmtId="0" fontId="26" fillId="0" borderId="21" xfId="0" applyFont="1" applyBorder="1" applyAlignment="1">
      <alignment wrapText="1"/>
    </xf>
    <xf numFmtId="0" fontId="21" fillId="32" borderId="21" xfId="0" applyFont="1" applyFill="1" applyBorder="1" applyAlignment="1">
      <alignment vertical="center" wrapText="1"/>
    </xf>
    <xf numFmtId="49" fontId="26" fillId="0" borderId="21" xfId="0" applyNumberFormat="1" applyFont="1" applyBorder="1" applyAlignment="1">
      <alignment/>
    </xf>
    <xf numFmtId="49" fontId="26" fillId="0" borderId="21" xfId="0" applyNumberFormat="1" applyFont="1" applyBorder="1" applyAlignment="1">
      <alignment wrapText="1"/>
    </xf>
    <xf numFmtId="0" fontId="21" fillId="0" borderId="21" xfId="0" applyFont="1" applyFill="1" applyBorder="1" applyAlignment="1">
      <alignment/>
    </xf>
    <xf numFmtId="49" fontId="27" fillId="0" borderId="21" xfId="0" applyNumberFormat="1" applyFont="1" applyBorder="1" applyAlignment="1">
      <alignment/>
    </xf>
    <xf numFmtId="0" fontId="37" fillId="0" borderId="30" xfId="61" applyFont="1" applyBorder="1" applyAlignment="1">
      <alignment horizontal="center" vertical="center" wrapText="1"/>
      <protection/>
    </xf>
    <xf numFmtId="3" fontId="21" fillId="33" borderId="31" xfId="61" applyNumberFormat="1" applyFont="1" applyFill="1" applyBorder="1" applyAlignment="1">
      <alignment vertical="center"/>
      <protection/>
    </xf>
    <xf numFmtId="3" fontId="113" fillId="0" borderId="0" xfId="61" applyNumberFormat="1" applyFont="1">
      <alignment/>
      <protection/>
    </xf>
    <xf numFmtId="3" fontId="113" fillId="0" borderId="0" xfId="61" applyNumberFormat="1" applyFont="1" applyAlignment="1">
      <alignment vertical="center"/>
      <protection/>
    </xf>
    <xf numFmtId="0" fontId="41" fillId="0" borderId="0" xfId="0" applyFont="1" applyAlignment="1">
      <alignment/>
    </xf>
    <xf numFmtId="0" fontId="26" fillId="0" borderId="22" xfId="0" applyFont="1" applyFill="1" applyBorder="1" applyAlignment="1">
      <alignment/>
    </xf>
    <xf numFmtId="0" fontId="13" fillId="0" borderId="14" xfId="61" applyFont="1" applyBorder="1" applyAlignment="1">
      <alignment wrapText="1"/>
      <protection/>
    </xf>
    <xf numFmtId="0" fontId="0" fillId="0" borderId="0" xfId="0" applyFill="1" applyAlignment="1">
      <alignment/>
    </xf>
    <xf numFmtId="0" fontId="25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21" fillId="32" borderId="21" xfId="0" applyFont="1" applyFill="1" applyBorder="1" applyAlignment="1">
      <alignment vertical="center"/>
    </xf>
    <xf numFmtId="49" fontId="13" fillId="34" borderId="21" xfId="0" applyNumberFormat="1" applyFont="1" applyFill="1" applyBorder="1" applyAlignment="1">
      <alignment vertical="center" wrapText="1"/>
    </xf>
    <xf numFmtId="0" fontId="13" fillId="34" borderId="22" xfId="0" applyFont="1" applyFill="1" applyBorder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Alignment="1">
      <alignment/>
    </xf>
    <xf numFmtId="0" fontId="26" fillId="0" borderId="0" xfId="0" applyFont="1" applyFill="1" applyAlignment="1">
      <alignment/>
    </xf>
    <xf numFmtId="49" fontId="26" fillId="0" borderId="21" xfId="0" applyNumberFormat="1" applyFont="1" applyBorder="1" applyAlignment="1">
      <alignment/>
    </xf>
    <xf numFmtId="0" fontId="21" fillId="0" borderId="0" xfId="0" applyFont="1" applyFill="1" applyAlignment="1">
      <alignment vertical="center"/>
    </xf>
    <xf numFmtId="3" fontId="13" fillId="0" borderId="0" xfId="61" applyNumberFormat="1" applyFont="1">
      <alignment/>
      <protection/>
    </xf>
    <xf numFmtId="0" fontId="13" fillId="0" borderId="0" xfId="61" applyAlignment="1">
      <alignment/>
      <protection/>
    </xf>
    <xf numFmtId="0" fontId="7" fillId="0" borderId="0" xfId="0" applyFont="1" applyFill="1" applyAlignment="1">
      <alignment horizontal="center" vertical="center"/>
    </xf>
    <xf numFmtId="0" fontId="42" fillId="0" borderId="22" xfId="58" applyFont="1" applyBorder="1">
      <alignment/>
      <protection/>
    </xf>
    <xf numFmtId="0" fontId="42" fillId="0" borderId="14" xfId="58" applyFont="1" applyBorder="1" applyAlignment="1">
      <alignment horizontal="left"/>
      <protection/>
    </xf>
    <xf numFmtId="0" fontId="42" fillId="0" borderId="17" xfId="58" applyFont="1" applyBorder="1" applyAlignment="1">
      <alignment horizontal="left"/>
      <protection/>
    </xf>
    <xf numFmtId="3" fontId="42" fillId="0" borderId="22" xfId="58" applyNumberFormat="1" applyFont="1" applyBorder="1">
      <alignment/>
      <protection/>
    </xf>
    <xf numFmtId="3" fontId="19" fillId="0" borderId="22" xfId="58" applyNumberFormat="1" applyFont="1" applyBorder="1">
      <alignment/>
      <protection/>
    </xf>
    <xf numFmtId="0" fontId="18" fillId="0" borderId="0" xfId="0" applyFont="1" applyAlignment="1">
      <alignment/>
    </xf>
    <xf numFmtId="0" fontId="43" fillId="0" borderId="22" xfId="58" applyFont="1" applyBorder="1">
      <alignment/>
      <protection/>
    </xf>
    <xf numFmtId="3" fontId="43" fillId="0" borderId="22" xfId="58" applyNumberFormat="1" applyFont="1" applyBorder="1">
      <alignment/>
      <protection/>
    </xf>
    <xf numFmtId="0" fontId="44" fillId="0" borderId="0" xfId="0" applyFont="1" applyAlignment="1">
      <alignment/>
    </xf>
    <xf numFmtId="0" fontId="18" fillId="0" borderId="0" xfId="0" applyFont="1" applyFill="1" applyAlignment="1">
      <alignment vertical="center"/>
    </xf>
    <xf numFmtId="0" fontId="42" fillId="0" borderId="0" xfId="58" applyFont="1" applyFill="1" applyAlignment="1">
      <alignment horizontal="center" vertical="center"/>
      <protection/>
    </xf>
    <xf numFmtId="0" fontId="18" fillId="0" borderId="0" xfId="58" applyFont="1" applyFill="1" applyAlignment="1">
      <alignment vertical="center"/>
      <protection/>
    </xf>
    <xf numFmtId="0" fontId="20" fillId="0" borderId="22" xfId="0" applyFont="1" applyFill="1" applyBorder="1" applyAlignment="1">
      <alignment horizontal="center" vertical="center" wrapText="1"/>
    </xf>
    <xf numFmtId="0" fontId="20" fillId="0" borderId="22" xfId="58" applyFont="1" applyFill="1" applyBorder="1" applyAlignment="1">
      <alignment horizontal="center" vertical="center" wrapText="1"/>
      <protection/>
    </xf>
    <xf numFmtId="0" fontId="16" fillId="0" borderId="14" xfId="58" applyFont="1" applyFill="1" applyBorder="1" applyAlignment="1">
      <alignment horizontal="center" vertical="center" wrapText="1"/>
      <protection/>
    </xf>
    <xf numFmtId="0" fontId="16" fillId="0" borderId="22" xfId="58" applyFont="1" applyFill="1" applyBorder="1" applyAlignment="1">
      <alignment horizontal="center" vertical="center" wrapText="1"/>
      <protection/>
    </xf>
    <xf numFmtId="0" fontId="16" fillId="0" borderId="0" xfId="0" applyFont="1" applyAlignment="1">
      <alignment/>
    </xf>
    <xf numFmtId="0" fontId="19" fillId="0" borderId="22" xfId="58" applyFont="1" applyBorder="1">
      <alignment/>
      <protection/>
    </xf>
    <xf numFmtId="3" fontId="47" fillId="0" borderId="22" xfId="58" applyNumberFormat="1" applyFont="1" applyBorder="1">
      <alignment/>
      <protection/>
    </xf>
    <xf numFmtId="0" fontId="48" fillId="0" borderId="22" xfId="58" applyFont="1" applyBorder="1">
      <alignment/>
      <protection/>
    </xf>
    <xf numFmtId="0" fontId="48" fillId="0" borderId="22" xfId="58" applyFont="1" applyBorder="1" applyAlignment="1">
      <alignment horizontal="left"/>
      <protection/>
    </xf>
    <xf numFmtId="3" fontId="48" fillId="0" borderId="22" xfId="58" applyNumberFormat="1" applyFont="1" applyBorder="1">
      <alignment/>
      <protection/>
    </xf>
    <xf numFmtId="0" fontId="18" fillId="0" borderId="22" xfId="58" applyFont="1" applyBorder="1">
      <alignment/>
      <protection/>
    </xf>
    <xf numFmtId="0" fontId="48" fillId="0" borderId="22" xfId="58" applyFont="1" applyBorder="1" applyAlignment="1">
      <alignment horizontal="right"/>
      <protection/>
    </xf>
    <xf numFmtId="0" fontId="48" fillId="0" borderId="14" xfId="58" applyFont="1" applyBorder="1" applyAlignment="1">
      <alignment horizontal="left"/>
      <protection/>
    </xf>
    <xf numFmtId="0" fontId="48" fillId="0" borderId="17" xfId="58" applyFont="1" applyBorder="1" applyAlignment="1">
      <alignment horizontal="left"/>
      <protection/>
    </xf>
    <xf numFmtId="0" fontId="18" fillId="0" borderId="14" xfId="58" applyFont="1" applyBorder="1">
      <alignment/>
      <protection/>
    </xf>
    <xf numFmtId="0" fontId="18" fillId="0" borderId="0" xfId="58" applyFont="1">
      <alignment/>
      <protection/>
    </xf>
    <xf numFmtId="3" fontId="19" fillId="0" borderId="14" xfId="58" applyNumberFormat="1" applyFont="1" applyBorder="1">
      <alignment/>
      <protection/>
    </xf>
    <xf numFmtId="3" fontId="18" fillId="0" borderId="16" xfId="58" applyNumberFormat="1" applyFont="1" applyBorder="1">
      <alignment/>
      <protection/>
    </xf>
    <xf numFmtId="3" fontId="19" fillId="0" borderId="17" xfId="58" applyNumberFormat="1" applyFont="1" applyBorder="1">
      <alignment/>
      <protection/>
    </xf>
    <xf numFmtId="3" fontId="15" fillId="0" borderId="22" xfId="58" applyNumberFormat="1" applyFont="1" applyBorder="1">
      <alignment/>
      <protection/>
    </xf>
    <xf numFmtId="0" fontId="42" fillId="0" borderId="0" xfId="0" applyFont="1" applyAlignment="1">
      <alignment vertical="center"/>
    </xf>
    <xf numFmtId="0" fontId="42" fillId="0" borderId="0" xfId="0" applyFont="1" applyAlignment="1">
      <alignment horizontal="right" vertical="center"/>
    </xf>
    <xf numFmtId="0" fontId="16" fillId="0" borderId="14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 wrapText="1"/>
    </xf>
    <xf numFmtId="0" fontId="49" fillId="0" borderId="22" xfId="0" applyFont="1" applyBorder="1" applyAlignment="1">
      <alignment/>
    </xf>
    <xf numFmtId="3" fontId="49" fillId="0" borderId="22" xfId="0" applyNumberFormat="1" applyFont="1" applyBorder="1" applyAlignment="1">
      <alignment/>
    </xf>
    <xf numFmtId="0" fontId="50" fillId="0" borderId="0" xfId="0" applyFont="1" applyAlignment="1">
      <alignment/>
    </xf>
    <xf numFmtId="0" fontId="42" fillId="0" borderId="22" xfId="0" applyFont="1" applyBorder="1" applyAlignment="1">
      <alignment/>
    </xf>
    <xf numFmtId="3" fontId="42" fillId="0" borderId="22" xfId="0" applyNumberFormat="1" applyFont="1" applyBorder="1" applyAlignment="1">
      <alignment/>
    </xf>
    <xf numFmtId="3" fontId="20" fillId="0" borderId="22" xfId="0" applyNumberFormat="1" applyFont="1" applyBorder="1" applyAlignment="1">
      <alignment/>
    </xf>
    <xf numFmtId="0" fontId="43" fillId="0" borderId="22" xfId="0" applyFont="1" applyBorder="1" applyAlignment="1">
      <alignment/>
    </xf>
    <xf numFmtId="3" fontId="43" fillId="0" borderId="22" xfId="0" applyNumberFormat="1" applyFont="1" applyBorder="1" applyAlignment="1">
      <alignment/>
    </xf>
    <xf numFmtId="3" fontId="47" fillId="0" borderId="22" xfId="0" applyNumberFormat="1" applyFont="1" applyBorder="1" applyAlignment="1">
      <alignment/>
    </xf>
    <xf numFmtId="0" fontId="51" fillId="0" borderId="22" xfId="0" applyFont="1" applyBorder="1" applyAlignment="1">
      <alignment/>
    </xf>
    <xf numFmtId="0" fontId="18" fillId="0" borderId="22" xfId="0" applyFont="1" applyBorder="1" applyAlignment="1">
      <alignment/>
    </xf>
    <xf numFmtId="0" fontId="48" fillId="0" borderId="22" xfId="0" applyFont="1" applyBorder="1" applyAlignment="1">
      <alignment/>
    </xf>
    <xf numFmtId="0" fontId="48" fillId="0" borderId="22" xfId="0" applyFont="1" applyBorder="1" applyAlignment="1">
      <alignment horizontal="left"/>
    </xf>
    <xf numFmtId="3" fontId="48" fillId="0" borderId="22" xfId="0" applyNumberFormat="1" applyFont="1" applyBorder="1" applyAlignment="1">
      <alignment/>
    </xf>
    <xf numFmtId="3" fontId="52" fillId="0" borderId="22" xfId="0" applyNumberFormat="1" applyFont="1" applyBorder="1" applyAlignment="1">
      <alignment/>
    </xf>
    <xf numFmtId="0" fontId="48" fillId="0" borderId="22" xfId="0" applyFont="1" applyFill="1" applyBorder="1" applyAlignment="1">
      <alignment/>
    </xf>
    <xf numFmtId="0" fontId="48" fillId="0" borderId="22" xfId="0" applyFont="1" applyFill="1" applyBorder="1" applyAlignment="1">
      <alignment horizontal="left"/>
    </xf>
    <xf numFmtId="0" fontId="22" fillId="0" borderId="22" xfId="0" applyFont="1" applyBorder="1" applyAlignment="1">
      <alignment/>
    </xf>
    <xf numFmtId="0" fontId="48" fillId="0" borderId="22" xfId="0" applyFont="1" applyBorder="1" applyAlignment="1">
      <alignment horizontal="left" vertical="center" wrapText="1"/>
    </xf>
    <xf numFmtId="3" fontId="48" fillId="35" borderId="22" xfId="0" applyNumberFormat="1" applyFont="1" applyFill="1" applyBorder="1" applyAlignment="1">
      <alignment/>
    </xf>
    <xf numFmtId="0" fontId="48" fillId="0" borderId="22" xfId="0" applyFont="1" applyBorder="1" applyAlignment="1">
      <alignment horizontal="left" vertical="top"/>
    </xf>
    <xf numFmtId="0" fontId="48" fillId="0" borderId="22" xfId="0" applyFont="1" applyBorder="1" applyAlignment="1">
      <alignment horizontal="left" wrapText="1"/>
    </xf>
    <xf numFmtId="3" fontId="48" fillId="0" borderId="32" xfId="0" applyNumberFormat="1" applyFont="1" applyFill="1" applyBorder="1" applyAlignment="1">
      <alignment/>
    </xf>
    <xf numFmtId="0" fontId="53" fillId="0" borderId="22" xfId="0" applyFont="1" applyBorder="1" applyAlignment="1">
      <alignment/>
    </xf>
    <xf numFmtId="3" fontId="53" fillId="0" borderId="22" xfId="0" applyNumberFormat="1" applyFont="1" applyBorder="1" applyAlignment="1">
      <alignment/>
    </xf>
    <xf numFmtId="3" fontId="54" fillId="0" borderId="22" xfId="0" applyNumberFormat="1" applyFont="1" applyBorder="1" applyAlignment="1">
      <alignment/>
    </xf>
    <xf numFmtId="0" fontId="55" fillId="0" borderId="22" xfId="0" applyFont="1" applyBorder="1" applyAlignment="1">
      <alignment/>
    </xf>
    <xf numFmtId="0" fontId="55" fillId="0" borderId="22" xfId="0" applyFont="1" applyBorder="1" applyAlignment="1">
      <alignment horizontal="right"/>
    </xf>
    <xf numFmtId="3" fontId="55" fillId="0" borderId="22" xfId="0" applyNumberFormat="1" applyFont="1" applyBorder="1" applyAlignment="1">
      <alignment/>
    </xf>
    <xf numFmtId="3" fontId="56" fillId="0" borderId="22" xfId="0" applyNumberFormat="1" applyFont="1" applyBorder="1" applyAlignment="1">
      <alignment/>
    </xf>
    <xf numFmtId="0" fontId="22" fillId="0" borderId="0" xfId="0" applyFont="1" applyAlignment="1">
      <alignment/>
    </xf>
    <xf numFmtId="3" fontId="19" fillId="0" borderId="22" xfId="0" applyNumberFormat="1" applyFont="1" applyBorder="1" applyAlignment="1">
      <alignment/>
    </xf>
    <xf numFmtId="3" fontId="18" fillId="0" borderId="22" xfId="0" applyNumberFormat="1" applyFont="1" applyBorder="1" applyAlignment="1">
      <alignment/>
    </xf>
    <xf numFmtId="3" fontId="15" fillId="0" borderId="22" xfId="0" applyNumberFormat="1" applyFont="1" applyBorder="1" applyAlignment="1">
      <alignment/>
    </xf>
    <xf numFmtId="0" fontId="14" fillId="0" borderId="0" xfId="0" applyFont="1" applyAlignment="1">
      <alignment/>
    </xf>
    <xf numFmtId="0" fontId="57" fillId="0" borderId="22" xfId="58" applyFont="1" applyBorder="1" applyAlignment="1">
      <alignment horizontal="left"/>
      <protection/>
    </xf>
    <xf numFmtId="49" fontId="42" fillId="0" borderId="0" xfId="60" applyNumberFormat="1" applyFont="1" applyFill="1" applyAlignment="1">
      <alignment horizontal="center" vertical="center"/>
      <protection/>
    </xf>
    <xf numFmtId="0" fontId="42" fillId="0" borderId="0" xfId="60" applyFont="1" applyFill="1" applyAlignment="1">
      <alignment vertical="center"/>
      <protection/>
    </xf>
    <xf numFmtId="0" fontId="58" fillId="0" borderId="0" xfId="60" applyFont="1" applyFill="1" applyAlignment="1">
      <alignment vertical="center"/>
      <protection/>
    </xf>
    <xf numFmtId="0" fontId="18" fillId="0" borderId="0" xfId="60" applyFont="1" applyFill="1" applyAlignment="1">
      <alignment vertical="center"/>
      <protection/>
    </xf>
    <xf numFmtId="0" fontId="18" fillId="0" borderId="0" xfId="60" applyFont="1" applyFill="1" applyAlignment="1">
      <alignment horizontal="left" vertical="center"/>
      <protection/>
    </xf>
    <xf numFmtId="0" fontId="18" fillId="0" borderId="0" xfId="60" applyFont="1" applyAlignment="1">
      <alignment horizontal="left"/>
      <protection/>
    </xf>
    <xf numFmtId="0" fontId="19" fillId="0" borderId="0" xfId="60" applyFont="1" applyFill="1" applyAlignment="1">
      <alignment vertical="center"/>
      <protection/>
    </xf>
    <xf numFmtId="0" fontId="19" fillId="0" borderId="0" xfId="60" applyFont="1" applyFill="1" applyAlignment="1">
      <alignment horizontal="left" vertical="center"/>
      <protection/>
    </xf>
    <xf numFmtId="0" fontId="20" fillId="0" borderId="29" xfId="60" applyFont="1" applyFill="1" applyBorder="1" applyAlignment="1">
      <alignment horizontal="center" vertical="center" wrapText="1"/>
      <protection/>
    </xf>
    <xf numFmtId="0" fontId="20" fillId="0" borderId="18" xfId="60" applyFont="1" applyFill="1" applyBorder="1" applyAlignment="1">
      <alignment horizontal="center" vertical="center" wrapText="1"/>
      <protection/>
    </xf>
    <xf numFmtId="0" fontId="20" fillId="0" borderId="33" xfId="60" applyFont="1" applyFill="1" applyBorder="1" applyAlignment="1">
      <alignment horizontal="center" vertical="center" wrapText="1"/>
      <protection/>
    </xf>
    <xf numFmtId="0" fontId="20" fillId="0" borderId="20" xfId="60" applyFont="1" applyFill="1" applyBorder="1" applyAlignment="1">
      <alignment horizontal="center" vertical="center" wrapText="1"/>
      <protection/>
    </xf>
    <xf numFmtId="49" fontId="42" fillId="0" borderId="34" xfId="60" applyNumberFormat="1" applyFont="1" applyFill="1" applyBorder="1" applyAlignment="1">
      <alignment horizontal="center" vertical="center"/>
      <protection/>
    </xf>
    <xf numFmtId="0" fontId="20" fillId="0" borderId="35" xfId="60" applyFont="1" applyFill="1" applyBorder="1" applyAlignment="1">
      <alignment vertical="center" wrapText="1"/>
      <protection/>
    </xf>
    <xf numFmtId="3" fontId="43" fillId="0" borderId="10" xfId="60" applyNumberFormat="1" applyFont="1" applyFill="1" applyBorder="1" applyAlignment="1">
      <alignment vertical="center" wrapText="1"/>
      <protection/>
    </xf>
    <xf numFmtId="3" fontId="43" fillId="0" borderId="36" xfId="60" applyNumberFormat="1" applyFont="1" applyFill="1" applyBorder="1" applyAlignment="1">
      <alignment vertical="center" wrapText="1"/>
      <protection/>
    </xf>
    <xf numFmtId="3" fontId="43" fillId="0" borderId="37" xfId="60" applyNumberFormat="1" applyFont="1" applyFill="1" applyBorder="1" applyAlignment="1">
      <alignment vertical="center" wrapText="1"/>
      <protection/>
    </xf>
    <xf numFmtId="3" fontId="43" fillId="0" borderId="23" xfId="60" applyNumberFormat="1" applyFont="1" applyFill="1" applyBorder="1" applyAlignment="1">
      <alignment vertical="center" wrapText="1"/>
      <protection/>
    </xf>
    <xf numFmtId="3" fontId="43" fillId="0" borderId="38" xfId="60" applyNumberFormat="1" applyFont="1" applyFill="1" applyBorder="1" applyAlignment="1">
      <alignment vertical="center" wrapText="1"/>
      <protection/>
    </xf>
    <xf numFmtId="3" fontId="42" fillId="0" borderId="38" xfId="60" applyNumberFormat="1" applyFont="1" applyFill="1" applyBorder="1" applyAlignment="1">
      <alignment vertical="center"/>
      <protection/>
    </xf>
    <xf numFmtId="3" fontId="42" fillId="0" borderId="37" xfId="60" applyNumberFormat="1" applyFont="1" applyFill="1" applyBorder="1" applyAlignment="1">
      <alignment vertical="center"/>
      <protection/>
    </xf>
    <xf numFmtId="3" fontId="20" fillId="0" borderId="31" xfId="60" applyNumberFormat="1" applyFont="1" applyFill="1" applyBorder="1" applyAlignment="1">
      <alignment vertical="center"/>
      <protection/>
    </xf>
    <xf numFmtId="49" fontId="42" fillId="0" borderId="36" xfId="60" applyNumberFormat="1" applyFont="1" applyFill="1" applyBorder="1" applyAlignment="1">
      <alignment horizontal="center" vertical="center"/>
      <protection/>
    </xf>
    <xf numFmtId="3" fontId="43" fillId="0" borderId="39" xfId="60" applyNumberFormat="1" applyFont="1" applyFill="1" applyBorder="1" applyAlignment="1">
      <alignment vertical="center" wrapText="1"/>
      <protection/>
    </xf>
    <xf numFmtId="0" fontId="20" fillId="0" borderId="14" xfId="60" applyFont="1" applyFill="1" applyBorder="1" applyAlignment="1">
      <alignment vertical="center" wrapText="1"/>
      <protection/>
    </xf>
    <xf numFmtId="3" fontId="59" fillId="0" borderId="23" xfId="60" applyNumberFormat="1" applyFont="1" applyFill="1" applyBorder="1" applyAlignment="1">
      <alignment vertical="center"/>
      <protection/>
    </xf>
    <xf numFmtId="49" fontId="42" fillId="0" borderId="21" xfId="60" applyNumberFormat="1" applyFont="1" applyFill="1" applyBorder="1" applyAlignment="1">
      <alignment horizontal="center" vertical="center"/>
      <protection/>
    </xf>
    <xf numFmtId="3" fontId="43" fillId="0" borderId="21" xfId="60" applyNumberFormat="1" applyFont="1" applyFill="1" applyBorder="1" applyAlignment="1">
      <alignment vertical="center" wrapText="1"/>
      <protection/>
    </xf>
    <xf numFmtId="3" fontId="43" fillId="0" borderId="22" xfId="60" applyNumberFormat="1" applyFont="1" applyFill="1" applyBorder="1" applyAlignment="1">
      <alignment vertical="center" wrapText="1"/>
      <protection/>
    </xf>
    <xf numFmtId="3" fontId="43" fillId="0" borderId="17" xfId="60" applyNumberFormat="1" applyFont="1" applyFill="1" applyBorder="1" applyAlignment="1">
      <alignment vertical="center" wrapText="1"/>
      <protection/>
    </xf>
    <xf numFmtId="3" fontId="42" fillId="0" borderId="17" xfId="60" applyNumberFormat="1" applyFont="1" applyFill="1" applyBorder="1" applyAlignment="1">
      <alignment vertical="center"/>
      <protection/>
    </xf>
    <xf numFmtId="3" fontId="42" fillId="0" borderId="22" xfId="60" applyNumberFormat="1" applyFont="1" applyFill="1" applyBorder="1" applyAlignment="1">
      <alignment vertical="center"/>
      <protection/>
    </xf>
    <xf numFmtId="0" fontId="20" fillId="0" borderId="15" xfId="60" applyFont="1" applyFill="1" applyBorder="1" applyAlignment="1">
      <alignment vertical="center" wrapText="1"/>
      <protection/>
    </xf>
    <xf numFmtId="3" fontId="43" fillId="0" borderId="23" xfId="60" applyNumberFormat="1" applyFont="1" applyFill="1" applyBorder="1" applyAlignment="1">
      <alignment vertical="center"/>
      <protection/>
    </xf>
    <xf numFmtId="3" fontId="43" fillId="0" borderId="17" xfId="60" applyNumberFormat="1" applyFont="1" applyFill="1" applyBorder="1" applyAlignment="1">
      <alignment horizontal="right" vertical="center" wrapText="1"/>
      <protection/>
    </xf>
    <xf numFmtId="3" fontId="43" fillId="0" borderId="23" xfId="60" applyNumberFormat="1" applyFont="1" applyFill="1" applyBorder="1" applyAlignment="1">
      <alignment horizontal="left" vertical="center" wrapText="1"/>
      <protection/>
    </xf>
    <xf numFmtId="3" fontId="43" fillId="0" borderId="21" xfId="60" applyNumberFormat="1" applyFont="1" applyFill="1" applyBorder="1" applyAlignment="1">
      <alignment vertical="center"/>
      <protection/>
    </xf>
    <xf numFmtId="3" fontId="43" fillId="0" borderId="22" xfId="60" applyNumberFormat="1" applyFont="1" applyFill="1" applyBorder="1" applyAlignment="1">
      <alignment vertical="center"/>
      <protection/>
    </xf>
    <xf numFmtId="3" fontId="43" fillId="0" borderId="17" xfId="60" applyNumberFormat="1" applyFont="1" applyFill="1" applyBorder="1" applyAlignment="1">
      <alignment vertical="center"/>
      <protection/>
    </xf>
    <xf numFmtId="3" fontId="43" fillId="35" borderId="39" xfId="60" applyNumberFormat="1" applyFont="1" applyFill="1" applyBorder="1" applyAlignment="1">
      <alignment vertical="center" wrapText="1"/>
      <protection/>
    </xf>
    <xf numFmtId="0" fontId="20" fillId="0" borderId="14" xfId="60" applyFont="1" applyFill="1" applyBorder="1" applyAlignment="1">
      <alignment horizontal="left" vertical="center" wrapText="1"/>
      <protection/>
    </xf>
    <xf numFmtId="3" fontId="59" fillId="0" borderId="22" xfId="60" applyNumberFormat="1" applyFont="1" applyFill="1" applyBorder="1" applyAlignment="1">
      <alignment vertical="center"/>
      <protection/>
    </xf>
    <xf numFmtId="3" fontId="57" fillId="0" borderId="17" xfId="60" applyNumberFormat="1" applyFont="1" applyFill="1" applyBorder="1" applyAlignment="1">
      <alignment vertical="center"/>
      <protection/>
    </xf>
    <xf numFmtId="3" fontId="59" fillId="0" borderId="17" xfId="60" applyNumberFormat="1" applyFont="1" applyFill="1" applyBorder="1" applyAlignment="1">
      <alignment vertical="center"/>
      <protection/>
    </xf>
    <xf numFmtId="3" fontId="53" fillId="0" borderId="33" xfId="60" applyNumberFormat="1" applyFont="1" applyFill="1" applyBorder="1" applyAlignment="1">
      <alignment vertical="center"/>
      <protection/>
    </xf>
    <xf numFmtId="3" fontId="43" fillId="0" borderId="34" xfId="60" applyNumberFormat="1" applyFont="1" applyFill="1" applyBorder="1" applyAlignment="1">
      <alignment vertical="center" wrapText="1"/>
      <protection/>
    </xf>
    <xf numFmtId="3" fontId="43" fillId="0" borderId="35" xfId="60" applyNumberFormat="1" applyFont="1" applyFill="1" applyBorder="1" applyAlignment="1">
      <alignment vertical="center" wrapText="1"/>
      <protection/>
    </xf>
    <xf numFmtId="0" fontId="20" fillId="0" borderId="22" xfId="60" applyFont="1" applyFill="1" applyBorder="1" applyAlignment="1">
      <alignment vertical="center" wrapText="1"/>
      <protection/>
    </xf>
    <xf numFmtId="3" fontId="43" fillId="0" borderId="11" xfId="60" applyNumberFormat="1" applyFont="1" applyFill="1" applyBorder="1" applyAlignment="1">
      <alignment vertical="center" wrapText="1"/>
      <protection/>
    </xf>
    <xf numFmtId="3" fontId="23" fillId="0" borderId="40" xfId="60" applyNumberFormat="1" applyFont="1" applyFill="1" applyBorder="1" applyAlignment="1">
      <alignment vertical="center"/>
      <protection/>
    </xf>
    <xf numFmtId="3" fontId="23" fillId="0" borderId="41" xfId="60" applyNumberFormat="1" applyFont="1" applyFill="1" applyBorder="1" applyAlignment="1">
      <alignment vertical="center"/>
      <protection/>
    </xf>
    <xf numFmtId="3" fontId="43" fillId="0" borderId="42" xfId="60" applyNumberFormat="1" applyFont="1" applyFill="1" applyBorder="1" applyAlignment="1">
      <alignment vertical="center" wrapText="1"/>
      <protection/>
    </xf>
    <xf numFmtId="0" fontId="20" fillId="0" borderId="43" xfId="60" applyFont="1" applyFill="1" applyBorder="1" applyAlignment="1">
      <alignment vertical="center" wrapText="1"/>
      <protection/>
    </xf>
    <xf numFmtId="3" fontId="43" fillId="0" borderId="44" xfId="60" applyNumberFormat="1" applyFont="1" applyFill="1" applyBorder="1" applyAlignment="1">
      <alignment vertical="center" wrapText="1"/>
      <protection/>
    </xf>
    <xf numFmtId="3" fontId="43" fillId="0" borderId="43" xfId="60" applyNumberFormat="1" applyFont="1" applyFill="1" applyBorder="1" applyAlignment="1">
      <alignment vertical="center" wrapText="1"/>
      <protection/>
    </xf>
    <xf numFmtId="3" fontId="23" fillId="0" borderId="45" xfId="60" applyNumberFormat="1" applyFont="1" applyFill="1" applyBorder="1" applyAlignment="1">
      <alignment horizontal="right" vertical="center"/>
      <protection/>
    </xf>
    <xf numFmtId="3" fontId="60" fillId="0" borderId="26" xfId="60" applyNumberFormat="1" applyFont="1" applyFill="1" applyBorder="1" applyAlignment="1">
      <alignment vertical="center"/>
      <protection/>
    </xf>
    <xf numFmtId="3" fontId="60" fillId="0" borderId="46" xfId="60" applyNumberFormat="1" applyFont="1" applyFill="1" applyBorder="1" applyAlignment="1">
      <alignment vertical="center"/>
      <protection/>
    </xf>
    <xf numFmtId="3" fontId="60" fillId="0" borderId="41" xfId="60" applyNumberFormat="1" applyFont="1" applyFill="1" applyBorder="1" applyAlignment="1">
      <alignment vertical="center"/>
      <protection/>
    </xf>
    <xf numFmtId="164" fontId="7" fillId="0" borderId="23" xfId="0" applyNumberFormat="1" applyFont="1" applyFill="1" applyBorder="1" applyAlignment="1">
      <alignment vertical="center"/>
    </xf>
    <xf numFmtId="164" fontId="8" fillId="0" borderId="23" xfId="0" applyNumberFormat="1" applyFont="1" applyFill="1" applyBorder="1" applyAlignment="1">
      <alignment vertical="center"/>
    </xf>
    <xf numFmtId="164" fontId="8" fillId="0" borderId="23" xfId="0" applyNumberFormat="1" applyFont="1" applyFill="1" applyBorder="1" applyAlignment="1">
      <alignment vertical="center"/>
    </xf>
    <xf numFmtId="164" fontId="7" fillId="0" borderId="47" xfId="0" applyNumberFormat="1" applyFont="1" applyFill="1" applyBorder="1" applyAlignment="1">
      <alignment vertical="center"/>
    </xf>
    <xf numFmtId="164" fontId="8" fillId="0" borderId="39" xfId="0" applyNumberFormat="1" applyFont="1" applyFill="1" applyBorder="1" applyAlignment="1">
      <alignment horizontal="right" vertical="center"/>
    </xf>
    <xf numFmtId="164" fontId="7" fillId="0" borderId="48" xfId="0" applyNumberFormat="1" applyFont="1" applyFill="1" applyBorder="1" applyAlignment="1">
      <alignment vertical="center"/>
    </xf>
    <xf numFmtId="164" fontId="7" fillId="0" borderId="13" xfId="0" applyNumberFormat="1" applyFont="1" applyFill="1" applyBorder="1" applyAlignment="1">
      <alignment vertical="center"/>
    </xf>
    <xf numFmtId="3" fontId="43" fillId="0" borderId="42" xfId="60" applyNumberFormat="1" applyFont="1" applyFill="1" applyBorder="1" applyAlignment="1">
      <alignment vertical="center"/>
      <protection/>
    </xf>
    <xf numFmtId="0" fontId="18" fillId="0" borderId="0" xfId="0" applyFont="1" applyBorder="1" applyAlignment="1">
      <alignment/>
    </xf>
    <xf numFmtId="0" fontId="18" fillId="0" borderId="49" xfId="0" applyFont="1" applyBorder="1" applyAlignment="1">
      <alignment/>
    </xf>
    <xf numFmtId="0" fontId="19" fillId="0" borderId="50" xfId="59" applyFont="1" applyBorder="1" applyAlignment="1">
      <alignment horizontal="center"/>
      <protection/>
    </xf>
    <xf numFmtId="0" fontId="19" fillId="0" borderId="51" xfId="60" applyFont="1" applyFill="1" applyBorder="1" applyAlignment="1">
      <alignment horizontal="center" vertical="center" wrapText="1"/>
      <protection/>
    </xf>
    <xf numFmtId="0" fontId="22" fillId="0" borderId="52" xfId="59" applyFont="1" applyBorder="1">
      <alignment/>
      <protection/>
    </xf>
    <xf numFmtId="0" fontId="22" fillId="0" borderId="0" xfId="59" applyFont="1" applyBorder="1">
      <alignment/>
      <protection/>
    </xf>
    <xf numFmtId="0" fontId="22" fillId="0" borderId="53" xfId="59" applyFont="1" applyBorder="1">
      <alignment/>
      <protection/>
    </xf>
    <xf numFmtId="0" fontId="22" fillId="0" borderId="54" xfId="59" applyFont="1" applyBorder="1">
      <alignment/>
      <protection/>
    </xf>
    <xf numFmtId="0" fontId="22" fillId="0" borderId="55" xfId="59" applyFont="1" applyBorder="1">
      <alignment/>
      <protection/>
    </xf>
    <xf numFmtId="3" fontId="22" fillId="0" borderId="0" xfId="59" applyNumberFormat="1" applyFont="1" applyBorder="1">
      <alignment/>
      <protection/>
    </xf>
    <xf numFmtId="3" fontId="22" fillId="0" borderId="56" xfId="59" applyNumberFormat="1" applyFont="1" applyBorder="1">
      <alignment/>
      <protection/>
    </xf>
    <xf numFmtId="0" fontId="22" fillId="0" borderId="57" xfId="59" applyFont="1" applyBorder="1" applyAlignment="1">
      <alignment horizontal="left"/>
      <protection/>
    </xf>
    <xf numFmtId="0" fontId="22" fillId="0" borderId="0" xfId="59" applyFont="1" applyBorder="1" applyAlignment="1">
      <alignment horizontal="left"/>
      <protection/>
    </xf>
    <xf numFmtId="3" fontId="15" fillId="0" borderId="58" xfId="59" applyNumberFormat="1" applyFont="1" applyBorder="1" applyAlignment="1">
      <alignment horizontal="right" vertical="center"/>
      <protection/>
    </xf>
    <xf numFmtId="3" fontId="15" fillId="0" borderId="32" xfId="59" applyNumberFormat="1" applyFont="1" applyBorder="1" applyAlignment="1">
      <alignment horizontal="right" vertical="center"/>
      <protection/>
    </xf>
    <xf numFmtId="3" fontId="15" fillId="0" borderId="0" xfId="59" applyNumberFormat="1" applyFont="1" applyBorder="1" applyAlignment="1">
      <alignment horizontal="right" vertical="center"/>
      <protection/>
    </xf>
    <xf numFmtId="0" fontId="15" fillId="0" borderId="58" xfId="60" applyFont="1" applyFill="1" applyBorder="1" applyAlignment="1">
      <alignment horizontal="center" vertical="center" wrapText="1"/>
      <protection/>
    </xf>
    <xf numFmtId="0" fontId="15" fillId="0" borderId="32" xfId="60" applyFont="1" applyFill="1" applyBorder="1" applyAlignment="1">
      <alignment horizontal="center" vertical="center" wrapText="1"/>
      <protection/>
    </xf>
    <xf numFmtId="0" fontId="15" fillId="0" borderId="59" xfId="60" applyFont="1" applyFill="1" applyBorder="1" applyAlignment="1">
      <alignment horizontal="center" vertical="center" wrapText="1"/>
      <protection/>
    </xf>
    <xf numFmtId="0" fontId="22" fillId="0" borderId="0" xfId="0" applyFont="1" applyBorder="1" applyAlignment="1">
      <alignment/>
    </xf>
    <xf numFmtId="3" fontId="15" fillId="0" borderId="52" xfId="59" applyNumberFormat="1" applyFont="1" applyBorder="1" applyAlignment="1">
      <alignment horizontal="right" vertical="center"/>
      <protection/>
    </xf>
    <xf numFmtId="3" fontId="22" fillId="0" borderId="60" xfId="59" applyNumberFormat="1" applyFont="1" applyBorder="1">
      <alignment/>
      <protection/>
    </xf>
    <xf numFmtId="0" fontId="22" fillId="0" borderId="32" xfId="59" applyFont="1" applyBorder="1">
      <alignment/>
      <protection/>
    </xf>
    <xf numFmtId="0" fontId="60" fillId="0" borderId="55" xfId="59" applyFont="1" applyBorder="1" applyAlignment="1">
      <alignment horizontal="right" vertical="center"/>
      <protection/>
    </xf>
    <xf numFmtId="0" fontId="23" fillId="0" borderId="52" xfId="59" applyFont="1" applyBorder="1" applyAlignment="1">
      <alignment horizontal="right"/>
      <protection/>
    </xf>
    <xf numFmtId="0" fontId="23" fillId="0" borderId="0" xfId="59" applyFont="1" applyBorder="1" applyAlignment="1">
      <alignment horizontal="right"/>
      <protection/>
    </xf>
    <xf numFmtId="0" fontId="23" fillId="0" borderId="54" xfId="59" applyFont="1" applyBorder="1" applyAlignment="1">
      <alignment horizontal="right"/>
      <protection/>
    </xf>
    <xf numFmtId="3" fontId="19" fillId="0" borderId="54" xfId="59" applyNumberFormat="1" applyFont="1" applyBorder="1" applyAlignment="1">
      <alignment horizontal="right"/>
      <protection/>
    </xf>
    <xf numFmtId="3" fontId="19" fillId="0" borderId="0" xfId="59" applyNumberFormat="1" applyFont="1" applyBorder="1">
      <alignment/>
      <protection/>
    </xf>
    <xf numFmtId="3" fontId="19" fillId="0" borderId="55" xfId="59" applyNumberFormat="1" applyFont="1" applyBorder="1">
      <alignment/>
      <protection/>
    </xf>
    <xf numFmtId="3" fontId="60" fillId="0" borderId="52" xfId="59" applyNumberFormat="1" applyFont="1" applyBorder="1" applyAlignment="1">
      <alignment horizontal="right" vertical="center"/>
      <protection/>
    </xf>
    <xf numFmtId="3" fontId="60" fillId="0" borderId="32" xfId="59" applyNumberFormat="1" applyFont="1" applyBorder="1" applyAlignment="1">
      <alignment horizontal="right" vertical="center"/>
      <protection/>
    </xf>
    <xf numFmtId="3" fontId="22" fillId="0" borderId="52" xfId="59" applyNumberFormat="1" applyFont="1" applyBorder="1">
      <alignment/>
      <protection/>
    </xf>
    <xf numFmtId="3" fontId="22" fillId="0" borderId="32" xfId="59" applyNumberFormat="1" applyFont="1" applyBorder="1">
      <alignment/>
      <protection/>
    </xf>
    <xf numFmtId="3" fontId="60" fillId="0" borderId="55" xfId="59" applyNumberFormat="1" applyFont="1" applyBorder="1" applyAlignment="1">
      <alignment horizontal="right" vertical="center"/>
      <protection/>
    </xf>
    <xf numFmtId="0" fontId="22" fillId="0" borderId="52" xfId="59" applyFont="1" applyBorder="1" applyAlignment="1">
      <alignment horizontal="right"/>
      <protection/>
    </xf>
    <xf numFmtId="0" fontId="22" fillId="0" borderId="0" xfId="59" applyFont="1" applyBorder="1" applyAlignment="1">
      <alignment horizontal="right"/>
      <protection/>
    </xf>
    <xf numFmtId="0" fontId="22" fillId="0" borderId="54" xfId="59" applyFont="1" applyBorder="1" applyAlignment="1">
      <alignment horizontal="right"/>
      <protection/>
    </xf>
    <xf numFmtId="3" fontId="22" fillId="0" borderId="61" xfId="59" applyNumberFormat="1" applyFont="1" applyFill="1" applyBorder="1">
      <alignment/>
      <protection/>
    </xf>
    <xf numFmtId="0" fontId="60" fillId="0" borderId="55" xfId="59" applyFont="1" applyBorder="1">
      <alignment/>
      <protection/>
    </xf>
    <xf numFmtId="3" fontId="22" fillId="0" borderId="61" xfId="59" applyNumberFormat="1" applyFont="1" applyBorder="1">
      <alignment/>
      <protection/>
    </xf>
    <xf numFmtId="3" fontId="60" fillId="0" borderId="52" xfId="59" applyNumberFormat="1" applyFont="1" applyBorder="1">
      <alignment/>
      <protection/>
    </xf>
    <xf numFmtId="3" fontId="60" fillId="0" borderId="32" xfId="59" applyNumberFormat="1" applyFont="1" applyBorder="1">
      <alignment/>
      <protection/>
    </xf>
    <xf numFmtId="3" fontId="60" fillId="0" borderId="60" xfId="59" applyNumberFormat="1" applyFont="1" applyBorder="1">
      <alignment/>
      <protection/>
    </xf>
    <xf numFmtId="3" fontId="60" fillId="0" borderId="55" xfId="59" applyNumberFormat="1" applyFont="1" applyBorder="1">
      <alignment/>
      <protection/>
    </xf>
    <xf numFmtId="0" fontId="18" fillId="0" borderId="52" xfId="59" applyFont="1" applyBorder="1" applyAlignment="1">
      <alignment horizontal="right"/>
      <protection/>
    </xf>
    <xf numFmtId="0" fontId="18" fillId="0" borderId="0" xfId="59" applyFont="1" applyBorder="1" applyAlignment="1">
      <alignment horizontal="right"/>
      <protection/>
    </xf>
    <xf numFmtId="0" fontId="18" fillId="0" borderId="54" xfId="59" applyFont="1" applyBorder="1" applyAlignment="1">
      <alignment horizontal="right"/>
      <protection/>
    </xf>
    <xf numFmtId="0" fontId="18" fillId="0" borderId="0" xfId="59" applyFont="1" applyBorder="1">
      <alignment/>
      <protection/>
    </xf>
    <xf numFmtId="0" fontId="18" fillId="0" borderId="55" xfId="59" applyFont="1" applyBorder="1">
      <alignment/>
      <protection/>
    </xf>
    <xf numFmtId="3" fontId="61" fillId="0" borderId="0" xfId="59" applyNumberFormat="1" applyFont="1" applyBorder="1">
      <alignment/>
      <protection/>
    </xf>
    <xf numFmtId="0" fontId="61" fillId="0" borderId="52" xfId="59" applyFont="1" applyBorder="1" applyAlignment="1">
      <alignment horizontal="left"/>
      <protection/>
    </xf>
    <xf numFmtId="0" fontId="61" fillId="0" borderId="0" xfId="59" applyFont="1" applyBorder="1" applyAlignment="1">
      <alignment horizontal="left"/>
      <protection/>
    </xf>
    <xf numFmtId="0" fontId="61" fillId="0" borderId="58" xfId="59" applyFont="1" applyBorder="1" applyAlignment="1">
      <alignment horizontal="left"/>
      <protection/>
    </xf>
    <xf numFmtId="0" fontId="61" fillId="0" borderId="56" xfId="59" applyFont="1" applyBorder="1" applyAlignment="1">
      <alignment horizontal="left"/>
      <protection/>
    </xf>
    <xf numFmtId="0" fontId="61" fillId="0" borderId="56" xfId="59" applyFont="1" applyBorder="1">
      <alignment/>
      <protection/>
    </xf>
    <xf numFmtId="3" fontId="22" fillId="0" borderId="62" xfId="59" applyNumberFormat="1" applyFont="1" applyBorder="1">
      <alignment/>
      <protection/>
    </xf>
    <xf numFmtId="0" fontId="61" fillId="0" borderId="0" xfId="59" applyFont="1" applyBorder="1">
      <alignment/>
      <protection/>
    </xf>
    <xf numFmtId="0" fontId="18" fillId="0" borderId="49" xfId="59" applyFont="1" applyBorder="1" applyAlignment="1">
      <alignment horizontal="right"/>
      <protection/>
    </xf>
    <xf numFmtId="0" fontId="18" fillId="0" borderId="63" xfId="59" applyFont="1" applyBorder="1" applyAlignment="1">
      <alignment horizontal="right"/>
      <protection/>
    </xf>
    <xf numFmtId="0" fontId="18" fillId="0" borderId="49" xfId="59" applyFont="1" applyBorder="1">
      <alignment/>
      <protection/>
    </xf>
    <xf numFmtId="0" fontId="18" fillId="0" borderId="64" xfId="59" applyFont="1" applyBorder="1">
      <alignment/>
      <protection/>
    </xf>
    <xf numFmtId="0" fontId="22" fillId="0" borderId="49" xfId="59" applyFont="1" applyBorder="1" applyAlignment="1">
      <alignment horizontal="left"/>
      <protection/>
    </xf>
    <xf numFmtId="0" fontId="61" fillId="0" borderId="65" xfId="59" applyFont="1" applyBorder="1" applyAlignment="1">
      <alignment horizontal="left"/>
      <protection/>
    </xf>
    <xf numFmtId="0" fontId="61" fillId="0" borderId="49" xfId="59" applyFont="1" applyBorder="1" applyAlignment="1">
      <alignment horizontal="left"/>
      <protection/>
    </xf>
    <xf numFmtId="3" fontId="61" fillId="0" borderId="49" xfId="59" applyNumberFormat="1" applyFont="1" applyFill="1" applyBorder="1">
      <alignment/>
      <protection/>
    </xf>
    <xf numFmtId="3" fontId="15" fillId="0" borderId="65" xfId="59" applyNumberFormat="1" applyFont="1" applyBorder="1" applyAlignment="1">
      <alignment horizontal="right" vertical="center"/>
      <protection/>
    </xf>
    <xf numFmtId="3" fontId="60" fillId="0" borderId="66" xfId="59" applyNumberFormat="1" applyFont="1" applyBorder="1" applyAlignment="1">
      <alignment horizontal="right" vertical="center"/>
      <protection/>
    </xf>
    <xf numFmtId="3" fontId="60" fillId="0" borderId="67" xfId="59" applyNumberFormat="1" applyFont="1" applyBorder="1" applyAlignment="1">
      <alignment horizontal="right" vertical="center"/>
      <protection/>
    </xf>
    <xf numFmtId="3" fontId="22" fillId="0" borderId="68" xfId="59" applyNumberFormat="1" applyFont="1" applyBorder="1">
      <alignment/>
      <protection/>
    </xf>
    <xf numFmtId="3" fontId="22" fillId="0" borderId="66" xfId="59" applyNumberFormat="1" applyFont="1" applyBorder="1">
      <alignment/>
      <protection/>
    </xf>
    <xf numFmtId="3" fontId="22" fillId="0" borderId="67" xfId="59" applyNumberFormat="1" applyFont="1" applyBorder="1">
      <alignment/>
      <protection/>
    </xf>
    <xf numFmtId="3" fontId="60" fillId="0" borderId="64" xfId="59" applyNumberFormat="1" applyFont="1" applyBorder="1" applyAlignment="1">
      <alignment horizontal="right" vertical="center"/>
      <protection/>
    </xf>
    <xf numFmtId="3" fontId="60" fillId="0" borderId="69" xfId="59" applyNumberFormat="1" applyFont="1" applyBorder="1" applyAlignment="1">
      <alignment horizontal="right" vertical="center"/>
      <protection/>
    </xf>
    <xf numFmtId="0" fontId="18" fillId="0" borderId="57" xfId="59" applyFont="1" applyBorder="1">
      <alignment/>
      <protection/>
    </xf>
    <xf numFmtId="0" fontId="18" fillId="0" borderId="54" xfId="59" applyFont="1" applyBorder="1">
      <alignment/>
      <protection/>
    </xf>
    <xf numFmtId="0" fontId="18" fillId="0" borderId="32" xfId="59" applyFont="1" applyBorder="1">
      <alignment/>
      <protection/>
    </xf>
    <xf numFmtId="3" fontId="61" fillId="0" borderId="61" xfId="59" applyNumberFormat="1" applyFont="1" applyBorder="1" applyAlignment="1">
      <alignment/>
      <protection/>
    </xf>
    <xf numFmtId="0" fontId="18" fillId="0" borderId="70" xfId="59" applyFont="1" applyBorder="1">
      <alignment/>
      <protection/>
    </xf>
    <xf numFmtId="0" fontId="18" fillId="0" borderId="67" xfId="59" applyFont="1" applyBorder="1">
      <alignment/>
      <protection/>
    </xf>
    <xf numFmtId="0" fontId="18" fillId="0" borderId="71" xfId="59" applyFont="1" applyBorder="1">
      <alignment/>
      <protection/>
    </xf>
    <xf numFmtId="3" fontId="19" fillId="0" borderId="32" xfId="59" applyNumberFormat="1" applyFont="1" applyBorder="1" applyAlignment="1">
      <alignment horizontal="right"/>
      <protection/>
    </xf>
    <xf numFmtId="0" fontId="22" fillId="0" borderId="52" xfId="59" applyFont="1" applyBorder="1" applyAlignment="1">
      <alignment horizontal="left"/>
      <protection/>
    </xf>
    <xf numFmtId="3" fontId="60" fillId="0" borderId="72" xfId="59" applyNumberFormat="1" applyFont="1" applyBorder="1" applyAlignment="1">
      <alignment horizontal="right"/>
      <protection/>
    </xf>
    <xf numFmtId="3" fontId="60" fillId="0" borderId="52" xfId="59" applyNumberFormat="1" applyFont="1" applyBorder="1" applyAlignment="1">
      <alignment horizontal="right"/>
      <protection/>
    </xf>
    <xf numFmtId="3" fontId="60" fillId="0" borderId="32" xfId="59" applyNumberFormat="1" applyFont="1" applyBorder="1" applyAlignment="1">
      <alignment horizontal="right"/>
      <protection/>
    </xf>
    <xf numFmtId="0" fontId="18" fillId="36" borderId="73" xfId="59" applyFont="1" applyFill="1" applyBorder="1">
      <alignment/>
      <protection/>
    </xf>
    <xf numFmtId="3" fontId="60" fillId="36" borderId="74" xfId="59" applyNumberFormat="1" applyFont="1" applyFill="1" applyBorder="1" applyAlignment="1">
      <alignment horizontal="right"/>
      <protection/>
    </xf>
    <xf numFmtId="3" fontId="60" fillId="36" borderId="75" xfId="59" applyNumberFormat="1" applyFont="1" applyFill="1" applyBorder="1">
      <alignment/>
      <protection/>
    </xf>
    <xf numFmtId="3" fontId="60" fillId="36" borderId="76" xfId="59" applyNumberFormat="1" applyFont="1" applyFill="1" applyBorder="1">
      <alignment/>
      <protection/>
    </xf>
    <xf numFmtId="3" fontId="60" fillId="36" borderId="74" xfId="59" applyNumberFormat="1" applyFont="1" applyFill="1" applyBorder="1">
      <alignment/>
      <protection/>
    </xf>
    <xf numFmtId="0" fontId="18" fillId="0" borderId="77" xfId="0" applyFont="1" applyBorder="1" applyAlignment="1">
      <alignment/>
    </xf>
    <xf numFmtId="0" fontId="15" fillId="0" borderId="0" xfId="59" applyFont="1" applyBorder="1" applyAlignment="1">
      <alignment horizontal="right" vertical="center"/>
      <protection/>
    </xf>
    <xf numFmtId="0" fontId="15" fillId="0" borderId="78" xfId="59" applyFont="1" applyBorder="1" applyAlignment="1">
      <alignment horizontal="right" vertical="center"/>
      <protection/>
    </xf>
    <xf numFmtId="0" fontId="22" fillId="0" borderId="60" xfId="59" applyFont="1" applyBorder="1">
      <alignment/>
      <protection/>
    </xf>
    <xf numFmtId="0" fontId="18" fillId="0" borderId="52" xfId="59" applyFont="1" applyBorder="1">
      <alignment/>
      <protection/>
    </xf>
    <xf numFmtId="0" fontId="18" fillId="0" borderId="32" xfId="59" applyFont="1" applyBorder="1" applyAlignment="1">
      <alignment horizontal="right"/>
      <protection/>
    </xf>
    <xf numFmtId="3" fontId="60" fillId="0" borderId="0" xfId="59" applyNumberFormat="1" applyFont="1" applyBorder="1" applyAlignment="1">
      <alignment horizontal="right" vertical="center"/>
      <protection/>
    </xf>
    <xf numFmtId="3" fontId="18" fillId="0" borderId="32" xfId="59" applyNumberFormat="1" applyFont="1" applyBorder="1" applyAlignment="1">
      <alignment horizontal="right"/>
      <protection/>
    </xf>
    <xf numFmtId="3" fontId="18" fillId="0" borderId="0" xfId="59" applyNumberFormat="1" applyFont="1" applyBorder="1">
      <alignment/>
      <protection/>
    </xf>
    <xf numFmtId="3" fontId="18" fillId="0" borderId="55" xfId="59" applyNumberFormat="1" applyFont="1" applyBorder="1">
      <alignment/>
      <protection/>
    </xf>
    <xf numFmtId="0" fontId="22" fillId="0" borderId="0" xfId="0" applyFont="1" applyFill="1" applyBorder="1" applyAlignment="1">
      <alignment/>
    </xf>
    <xf numFmtId="0" fontId="18" fillId="0" borderId="79" xfId="59" applyFont="1" applyBorder="1">
      <alignment/>
      <protection/>
    </xf>
    <xf numFmtId="0" fontId="18" fillId="0" borderId="80" xfId="59" applyFont="1" applyBorder="1" applyAlignment="1">
      <alignment horizontal="right"/>
      <protection/>
    </xf>
    <xf numFmtId="0" fontId="18" fillId="0" borderId="81" xfId="59" applyFont="1" applyBorder="1" applyAlignment="1">
      <alignment horizontal="right"/>
      <protection/>
    </xf>
    <xf numFmtId="0" fontId="18" fillId="0" borderId="80" xfId="59" applyFont="1" applyBorder="1">
      <alignment/>
      <protection/>
    </xf>
    <xf numFmtId="0" fontId="18" fillId="0" borderId="69" xfId="59" applyFont="1" applyBorder="1">
      <alignment/>
      <protection/>
    </xf>
    <xf numFmtId="0" fontId="18" fillId="0" borderId="80" xfId="59" applyFont="1" applyBorder="1" applyAlignment="1">
      <alignment/>
      <protection/>
    </xf>
    <xf numFmtId="0" fontId="15" fillId="0" borderId="82" xfId="59" applyFont="1" applyBorder="1" applyAlignment="1">
      <alignment horizontal="right"/>
      <protection/>
    </xf>
    <xf numFmtId="0" fontId="18" fillId="0" borderId="83" xfId="59" applyFont="1" applyBorder="1">
      <alignment/>
      <protection/>
    </xf>
    <xf numFmtId="3" fontId="15" fillId="0" borderId="84" xfId="59" applyNumberFormat="1" applyFont="1" applyBorder="1" applyAlignment="1">
      <alignment horizontal="right"/>
      <protection/>
    </xf>
    <xf numFmtId="0" fontId="15" fillId="0" borderId="80" xfId="59" applyFont="1" applyBorder="1" applyAlignment="1">
      <alignment horizontal="right"/>
      <protection/>
    </xf>
    <xf numFmtId="0" fontId="15" fillId="0" borderId="81" xfId="59" applyFont="1" applyBorder="1" applyAlignment="1">
      <alignment horizontal="right"/>
      <protection/>
    </xf>
    <xf numFmtId="0" fontId="18" fillId="0" borderId="85" xfId="59" applyFont="1" applyBorder="1">
      <alignment/>
      <protection/>
    </xf>
    <xf numFmtId="0" fontId="18" fillId="0" borderId="81" xfId="59" applyFont="1" applyBorder="1">
      <alignment/>
      <protection/>
    </xf>
    <xf numFmtId="0" fontId="60" fillId="0" borderId="86" xfId="59" applyFont="1" applyBorder="1" applyAlignment="1">
      <alignment horizontal="right" vertical="center"/>
      <protection/>
    </xf>
    <xf numFmtId="0" fontId="18" fillId="0" borderId="0" xfId="59" applyFont="1">
      <alignment/>
      <protection/>
    </xf>
    <xf numFmtId="0" fontId="18" fillId="0" borderId="60" xfId="59" applyFont="1" applyBorder="1">
      <alignment/>
      <protection/>
    </xf>
    <xf numFmtId="0" fontId="22" fillId="0" borderId="61" xfId="59" applyFont="1" applyBorder="1">
      <alignment/>
      <protection/>
    </xf>
    <xf numFmtId="3" fontId="60" fillId="0" borderId="0" xfId="59" applyNumberFormat="1" applyFont="1" applyBorder="1">
      <alignment/>
      <protection/>
    </xf>
    <xf numFmtId="3" fontId="60" fillId="0" borderId="72" xfId="59" applyNumberFormat="1" applyFont="1" applyBorder="1">
      <alignment/>
      <protection/>
    </xf>
    <xf numFmtId="0" fontId="18" fillId="0" borderId="0" xfId="0" applyFont="1" applyBorder="1" applyAlignment="1">
      <alignment horizontal="right"/>
    </xf>
    <xf numFmtId="0" fontId="18" fillId="0" borderId="61" xfId="59" applyFont="1" applyBorder="1">
      <alignment/>
      <protection/>
    </xf>
    <xf numFmtId="0" fontId="23" fillId="0" borderId="58" xfId="59" applyFont="1" applyBorder="1" applyAlignment="1">
      <alignment horizontal="right"/>
      <protection/>
    </xf>
    <xf numFmtId="0" fontId="18" fillId="0" borderId="56" xfId="0" applyFont="1" applyBorder="1" applyAlignment="1">
      <alignment horizontal="right"/>
    </xf>
    <xf numFmtId="3" fontId="19" fillId="0" borderId="78" xfId="59" applyNumberFormat="1" applyFont="1" applyBorder="1" applyAlignment="1">
      <alignment horizontal="right"/>
      <protection/>
    </xf>
    <xf numFmtId="3" fontId="19" fillId="0" borderId="56" xfId="59" applyNumberFormat="1" applyFont="1" applyBorder="1">
      <alignment/>
      <protection/>
    </xf>
    <xf numFmtId="3" fontId="19" fillId="0" borderId="59" xfId="59" applyNumberFormat="1" applyFont="1" applyBorder="1">
      <alignment/>
      <protection/>
    </xf>
    <xf numFmtId="3" fontId="22" fillId="0" borderId="62" xfId="59" applyNumberFormat="1" applyFont="1" applyBorder="1" applyAlignment="1">
      <alignment/>
      <protection/>
    </xf>
    <xf numFmtId="0" fontId="18" fillId="0" borderId="87" xfId="59" applyFont="1" applyBorder="1">
      <alignment/>
      <protection/>
    </xf>
    <xf numFmtId="0" fontId="18" fillId="0" borderId="56" xfId="59" applyFont="1" applyBorder="1">
      <alignment/>
      <protection/>
    </xf>
    <xf numFmtId="0" fontId="18" fillId="0" borderId="62" xfId="59" applyFont="1" applyBorder="1">
      <alignment/>
      <protection/>
    </xf>
    <xf numFmtId="3" fontId="60" fillId="0" borderId="78" xfId="59" applyNumberFormat="1" applyFont="1" applyBorder="1" applyAlignment="1">
      <alignment horizontal="right" vertical="center"/>
      <protection/>
    </xf>
    <xf numFmtId="3" fontId="60" fillId="0" borderId="88" xfId="59" applyNumberFormat="1" applyFont="1" applyBorder="1">
      <alignment/>
      <protection/>
    </xf>
    <xf numFmtId="3" fontId="60" fillId="0" borderId="58" xfId="59" applyNumberFormat="1" applyFont="1" applyBorder="1">
      <alignment/>
      <protection/>
    </xf>
    <xf numFmtId="3" fontId="60" fillId="0" borderId="78" xfId="59" applyNumberFormat="1" applyFont="1" applyBorder="1">
      <alignment/>
      <protection/>
    </xf>
    <xf numFmtId="3" fontId="60" fillId="0" borderId="59" xfId="59" applyNumberFormat="1" applyFont="1" applyBorder="1" applyAlignment="1">
      <alignment horizontal="right" vertical="center"/>
      <protection/>
    </xf>
    <xf numFmtId="3" fontId="61" fillId="0" borderId="0" xfId="59" applyNumberFormat="1" applyFont="1" applyBorder="1" applyAlignment="1">
      <alignment/>
      <protection/>
    </xf>
    <xf numFmtId="0" fontId="18" fillId="36" borderId="89" xfId="59" applyFont="1" applyFill="1" applyBorder="1">
      <alignment/>
      <protection/>
    </xf>
    <xf numFmtId="3" fontId="46" fillId="0" borderId="90" xfId="59" applyNumberFormat="1" applyFont="1" applyBorder="1" applyAlignment="1">
      <alignment horizontal="center"/>
      <protection/>
    </xf>
    <xf numFmtId="0" fontId="18" fillId="0" borderId="91" xfId="59" applyFont="1" applyBorder="1">
      <alignment/>
      <protection/>
    </xf>
    <xf numFmtId="3" fontId="15" fillId="0" borderId="92" xfId="59" applyNumberFormat="1" applyFont="1" applyBorder="1">
      <alignment/>
      <protection/>
    </xf>
    <xf numFmtId="0" fontId="18" fillId="0" borderId="77" xfId="59" applyFont="1" applyBorder="1">
      <alignment/>
      <protection/>
    </xf>
    <xf numFmtId="3" fontId="46" fillId="0" borderId="90" xfId="59" applyNumberFormat="1" applyFont="1" applyBorder="1">
      <alignment/>
      <protection/>
    </xf>
    <xf numFmtId="3" fontId="46" fillId="0" borderId="93" xfId="59" applyNumberFormat="1" applyFont="1" applyBorder="1">
      <alignment/>
      <protection/>
    </xf>
    <xf numFmtId="0" fontId="22" fillId="0" borderId="49" xfId="59" applyFont="1" applyBorder="1">
      <alignment/>
      <protection/>
    </xf>
    <xf numFmtId="0" fontId="19" fillId="0" borderId="94" xfId="59" applyFont="1" applyBorder="1" applyAlignment="1">
      <alignment horizontal="center"/>
      <protection/>
    </xf>
    <xf numFmtId="0" fontId="19" fillId="0" borderId="95" xfId="59" applyFont="1" applyBorder="1" applyAlignment="1">
      <alignment horizontal="center" vertical="center"/>
      <protection/>
    </xf>
    <xf numFmtId="0" fontId="19" fillId="0" borderId="94" xfId="59" applyFont="1" applyBorder="1" applyAlignment="1">
      <alignment horizontal="center" vertical="center"/>
      <protection/>
    </xf>
    <xf numFmtId="49" fontId="26" fillId="0" borderId="21" xfId="0" applyNumberFormat="1" applyFont="1" applyBorder="1" applyAlignment="1">
      <alignment vertical="center" wrapText="1"/>
    </xf>
    <xf numFmtId="0" fontId="26" fillId="0" borderId="22" xfId="0" applyFont="1" applyBorder="1" applyAlignment="1">
      <alignment vertical="center"/>
    </xf>
    <xf numFmtId="0" fontId="21" fillId="7" borderId="22" xfId="0" applyFont="1" applyFill="1" applyBorder="1" applyAlignment="1">
      <alignment vertical="center"/>
    </xf>
    <xf numFmtId="0" fontId="18" fillId="0" borderId="0" xfId="0" applyFont="1" applyAlignment="1">
      <alignment vertical="center"/>
    </xf>
    <xf numFmtId="0" fontId="61" fillId="0" borderId="57" xfId="59" applyFont="1" applyBorder="1" applyAlignment="1">
      <alignment horizontal="left" wrapText="1"/>
      <protection/>
    </xf>
    <xf numFmtId="0" fontId="61" fillId="0" borderId="0" xfId="59" applyFont="1" applyBorder="1" applyAlignment="1">
      <alignment horizontal="left" wrapText="1"/>
      <protection/>
    </xf>
    <xf numFmtId="3" fontId="19" fillId="36" borderId="74" xfId="59" applyNumberFormat="1" applyFont="1" applyFill="1" applyBorder="1" applyAlignment="1">
      <alignment horizontal="right"/>
      <protection/>
    </xf>
    <xf numFmtId="3" fontId="19" fillId="36" borderId="89" xfId="59" applyNumberFormat="1" applyFont="1" applyFill="1" applyBorder="1">
      <alignment/>
      <protection/>
    </xf>
    <xf numFmtId="3" fontId="19" fillId="36" borderId="96" xfId="59" applyNumberFormat="1" applyFont="1" applyFill="1" applyBorder="1">
      <alignment/>
      <protection/>
    </xf>
    <xf numFmtId="3" fontId="22" fillId="0" borderId="62" xfId="0" applyNumberFormat="1" applyFont="1" applyBorder="1" applyAlignment="1">
      <alignment/>
    </xf>
    <xf numFmtId="3" fontId="22" fillId="0" borderId="61" xfId="0" applyNumberFormat="1" applyFont="1" applyBorder="1" applyAlignment="1">
      <alignment/>
    </xf>
    <xf numFmtId="0" fontId="22" fillId="36" borderId="76" xfId="59" applyFont="1" applyFill="1" applyBorder="1" applyAlignment="1">
      <alignment horizontal="left"/>
      <protection/>
    </xf>
    <xf numFmtId="3" fontId="15" fillId="36" borderId="97" xfId="59" applyNumberFormat="1" applyFont="1" applyFill="1" applyBorder="1" applyAlignment="1">
      <alignment horizontal="right"/>
      <protection/>
    </xf>
    <xf numFmtId="3" fontId="15" fillId="36" borderId="98" xfId="59" applyNumberFormat="1" applyFont="1" applyFill="1" applyBorder="1" applyAlignment="1">
      <alignment horizontal="right"/>
      <protection/>
    </xf>
    <xf numFmtId="3" fontId="60" fillId="36" borderId="89" xfId="59" applyNumberFormat="1" applyFont="1" applyFill="1" applyBorder="1" applyAlignment="1">
      <alignment horizontal="right"/>
      <protection/>
    </xf>
    <xf numFmtId="3" fontId="60" fillId="36" borderId="96" xfId="59" applyNumberFormat="1" applyFont="1" applyFill="1" applyBorder="1" applyAlignment="1">
      <alignment horizontal="right" vertical="center"/>
      <protection/>
    </xf>
    <xf numFmtId="0" fontId="18" fillId="0" borderId="53" xfId="0" applyFont="1" applyBorder="1" applyAlignment="1">
      <alignment horizontal="right"/>
    </xf>
    <xf numFmtId="0" fontId="18" fillId="36" borderId="73" xfId="59" applyFont="1" applyFill="1" applyBorder="1" applyAlignment="1">
      <alignment vertical="center"/>
      <protection/>
    </xf>
    <xf numFmtId="3" fontId="15" fillId="36" borderId="97" xfId="59" applyNumberFormat="1" applyFont="1" applyFill="1" applyBorder="1" applyAlignment="1">
      <alignment vertical="center"/>
      <protection/>
    </xf>
    <xf numFmtId="0" fontId="18" fillId="36" borderId="89" xfId="59" applyFont="1" applyFill="1" applyBorder="1" applyAlignment="1">
      <alignment vertical="center"/>
      <protection/>
    </xf>
    <xf numFmtId="3" fontId="15" fillId="36" borderId="83" xfId="59" applyNumberFormat="1" applyFont="1" applyFill="1" applyBorder="1" applyAlignment="1">
      <alignment vertical="center"/>
      <protection/>
    </xf>
    <xf numFmtId="3" fontId="60" fillId="36" borderId="99" xfId="59" applyNumberFormat="1" applyFont="1" applyFill="1" applyBorder="1" applyAlignment="1">
      <alignment vertical="center"/>
      <protection/>
    </xf>
    <xf numFmtId="3" fontId="60" fillId="36" borderId="90" xfId="59" applyNumberFormat="1" applyFont="1" applyFill="1" applyBorder="1" applyAlignment="1">
      <alignment vertical="center"/>
      <protection/>
    </xf>
    <xf numFmtId="3" fontId="60" fillId="36" borderId="86" xfId="59" applyNumberFormat="1" applyFont="1" applyFill="1" applyBorder="1" applyAlignment="1">
      <alignment vertical="center"/>
      <protection/>
    </xf>
    <xf numFmtId="3" fontId="60" fillId="36" borderId="100" xfId="59" applyNumberFormat="1" applyFont="1" applyFill="1" applyBorder="1" applyAlignment="1">
      <alignment vertical="center"/>
      <protection/>
    </xf>
    <xf numFmtId="0" fontId="18" fillId="0" borderId="0" xfId="0" applyFont="1" applyBorder="1" applyAlignment="1">
      <alignment vertical="center"/>
    </xf>
    <xf numFmtId="3" fontId="22" fillId="0" borderId="0" xfId="59" applyNumberFormat="1" applyFont="1" applyBorder="1" applyAlignment="1">
      <alignment horizontal="right" vertical="center"/>
      <protection/>
    </xf>
    <xf numFmtId="3" fontId="22" fillId="0" borderId="61" xfId="59" applyNumberFormat="1" applyFont="1" applyBorder="1" applyAlignment="1">
      <alignment vertical="center"/>
      <protection/>
    </xf>
    <xf numFmtId="3" fontId="22" fillId="0" borderId="101" xfId="59" applyNumberFormat="1" applyFont="1" applyBorder="1">
      <alignment/>
      <protection/>
    </xf>
    <xf numFmtId="3" fontId="22" fillId="0" borderId="48" xfId="59" applyNumberFormat="1" applyFont="1" applyFill="1" applyBorder="1" applyAlignment="1">
      <alignment vertical="center"/>
      <protection/>
    </xf>
    <xf numFmtId="3" fontId="22" fillId="0" borderId="61" xfId="59" applyNumberFormat="1" applyFont="1" applyFill="1" applyBorder="1" applyAlignment="1">
      <alignment vertical="center"/>
      <protection/>
    </xf>
    <xf numFmtId="3" fontId="22" fillId="0" borderId="61" xfId="59" applyNumberFormat="1" applyFont="1" applyFill="1" applyBorder="1" applyAlignment="1">
      <alignment horizontal="right" vertical="center"/>
      <protection/>
    </xf>
    <xf numFmtId="3" fontId="22" fillId="0" borderId="0" xfId="59" applyNumberFormat="1" applyFont="1" applyBorder="1" applyAlignment="1">
      <alignment vertical="center"/>
      <protection/>
    </xf>
    <xf numFmtId="3" fontId="22" fillId="0" borderId="62" xfId="59" applyNumberFormat="1" applyFont="1" applyFill="1" applyBorder="1" applyAlignment="1">
      <alignment vertical="center"/>
      <protection/>
    </xf>
    <xf numFmtId="0" fontId="45" fillId="0" borderId="0" xfId="60" applyFont="1" applyFill="1" applyAlignment="1">
      <alignment vertical="center" wrapText="1"/>
      <protection/>
    </xf>
    <xf numFmtId="0" fontId="45" fillId="0" borderId="80" xfId="60" applyFont="1" applyFill="1" applyBorder="1" applyAlignment="1">
      <alignment vertical="center" wrapText="1"/>
      <protection/>
    </xf>
    <xf numFmtId="0" fontId="18" fillId="0" borderId="79" xfId="59" applyFont="1" applyBorder="1" applyAlignment="1">
      <alignment horizontal="right"/>
      <protection/>
    </xf>
    <xf numFmtId="0" fontId="18" fillId="0" borderId="66" xfId="59" applyFont="1" applyBorder="1" applyAlignment="1">
      <alignment horizontal="right"/>
      <protection/>
    </xf>
    <xf numFmtId="3" fontId="22" fillId="0" borderId="102" xfId="0" applyNumberFormat="1" applyFont="1" applyBorder="1" applyAlignment="1">
      <alignment/>
    </xf>
    <xf numFmtId="3" fontId="23" fillId="0" borderId="103" xfId="60" applyNumberFormat="1" applyFont="1" applyFill="1" applyBorder="1" applyAlignment="1">
      <alignment horizontal="right" vertical="center"/>
      <protection/>
    </xf>
    <xf numFmtId="3" fontId="23" fillId="0" borderId="94" xfId="60" applyNumberFormat="1" applyFont="1" applyFill="1" applyBorder="1" applyAlignment="1">
      <alignment horizontal="right" vertical="center"/>
      <protection/>
    </xf>
    <xf numFmtId="3" fontId="60" fillId="0" borderId="40" xfId="60" applyNumberFormat="1" applyFont="1" applyFill="1" applyBorder="1" applyAlignment="1">
      <alignment vertical="center"/>
      <protection/>
    </xf>
    <xf numFmtId="3" fontId="22" fillId="0" borderId="0" xfId="0" applyNumberFormat="1" applyFont="1" applyAlignment="1">
      <alignment/>
    </xf>
    <xf numFmtId="3" fontId="18" fillId="0" borderId="0" xfId="0" applyNumberFormat="1" applyFont="1" applyAlignment="1">
      <alignment/>
    </xf>
    <xf numFmtId="0" fontId="42" fillId="0" borderId="0" xfId="0" applyFont="1" applyFill="1" applyAlignment="1">
      <alignment vertical="center"/>
    </xf>
    <xf numFmtId="49" fontId="42" fillId="0" borderId="0" xfId="0" applyNumberFormat="1" applyFont="1" applyFill="1" applyAlignment="1">
      <alignment vertical="center"/>
    </xf>
    <xf numFmtId="49" fontId="42" fillId="0" borderId="0" xfId="0" applyNumberFormat="1" applyFont="1" applyFill="1" applyAlignment="1">
      <alignment horizontal="center" vertical="center"/>
    </xf>
    <xf numFmtId="0" fontId="58" fillId="0" borderId="0" xfId="0" applyFont="1" applyFill="1" applyAlignment="1">
      <alignment vertical="center"/>
    </xf>
    <xf numFmtId="0" fontId="15" fillId="0" borderId="0" xfId="0" applyFont="1" applyFill="1" applyAlignment="1">
      <alignment horizontal="center" vertical="center"/>
    </xf>
    <xf numFmtId="49" fontId="15" fillId="0" borderId="0" xfId="0" applyNumberFormat="1" applyFont="1" applyFill="1" applyAlignment="1">
      <alignment horizontal="center" vertical="center"/>
    </xf>
    <xf numFmtId="0" fontId="43" fillId="0" borderId="46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49" fontId="20" fillId="0" borderId="0" xfId="0" applyNumberFormat="1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 wrapText="1"/>
    </xf>
    <xf numFmtId="49" fontId="20" fillId="0" borderId="0" xfId="0" applyNumberFormat="1" applyFont="1" applyFill="1" applyAlignment="1">
      <alignment horizontal="center" vertical="center" wrapText="1"/>
    </xf>
    <xf numFmtId="0" fontId="47" fillId="0" borderId="43" xfId="0" applyFont="1" applyFill="1" applyBorder="1" applyAlignment="1">
      <alignment horizontal="center" vertical="center" wrapText="1"/>
    </xf>
    <xf numFmtId="0" fontId="47" fillId="0" borderId="17" xfId="0" applyFont="1" applyFill="1" applyBorder="1" applyAlignment="1">
      <alignment horizontal="center" vertical="center" wrapText="1"/>
    </xf>
    <xf numFmtId="0" fontId="47" fillId="0" borderId="25" xfId="0" applyFont="1" applyFill="1" applyBorder="1" applyAlignment="1">
      <alignment horizontal="center" vertical="center" wrapText="1"/>
    </xf>
    <xf numFmtId="0" fontId="47" fillId="0" borderId="22" xfId="0" applyFont="1" applyFill="1" applyBorder="1" applyAlignment="1">
      <alignment horizontal="center" vertical="center" wrapText="1"/>
    </xf>
    <xf numFmtId="0" fontId="42" fillId="0" borderId="27" xfId="0" applyFont="1" applyFill="1" applyBorder="1" applyAlignment="1">
      <alignment horizontal="center" vertical="center" wrapText="1"/>
    </xf>
    <xf numFmtId="49" fontId="42" fillId="0" borderId="27" xfId="0" applyNumberFormat="1" applyFont="1" applyFill="1" applyBorder="1" applyAlignment="1">
      <alignment horizontal="center" vertical="center" wrapText="1"/>
    </xf>
    <xf numFmtId="0" fontId="42" fillId="0" borderId="37" xfId="0" applyFont="1" applyFill="1" applyBorder="1" applyAlignment="1">
      <alignment horizontal="center" vertical="center"/>
    </xf>
    <xf numFmtId="0" fontId="58" fillId="0" borderId="24" xfId="0" applyFont="1" applyFill="1" applyBorder="1" applyAlignment="1">
      <alignment horizontal="center" vertical="center" wrapText="1"/>
    </xf>
    <xf numFmtId="0" fontId="43" fillId="0" borderId="38" xfId="0" applyFont="1" applyFill="1" applyBorder="1" applyAlignment="1">
      <alignment horizontal="center" vertical="center" wrapText="1"/>
    </xf>
    <xf numFmtId="0" fontId="43" fillId="0" borderId="37" xfId="0" applyFont="1" applyFill="1" applyBorder="1" applyAlignment="1">
      <alignment horizontal="center" vertical="center" wrapText="1"/>
    </xf>
    <xf numFmtId="3" fontId="43" fillId="0" borderId="37" xfId="0" applyNumberFormat="1" applyFont="1" applyFill="1" applyBorder="1" applyAlignment="1">
      <alignment horizontal="center" vertical="center"/>
    </xf>
    <xf numFmtId="0" fontId="43" fillId="0" borderId="104" xfId="0" applyFont="1" applyFill="1" applyBorder="1" applyAlignment="1">
      <alignment horizontal="center" vertical="center" wrapText="1"/>
    </xf>
    <xf numFmtId="0" fontId="42" fillId="0" borderId="23" xfId="0" applyFont="1" applyFill="1" applyBorder="1" applyAlignment="1">
      <alignment horizontal="center" vertical="center" wrapText="1"/>
    </xf>
    <xf numFmtId="49" fontId="42" fillId="0" borderId="36" xfId="0" applyNumberFormat="1" applyFont="1" applyFill="1" applyBorder="1" applyAlignment="1">
      <alignment horizontal="center" vertical="center"/>
    </xf>
    <xf numFmtId="0" fontId="20" fillId="0" borderId="37" xfId="0" applyFont="1" applyFill="1" applyBorder="1" applyAlignment="1">
      <alignment vertical="center" wrapText="1"/>
    </xf>
    <xf numFmtId="3" fontId="58" fillId="0" borderId="24" xfId="0" applyNumberFormat="1" applyFont="1" applyFill="1" applyBorder="1" applyAlignment="1">
      <alignment vertical="center"/>
    </xf>
    <xf numFmtId="3" fontId="43" fillId="0" borderId="38" xfId="0" applyNumberFormat="1" applyFont="1" applyFill="1" applyBorder="1" applyAlignment="1">
      <alignment vertical="center"/>
    </xf>
    <xf numFmtId="3" fontId="43" fillId="0" borderId="37" xfId="0" applyNumberFormat="1" applyFont="1" applyFill="1" applyBorder="1" applyAlignment="1">
      <alignment vertical="center"/>
    </xf>
    <xf numFmtId="3" fontId="43" fillId="0" borderId="22" xfId="0" applyNumberFormat="1" applyFont="1" applyFill="1" applyBorder="1" applyAlignment="1">
      <alignment vertical="center"/>
    </xf>
    <xf numFmtId="3" fontId="20" fillId="0" borderId="23" xfId="0" applyNumberFormat="1" applyFont="1" applyFill="1" applyBorder="1" applyAlignment="1">
      <alignment vertical="center"/>
    </xf>
    <xf numFmtId="0" fontId="43" fillId="0" borderId="0" xfId="0" applyFont="1" applyFill="1" applyAlignment="1">
      <alignment vertical="center"/>
    </xf>
    <xf numFmtId="49" fontId="42" fillId="0" borderId="21" xfId="0" applyNumberFormat="1" applyFont="1" applyFill="1" applyBorder="1" applyAlignment="1">
      <alignment horizontal="center" vertical="center"/>
    </xf>
    <xf numFmtId="0" fontId="20" fillId="0" borderId="22" xfId="0" applyFont="1" applyFill="1" applyBorder="1" applyAlignment="1">
      <alignment vertical="center" wrapText="1"/>
    </xf>
    <xf numFmtId="3" fontId="58" fillId="0" borderId="11" xfId="0" applyNumberFormat="1" applyFont="1" applyFill="1" applyBorder="1" applyAlignment="1">
      <alignment vertical="center"/>
    </xf>
    <xf numFmtId="3" fontId="43" fillId="0" borderId="17" xfId="0" applyNumberFormat="1" applyFont="1" applyFill="1" applyBorder="1" applyAlignment="1">
      <alignment vertical="center"/>
    </xf>
    <xf numFmtId="3" fontId="58" fillId="0" borderId="16" xfId="0" applyNumberFormat="1" applyFont="1" applyFill="1" applyBorder="1" applyAlignment="1">
      <alignment vertical="center"/>
    </xf>
    <xf numFmtId="3" fontId="42" fillId="0" borderId="0" xfId="0" applyNumberFormat="1" applyFont="1" applyFill="1" applyAlignment="1">
      <alignment vertical="center"/>
    </xf>
    <xf numFmtId="3" fontId="58" fillId="0" borderId="22" xfId="0" applyNumberFormat="1" applyFont="1" applyFill="1" applyBorder="1" applyAlignment="1">
      <alignment vertical="center"/>
    </xf>
    <xf numFmtId="3" fontId="58" fillId="0" borderId="22" xfId="0" applyNumberFormat="1" applyFont="1" applyFill="1" applyBorder="1" applyAlignment="1">
      <alignment horizontal="right" vertical="center" wrapText="1"/>
    </xf>
    <xf numFmtId="0" fontId="20" fillId="0" borderId="22" xfId="0" applyFont="1" applyFill="1" applyBorder="1" applyAlignment="1">
      <alignment horizontal="left" vertical="center" wrapText="1"/>
    </xf>
    <xf numFmtId="3" fontId="43" fillId="0" borderId="22" xfId="0" applyNumberFormat="1" applyFont="1" applyFill="1" applyBorder="1" applyAlignment="1">
      <alignment horizontal="right" vertical="center"/>
    </xf>
    <xf numFmtId="49" fontId="42" fillId="0" borderId="44" xfId="0" applyNumberFormat="1" applyFont="1" applyFill="1" applyBorder="1" applyAlignment="1">
      <alignment horizontal="center" vertical="center"/>
    </xf>
    <xf numFmtId="3" fontId="43" fillId="0" borderId="43" xfId="0" applyNumberFormat="1" applyFont="1" applyFill="1" applyBorder="1" applyAlignment="1">
      <alignment vertical="center"/>
    </xf>
    <xf numFmtId="3" fontId="58" fillId="0" borderId="15" xfId="0" applyNumberFormat="1" applyFont="1" applyFill="1" applyBorder="1" applyAlignment="1">
      <alignment vertical="center"/>
    </xf>
    <xf numFmtId="3" fontId="43" fillId="0" borderId="25" xfId="0" applyNumberFormat="1" applyFont="1" applyFill="1" applyBorder="1" applyAlignment="1">
      <alignment vertical="center"/>
    </xf>
    <xf numFmtId="49" fontId="19" fillId="0" borderId="0" xfId="0" applyNumberFormat="1" applyFont="1" applyFill="1" applyAlignment="1">
      <alignment vertical="center"/>
    </xf>
    <xf numFmtId="0" fontId="20" fillId="0" borderId="43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49" fontId="19" fillId="0" borderId="29" xfId="0" applyNumberFormat="1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vertical="center"/>
    </xf>
    <xf numFmtId="3" fontId="64" fillId="0" borderId="33" xfId="0" applyNumberFormat="1" applyFont="1" applyFill="1" applyBorder="1" applyAlignment="1">
      <alignment vertical="center"/>
    </xf>
    <xf numFmtId="3" fontId="19" fillId="0" borderId="20" xfId="0" applyNumberFormat="1" applyFont="1" applyFill="1" applyBorder="1" applyAlignment="1">
      <alignment vertical="center"/>
    </xf>
    <xf numFmtId="3" fontId="19" fillId="0" borderId="33" xfId="0" applyNumberFormat="1" applyFont="1" applyFill="1" applyBorder="1" applyAlignment="1">
      <alignment vertical="center"/>
    </xf>
    <xf numFmtId="3" fontId="19" fillId="0" borderId="0" xfId="0" applyNumberFormat="1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9" fillId="0" borderId="56" xfId="0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3" fontId="58" fillId="0" borderId="0" xfId="0" applyNumberFormat="1" applyFont="1" applyFill="1" applyAlignment="1">
      <alignment vertical="center"/>
    </xf>
    <xf numFmtId="0" fontId="18" fillId="0" borderId="0" xfId="61" applyFont="1" applyAlignment="1">
      <alignment/>
      <protection/>
    </xf>
    <xf numFmtId="0" fontId="16" fillId="0" borderId="0" xfId="61" applyFont="1" applyAlignment="1">
      <alignment/>
      <protection/>
    </xf>
    <xf numFmtId="0" fontId="12" fillId="0" borderId="36" xfId="0" applyFont="1" applyFill="1" applyBorder="1" applyAlignment="1">
      <alignment horizontal="center" vertical="center"/>
    </xf>
    <xf numFmtId="4" fontId="21" fillId="0" borderId="21" xfId="61" applyNumberFormat="1" applyFont="1" applyBorder="1" applyAlignment="1">
      <alignment vertical="center"/>
      <protection/>
    </xf>
    <xf numFmtId="3" fontId="21" fillId="0" borderId="22" xfId="61" applyNumberFormat="1" applyFont="1" applyBorder="1" applyAlignment="1">
      <alignment vertical="center"/>
      <protection/>
    </xf>
    <xf numFmtId="3" fontId="21" fillId="0" borderId="23" xfId="61" applyNumberFormat="1" applyFont="1" applyBorder="1" applyAlignment="1">
      <alignment vertical="center"/>
      <protection/>
    </xf>
    <xf numFmtId="3" fontId="21" fillId="0" borderId="21" xfId="61" applyNumberFormat="1" applyFont="1" applyBorder="1" applyAlignment="1">
      <alignment vertical="center"/>
      <protection/>
    </xf>
    <xf numFmtId="3" fontId="21" fillId="0" borderId="17" xfId="61" applyNumberFormat="1" applyFont="1" applyBorder="1" applyAlignment="1">
      <alignment vertical="center"/>
      <protection/>
    </xf>
    <xf numFmtId="3" fontId="21" fillId="0" borderId="31" xfId="61" applyNumberFormat="1" applyFont="1" applyBorder="1" applyAlignment="1">
      <alignment vertical="center"/>
      <protection/>
    </xf>
    <xf numFmtId="3" fontId="13" fillId="0" borderId="21" xfId="61" applyNumberFormat="1" applyBorder="1" applyAlignment="1">
      <alignment vertical="center"/>
      <protection/>
    </xf>
    <xf numFmtId="3" fontId="13" fillId="0" borderId="22" xfId="61" applyNumberFormat="1" applyBorder="1" applyAlignment="1">
      <alignment vertical="center"/>
      <protection/>
    </xf>
    <xf numFmtId="3" fontId="13" fillId="0" borderId="23" xfId="61" applyNumberFormat="1" applyBorder="1" applyAlignment="1">
      <alignment vertical="center"/>
      <protection/>
    </xf>
    <xf numFmtId="3" fontId="13" fillId="0" borderId="17" xfId="61" applyNumberFormat="1" applyBorder="1" applyAlignment="1">
      <alignment vertical="center"/>
      <protection/>
    </xf>
    <xf numFmtId="3" fontId="13" fillId="0" borderId="31" xfId="61" applyNumberFormat="1" applyBorder="1" applyAlignment="1">
      <alignment vertical="center"/>
      <protection/>
    </xf>
    <xf numFmtId="3" fontId="13" fillId="33" borderId="21" xfId="61" applyNumberFormat="1" applyFill="1" applyBorder="1" applyAlignment="1">
      <alignment vertical="center"/>
      <protection/>
    </xf>
    <xf numFmtId="3" fontId="13" fillId="33" borderId="22" xfId="61" applyNumberFormat="1" applyFill="1" applyBorder="1" applyAlignment="1">
      <alignment vertical="center"/>
      <protection/>
    </xf>
    <xf numFmtId="3" fontId="13" fillId="33" borderId="17" xfId="61" applyNumberFormat="1" applyFill="1" applyBorder="1" applyAlignment="1">
      <alignment vertical="center"/>
      <protection/>
    </xf>
    <xf numFmtId="169" fontId="13" fillId="0" borderId="21" xfId="61" applyNumberFormat="1" applyBorder="1" applyAlignment="1">
      <alignment vertical="center"/>
      <protection/>
    </xf>
    <xf numFmtId="169" fontId="13" fillId="0" borderId="17" xfId="61" applyNumberFormat="1" applyBorder="1" applyAlignment="1">
      <alignment vertical="center"/>
      <protection/>
    </xf>
    <xf numFmtId="3" fontId="21" fillId="0" borderId="21" xfId="61" applyNumberFormat="1" applyFont="1" applyFill="1" applyBorder="1" applyAlignment="1">
      <alignment vertical="center"/>
      <protection/>
    </xf>
    <xf numFmtId="3" fontId="21" fillId="0" borderId="22" xfId="61" applyNumberFormat="1" applyFont="1" applyFill="1" applyBorder="1" applyAlignment="1">
      <alignment vertical="center"/>
      <protection/>
    </xf>
    <xf numFmtId="169" fontId="21" fillId="0" borderId="21" xfId="61" applyNumberFormat="1" applyFont="1" applyBorder="1" applyAlignment="1">
      <alignment vertical="center"/>
      <protection/>
    </xf>
    <xf numFmtId="169" fontId="21" fillId="0" borderId="17" xfId="61" applyNumberFormat="1" applyFont="1" applyBorder="1" applyAlignment="1">
      <alignment vertical="center"/>
      <protection/>
    </xf>
    <xf numFmtId="3" fontId="21" fillId="0" borderId="21" xfId="61" applyNumberFormat="1" applyFont="1" applyFill="1" applyBorder="1" applyAlignment="1">
      <alignment horizontal="center" vertical="center"/>
      <protection/>
    </xf>
    <xf numFmtId="3" fontId="21" fillId="0" borderId="22" xfId="61" applyNumberFormat="1" applyFont="1" applyFill="1" applyBorder="1" applyAlignment="1">
      <alignment horizontal="center" vertical="center"/>
      <protection/>
    </xf>
    <xf numFmtId="4" fontId="21" fillId="33" borderId="21" xfId="61" applyNumberFormat="1" applyFont="1" applyFill="1" applyBorder="1" applyAlignment="1">
      <alignment vertical="center"/>
      <protection/>
    </xf>
    <xf numFmtId="4" fontId="21" fillId="33" borderId="17" xfId="61" applyNumberFormat="1" applyFont="1" applyFill="1" applyBorder="1" applyAlignment="1">
      <alignment vertical="center"/>
      <protection/>
    </xf>
    <xf numFmtId="2" fontId="13" fillId="0" borderId="21" xfId="61" applyNumberFormat="1" applyBorder="1" applyAlignment="1">
      <alignment vertical="center"/>
      <protection/>
    </xf>
    <xf numFmtId="2" fontId="13" fillId="0" borderId="17" xfId="61" applyNumberFormat="1" applyBorder="1" applyAlignment="1">
      <alignment vertical="center"/>
      <protection/>
    </xf>
    <xf numFmtId="4" fontId="13" fillId="0" borderId="21" xfId="61" applyNumberFormat="1" applyBorder="1" applyAlignment="1">
      <alignment vertical="center"/>
      <protection/>
    </xf>
    <xf numFmtId="3" fontId="13" fillId="0" borderId="22" xfId="61" applyNumberFormat="1" applyFill="1" applyBorder="1" applyAlignment="1">
      <alignment vertical="center"/>
      <protection/>
    </xf>
    <xf numFmtId="3" fontId="13" fillId="0" borderId="31" xfId="61" applyNumberFormat="1" applyFont="1" applyBorder="1" applyAlignment="1">
      <alignment vertical="center"/>
      <protection/>
    </xf>
    <xf numFmtId="4" fontId="13" fillId="0" borderId="21" xfId="61" applyNumberFormat="1" applyFill="1" applyBorder="1" applyAlignment="1">
      <alignment vertical="center"/>
      <protection/>
    </xf>
    <xf numFmtId="3" fontId="13" fillId="0" borderId="17" xfId="61" applyNumberFormat="1" applyFill="1" applyBorder="1" applyAlignment="1">
      <alignment vertical="center"/>
      <protection/>
    </xf>
    <xf numFmtId="3" fontId="2" fillId="33" borderId="21" xfId="61" applyNumberFormat="1" applyFont="1" applyFill="1" applyBorder="1" applyAlignment="1">
      <alignment horizontal="center" vertical="center"/>
      <protection/>
    </xf>
    <xf numFmtId="3" fontId="2" fillId="33" borderId="22" xfId="61" applyNumberFormat="1" applyFont="1" applyFill="1" applyBorder="1" applyAlignment="1">
      <alignment horizontal="center" vertical="center"/>
      <protection/>
    </xf>
    <xf numFmtId="3" fontId="1" fillId="33" borderId="23" xfId="61" applyNumberFormat="1" applyFont="1" applyFill="1" applyBorder="1" applyAlignment="1">
      <alignment vertical="center"/>
      <protection/>
    </xf>
    <xf numFmtId="3" fontId="2" fillId="33" borderId="17" xfId="61" applyNumberFormat="1" applyFont="1" applyFill="1" applyBorder="1" applyAlignment="1">
      <alignment horizontal="center" vertical="center"/>
      <protection/>
    </xf>
    <xf numFmtId="3" fontId="21" fillId="33" borderId="31" xfId="61" applyNumberFormat="1" applyFont="1" applyFill="1" applyBorder="1" applyAlignment="1">
      <alignment vertical="center"/>
      <protection/>
    </xf>
    <xf numFmtId="0" fontId="13" fillId="0" borderId="0" xfId="61" applyAlignment="1">
      <alignment vertical="center"/>
      <protection/>
    </xf>
    <xf numFmtId="3" fontId="39" fillId="33" borderId="21" xfId="61" applyNumberFormat="1" applyFont="1" applyFill="1" applyBorder="1" applyAlignment="1">
      <alignment horizontal="center" vertical="center"/>
      <protection/>
    </xf>
    <xf numFmtId="3" fontId="39" fillId="33" borderId="22" xfId="61" applyNumberFormat="1" applyFont="1" applyFill="1" applyBorder="1" applyAlignment="1">
      <alignment horizontal="center" vertical="center"/>
      <protection/>
    </xf>
    <xf numFmtId="3" fontId="39" fillId="33" borderId="23" xfId="61" applyNumberFormat="1" applyFont="1" applyFill="1" applyBorder="1" applyAlignment="1">
      <alignment vertical="center"/>
      <protection/>
    </xf>
    <xf numFmtId="3" fontId="39" fillId="33" borderId="17" xfId="61" applyNumberFormat="1" applyFont="1" applyFill="1" applyBorder="1" applyAlignment="1">
      <alignment horizontal="center" vertical="center"/>
      <protection/>
    </xf>
    <xf numFmtId="3" fontId="40" fillId="33" borderId="31" xfId="61" applyNumberFormat="1" applyFont="1" applyFill="1" applyBorder="1" applyAlignment="1">
      <alignment vertical="center"/>
      <protection/>
    </xf>
    <xf numFmtId="0" fontId="42" fillId="0" borderId="22" xfId="0" applyFont="1" applyBorder="1" applyAlignment="1">
      <alignment horizontal="left"/>
    </xf>
    <xf numFmtId="49" fontId="65" fillId="34" borderId="21" xfId="0" applyNumberFormat="1" applyFont="1" applyFill="1" applyBorder="1" applyAlignment="1">
      <alignment vertical="center" wrapText="1"/>
    </xf>
    <xf numFmtId="0" fontId="65" fillId="34" borderId="22" xfId="0" applyFont="1" applyFill="1" applyBorder="1" applyAlignment="1">
      <alignment/>
    </xf>
    <xf numFmtId="0" fontId="65" fillId="0" borderId="0" xfId="0" applyFont="1" applyFill="1" applyAlignment="1">
      <alignment/>
    </xf>
    <xf numFmtId="0" fontId="65" fillId="0" borderId="0" xfId="0" applyFont="1" applyAlignment="1">
      <alignment/>
    </xf>
    <xf numFmtId="0" fontId="16" fillId="0" borderId="0" xfId="0" applyFont="1" applyBorder="1" applyAlignment="1">
      <alignment/>
    </xf>
    <xf numFmtId="3" fontId="49" fillId="0" borderId="105" xfId="0" applyNumberFormat="1" applyFont="1" applyBorder="1" applyAlignment="1">
      <alignment/>
    </xf>
    <xf numFmtId="3" fontId="20" fillId="0" borderId="105" xfId="0" applyNumberFormat="1" applyFont="1" applyBorder="1" applyAlignment="1">
      <alignment/>
    </xf>
    <xf numFmtId="3" fontId="47" fillId="0" borderId="105" xfId="0" applyNumberFormat="1" applyFont="1" applyBorder="1" applyAlignment="1">
      <alignment/>
    </xf>
    <xf numFmtId="3" fontId="52" fillId="0" borderId="105" xfId="0" applyNumberFormat="1" applyFont="1" applyBorder="1" applyAlignment="1">
      <alignment/>
    </xf>
    <xf numFmtId="3" fontId="54" fillId="0" borderId="105" xfId="0" applyNumberFormat="1" applyFont="1" applyBorder="1" applyAlignment="1">
      <alignment/>
    </xf>
    <xf numFmtId="3" fontId="56" fillId="0" borderId="105" xfId="0" applyNumberFormat="1" applyFont="1" applyBorder="1" applyAlignment="1">
      <alignment/>
    </xf>
    <xf numFmtId="3" fontId="19" fillId="0" borderId="105" xfId="0" applyNumberFormat="1" applyFont="1" applyBorder="1" applyAlignment="1">
      <alignment/>
    </xf>
    <xf numFmtId="3" fontId="15" fillId="0" borderId="105" xfId="0" applyNumberFormat="1" applyFont="1" applyBorder="1" applyAlignment="1">
      <alignment/>
    </xf>
    <xf numFmtId="0" fontId="16" fillId="0" borderId="0" xfId="0" applyFont="1" applyFill="1" applyAlignment="1">
      <alignment horizontal="right" vertical="center"/>
    </xf>
    <xf numFmtId="0" fontId="16" fillId="0" borderId="0" xfId="0" applyFont="1" applyAlignment="1">
      <alignment horizontal="right"/>
    </xf>
    <xf numFmtId="0" fontId="22" fillId="0" borderId="58" xfId="59" applyFont="1" applyBorder="1" applyAlignment="1">
      <alignment horizontal="left"/>
      <protection/>
    </xf>
    <xf numFmtId="0" fontId="22" fillId="0" borderId="56" xfId="59" applyFont="1" applyBorder="1" applyAlignment="1">
      <alignment horizontal="left"/>
      <protection/>
    </xf>
    <xf numFmtId="0" fontId="18" fillId="0" borderId="54" xfId="0" applyFont="1" applyBorder="1" applyAlignment="1">
      <alignment horizontal="right"/>
    </xf>
    <xf numFmtId="0" fontId="48" fillId="0" borderId="17" xfId="58" applyFont="1" applyBorder="1" applyAlignment="1">
      <alignment horizontal="left" wrapText="1"/>
      <protection/>
    </xf>
    <xf numFmtId="3" fontId="19" fillId="0" borderId="105" xfId="58" applyNumberFormat="1" applyFont="1" applyBorder="1">
      <alignment/>
      <protection/>
    </xf>
    <xf numFmtId="3" fontId="47" fillId="0" borderId="105" xfId="58" applyNumberFormat="1" applyFont="1" applyBorder="1">
      <alignment/>
      <protection/>
    </xf>
    <xf numFmtId="0" fontId="42" fillId="0" borderId="0" xfId="0" applyFont="1" applyFill="1" applyBorder="1" applyAlignment="1">
      <alignment horizontal="center" vertical="center" wrapText="1"/>
    </xf>
    <xf numFmtId="0" fontId="42" fillId="0" borderId="32" xfId="0" applyFont="1" applyFill="1" applyBorder="1" applyAlignment="1">
      <alignment horizontal="center" vertical="center"/>
    </xf>
    <xf numFmtId="0" fontId="43" fillId="0" borderId="54" xfId="0" applyFont="1" applyFill="1" applyBorder="1" applyAlignment="1">
      <alignment horizontal="center" vertical="center" wrapText="1"/>
    </xf>
    <xf numFmtId="0" fontId="43" fillId="0" borderId="32" xfId="0" applyFont="1" applyFill="1" applyBorder="1" applyAlignment="1">
      <alignment horizontal="center" vertical="center" wrapText="1"/>
    </xf>
    <xf numFmtId="0" fontId="42" fillId="0" borderId="42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49" fontId="16" fillId="0" borderId="21" xfId="0" applyNumberFormat="1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vertical="center" wrapText="1"/>
    </xf>
    <xf numFmtId="3" fontId="16" fillId="0" borderId="17" xfId="0" applyNumberFormat="1" applyFont="1" applyFill="1" applyBorder="1" applyAlignment="1">
      <alignment vertical="center"/>
    </xf>
    <xf numFmtId="3" fontId="16" fillId="0" borderId="22" xfId="0" applyNumberFormat="1" applyFont="1" applyFill="1" applyBorder="1" applyAlignment="1">
      <alignment vertical="center"/>
    </xf>
    <xf numFmtId="3" fontId="17" fillId="0" borderId="23" xfId="0" applyNumberFormat="1" applyFont="1" applyFill="1" applyBorder="1" applyAlignment="1">
      <alignment vertical="center"/>
    </xf>
    <xf numFmtId="49" fontId="16" fillId="0" borderId="44" xfId="0" applyNumberFormat="1" applyFont="1" applyFill="1" applyBorder="1" applyAlignment="1">
      <alignment horizontal="center" vertical="center"/>
    </xf>
    <xf numFmtId="0" fontId="17" fillId="0" borderId="43" xfId="0" applyFont="1" applyFill="1" applyBorder="1" applyAlignment="1">
      <alignment vertical="center" wrapText="1"/>
    </xf>
    <xf numFmtId="3" fontId="16" fillId="0" borderId="25" xfId="0" applyNumberFormat="1" applyFont="1" applyFill="1" applyBorder="1" applyAlignment="1">
      <alignment vertical="center"/>
    </xf>
    <xf numFmtId="0" fontId="17" fillId="0" borderId="0" xfId="0" applyFont="1" applyFill="1" applyAlignment="1">
      <alignment vertical="center"/>
    </xf>
    <xf numFmtId="49" fontId="17" fillId="0" borderId="40" xfId="0" applyNumberFormat="1" applyFont="1" applyFill="1" applyBorder="1" applyAlignment="1">
      <alignment horizontal="center" vertical="center"/>
    </xf>
    <xf numFmtId="0" fontId="17" fillId="0" borderId="94" xfId="0" applyFont="1" applyFill="1" applyBorder="1" applyAlignment="1">
      <alignment vertical="center"/>
    </xf>
    <xf numFmtId="3" fontId="17" fillId="0" borderId="106" xfId="0" applyNumberFormat="1" applyFont="1" applyFill="1" applyBorder="1" applyAlignment="1">
      <alignment vertical="center"/>
    </xf>
    <xf numFmtId="3" fontId="17" fillId="0" borderId="107" xfId="0" applyNumberFormat="1" applyFont="1" applyFill="1" applyBorder="1" applyAlignment="1">
      <alignment vertical="center"/>
    </xf>
    <xf numFmtId="3" fontId="17" fillId="0" borderId="0" xfId="0" applyNumberFormat="1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49" fontId="17" fillId="0" borderId="29" xfId="0" applyNumberFormat="1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vertical="center"/>
    </xf>
    <xf numFmtId="3" fontId="17" fillId="0" borderId="20" xfId="0" applyNumberFormat="1" applyFont="1" applyFill="1" applyBorder="1" applyAlignment="1">
      <alignment vertical="center"/>
    </xf>
    <xf numFmtId="3" fontId="17" fillId="0" borderId="33" xfId="0" applyNumberFormat="1" applyFont="1" applyFill="1" applyBorder="1" applyAlignment="1">
      <alignment vertical="center"/>
    </xf>
    <xf numFmtId="3" fontId="114" fillId="0" borderId="36" xfId="60" applyNumberFormat="1" applyFont="1" applyFill="1" applyBorder="1" applyAlignment="1">
      <alignment vertical="center" wrapText="1"/>
      <protection/>
    </xf>
    <xf numFmtId="3" fontId="114" fillId="0" borderId="37" xfId="60" applyNumberFormat="1" applyFont="1" applyFill="1" applyBorder="1" applyAlignment="1">
      <alignment vertical="center" wrapText="1"/>
      <protection/>
    </xf>
    <xf numFmtId="3" fontId="114" fillId="0" borderId="21" xfId="60" applyNumberFormat="1" applyFont="1" applyFill="1" applyBorder="1" applyAlignment="1">
      <alignment vertical="center" wrapText="1"/>
      <protection/>
    </xf>
    <xf numFmtId="3" fontId="114" fillId="0" borderId="22" xfId="60" applyNumberFormat="1" applyFont="1" applyFill="1" applyBorder="1" applyAlignment="1">
      <alignment vertical="center" wrapText="1"/>
      <protection/>
    </xf>
    <xf numFmtId="3" fontId="114" fillId="0" borderId="21" xfId="60" applyNumberFormat="1" applyFont="1" applyFill="1" applyBorder="1" applyAlignment="1">
      <alignment vertical="center"/>
      <protection/>
    </xf>
    <xf numFmtId="3" fontId="114" fillId="0" borderId="22" xfId="60" applyNumberFormat="1" applyFont="1" applyFill="1" applyBorder="1" applyAlignment="1">
      <alignment vertical="center"/>
      <protection/>
    </xf>
    <xf numFmtId="3" fontId="114" fillId="0" borderId="38" xfId="60" applyNumberFormat="1" applyFont="1" applyFill="1" applyBorder="1" applyAlignment="1">
      <alignment vertical="center" wrapText="1"/>
      <protection/>
    </xf>
    <xf numFmtId="3" fontId="114" fillId="0" borderId="17" xfId="60" applyNumberFormat="1" applyFont="1" applyFill="1" applyBorder="1" applyAlignment="1">
      <alignment vertical="center" wrapText="1"/>
      <protection/>
    </xf>
    <xf numFmtId="3" fontId="114" fillId="35" borderId="17" xfId="60" applyNumberFormat="1" applyFont="1" applyFill="1" applyBorder="1" applyAlignment="1">
      <alignment horizontal="right" vertical="center" wrapText="1"/>
      <protection/>
    </xf>
    <xf numFmtId="3" fontId="114" fillId="0" borderId="17" xfId="60" applyNumberFormat="1" applyFont="1" applyFill="1" applyBorder="1" applyAlignment="1">
      <alignment vertical="center"/>
      <protection/>
    </xf>
    <xf numFmtId="3" fontId="60" fillId="0" borderId="107" xfId="60" applyNumberFormat="1" applyFont="1" applyFill="1" applyBorder="1" applyAlignment="1">
      <alignment vertical="center"/>
      <protection/>
    </xf>
    <xf numFmtId="3" fontId="60" fillId="0" borderId="106" xfId="60" applyNumberFormat="1" applyFont="1" applyFill="1" applyBorder="1" applyAlignment="1">
      <alignment vertical="center"/>
      <protection/>
    </xf>
    <xf numFmtId="3" fontId="60" fillId="0" borderId="108" xfId="60" applyNumberFormat="1" applyFont="1" applyFill="1" applyBorder="1" applyAlignment="1">
      <alignment vertical="center"/>
      <protection/>
    </xf>
    <xf numFmtId="3" fontId="114" fillId="0" borderId="44" xfId="60" applyNumberFormat="1" applyFont="1" applyFill="1" applyBorder="1" applyAlignment="1">
      <alignment vertical="center"/>
      <protection/>
    </xf>
    <xf numFmtId="3" fontId="114" fillId="0" borderId="43" xfId="60" applyNumberFormat="1" applyFont="1" applyFill="1" applyBorder="1" applyAlignment="1">
      <alignment vertical="center"/>
      <protection/>
    </xf>
    <xf numFmtId="3" fontId="43" fillId="0" borderId="25" xfId="60" applyNumberFormat="1" applyFont="1" applyFill="1" applyBorder="1" applyAlignment="1">
      <alignment vertical="center"/>
      <protection/>
    </xf>
    <xf numFmtId="3" fontId="42" fillId="0" borderId="25" xfId="60" applyNumberFormat="1" applyFont="1" applyFill="1" applyBorder="1" applyAlignment="1">
      <alignment vertical="center"/>
      <protection/>
    </xf>
    <xf numFmtId="3" fontId="20" fillId="0" borderId="109" xfId="60" applyNumberFormat="1" applyFont="1" applyFill="1" applyBorder="1" applyAlignment="1">
      <alignment vertical="center"/>
      <protection/>
    </xf>
    <xf numFmtId="3" fontId="23" fillId="0" borderId="106" xfId="60" applyNumberFormat="1" applyFont="1" applyFill="1" applyBorder="1" applyAlignment="1">
      <alignment vertical="center"/>
      <protection/>
    </xf>
    <xf numFmtId="3" fontId="23" fillId="0" borderId="107" xfId="60" applyNumberFormat="1" applyFont="1" applyFill="1" applyBorder="1" applyAlignment="1">
      <alignment vertical="center"/>
      <protection/>
    </xf>
    <xf numFmtId="3" fontId="22" fillId="0" borderId="48" xfId="59" applyNumberFormat="1" applyFont="1" applyBorder="1" applyAlignment="1">
      <alignment vertical="center"/>
      <protection/>
    </xf>
    <xf numFmtId="0" fontId="61" fillId="0" borderId="95" xfId="59" applyFont="1" applyBorder="1" applyAlignment="1">
      <alignment horizontal="left"/>
      <protection/>
    </xf>
    <xf numFmtId="0" fontId="61" fillId="0" borderId="46" xfId="59" applyFont="1" applyBorder="1" applyAlignment="1">
      <alignment horizontal="left"/>
      <protection/>
    </xf>
    <xf numFmtId="3" fontId="61" fillId="0" borderId="48" xfId="59" applyNumberFormat="1" applyFont="1" applyFill="1" applyBorder="1">
      <alignment/>
      <protection/>
    </xf>
    <xf numFmtId="0" fontId="18" fillId="0" borderId="110" xfId="59" applyFont="1" applyBorder="1" applyAlignment="1">
      <alignment horizontal="right"/>
      <protection/>
    </xf>
    <xf numFmtId="0" fontId="61" fillId="0" borderId="80" xfId="59" applyFont="1" applyBorder="1">
      <alignment/>
      <protection/>
    </xf>
    <xf numFmtId="3" fontId="22" fillId="0" borderId="101" xfId="59" applyNumberFormat="1" applyFont="1" applyFill="1" applyBorder="1" applyAlignment="1">
      <alignment vertical="center"/>
      <protection/>
    </xf>
    <xf numFmtId="3" fontId="60" fillId="0" borderId="79" xfId="59" applyNumberFormat="1" applyFont="1" applyBorder="1" applyAlignment="1">
      <alignment horizontal="right" vertical="center"/>
      <protection/>
    </xf>
    <xf numFmtId="3" fontId="60" fillId="0" borderId="81" xfId="59" applyNumberFormat="1" applyFont="1" applyBorder="1" applyAlignment="1">
      <alignment horizontal="right" vertical="center"/>
      <protection/>
    </xf>
    <xf numFmtId="3" fontId="22" fillId="0" borderId="85" xfId="59" applyNumberFormat="1" applyFont="1" applyBorder="1">
      <alignment/>
      <protection/>
    </xf>
    <xf numFmtId="3" fontId="22" fillId="0" borderId="79" xfId="59" applyNumberFormat="1" applyFont="1" applyBorder="1">
      <alignment/>
      <protection/>
    </xf>
    <xf numFmtId="3" fontId="22" fillId="0" borderId="81" xfId="59" applyNumberFormat="1" applyFont="1" applyBorder="1">
      <alignment/>
      <protection/>
    </xf>
    <xf numFmtId="3" fontId="19" fillId="36" borderId="81" xfId="59" applyNumberFormat="1" applyFont="1" applyFill="1" applyBorder="1" applyAlignment="1">
      <alignment vertical="center"/>
      <protection/>
    </xf>
    <xf numFmtId="3" fontId="19" fillId="36" borderId="110" xfId="59" applyNumberFormat="1" applyFont="1" applyFill="1" applyBorder="1" applyAlignment="1">
      <alignment vertical="center"/>
      <protection/>
    </xf>
    <xf numFmtId="3" fontId="46" fillId="0" borderId="86" xfId="59" applyNumberFormat="1" applyFont="1" applyBorder="1">
      <alignment/>
      <protection/>
    </xf>
    <xf numFmtId="164" fontId="6" fillId="0" borderId="39" xfId="0" applyNumberFormat="1" applyFont="1" applyFill="1" applyBorder="1" applyAlignment="1">
      <alignment vertical="center"/>
    </xf>
    <xf numFmtId="164" fontId="6" fillId="0" borderId="23" xfId="0" applyNumberFormat="1" applyFont="1" applyFill="1" applyBorder="1" applyAlignment="1">
      <alignment vertical="center"/>
    </xf>
    <xf numFmtId="164" fontId="6" fillId="0" borderId="61" xfId="0" applyNumberFormat="1" applyFont="1" applyFill="1" applyBorder="1" applyAlignment="1">
      <alignment horizontal="right" vertical="center"/>
    </xf>
    <xf numFmtId="0" fontId="26" fillId="35" borderId="22" xfId="0" applyFont="1" applyFill="1" applyBorder="1" applyAlignment="1">
      <alignment/>
    </xf>
    <xf numFmtId="0" fontId="18" fillId="0" borderId="0" xfId="0" applyFont="1" applyAlignment="1">
      <alignment horizontal="center"/>
    </xf>
    <xf numFmtId="0" fontId="19" fillId="0" borderId="111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19" fillId="0" borderId="57" xfId="0" applyFont="1" applyBorder="1" applyAlignment="1">
      <alignment horizontal="center" vertical="center"/>
    </xf>
    <xf numFmtId="0" fontId="19" fillId="0" borderId="112" xfId="0" applyFont="1" applyBorder="1" applyAlignment="1">
      <alignment horizontal="center" vertical="center"/>
    </xf>
    <xf numFmtId="0" fontId="19" fillId="0" borderId="113" xfId="0" applyFont="1" applyBorder="1" applyAlignment="1">
      <alignment horizontal="center" vertical="center"/>
    </xf>
    <xf numFmtId="0" fontId="19" fillId="0" borderId="114" xfId="0" applyFont="1" applyBorder="1" applyAlignment="1">
      <alignment horizontal="center" vertical="center"/>
    </xf>
    <xf numFmtId="0" fontId="20" fillId="0" borderId="115" xfId="0" applyFont="1" applyBorder="1" applyAlignment="1">
      <alignment horizontal="center" vertical="center" wrapText="1"/>
    </xf>
    <xf numFmtId="0" fontId="19" fillId="0" borderId="116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/>
    </xf>
    <xf numFmtId="0" fontId="0" fillId="0" borderId="61" xfId="0" applyBorder="1" applyAlignment="1">
      <alignment/>
    </xf>
    <xf numFmtId="0" fontId="18" fillId="0" borderId="31" xfId="0" applyFont="1" applyBorder="1" applyAlignment="1">
      <alignment horizontal="center"/>
    </xf>
    <xf numFmtId="0" fontId="0" fillId="0" borderId="117" xfId="0" applyBorder="1" applyAlignment="1">
      <alignment/>
    </xf>
    <xf numFmtId="3" fontId="21" fillId="6" borderId="117" xfId="0" applyNumberFormat="1" applyFont="1" applyFill="1" applyBorder="1" applyAlignment="1">
      <alignment/>
    </xf>
    <xf numFmtId="3" fontId="0" fillId="0" borderId="35" xfId="0" applyNumberFormat="1" applyBorder="1" applyAlignment="1">
      <alignment/>
    </xf>
    <xf numFmtId="3" fontId="0" fillId="37" borderId="35" xfId="0" applyNumberFormat="1" applyFill="1" applyBorder="1" applyAlignment="1">
      <alignment/>
    </xf>
    <xf numFmtId="3" fontId="0" fillId="6" borderId="118" xfId="0" applyNumberFormat="1" applyFill="1" applyBorder="1" applyAlignment="1">
      <alignment/>
    </xf>
    <xf numFmtId="0" fontId="0" fillId="0" borderId="119" xfId="0" applyBorder="1" applyAlignment="1">
      <alignment/>
    </xf>
    <xf numFmtId="3" fontId="21" fillId="6" borderId="120" xfId="0" applyNumberFormat="1" applyFont="1" applyFill="1" applyBorder="1" applyAlignment="1">
      <alignment/>
    </xf>
    <xf numFmtId="3" fontId="0" fillId="0" borderId="18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37" borderId="22" xfId="0" applyNumberFormat="1" applyFill="1" applyBorder="1" applyAlignment="1">
      <alignment/>
    </xf>
    <xf numFmtId="3" fontId="0" fillId="6" borderId="31" xfId="0" applyNumberFormat="1" applyFill="1" applyBorder="1" applyAlignment="1">
      <alignment/>
    </xf>
    <xf numFmtId="0" fontId="21" fillId="0" borderId="41" xfId="0" applyFont="1" applyBorder="1" applyAlignment="1">
      <alignment/>
    </xf>
    <xf numFmtId="3" fontId="21" fillId="6" borderId="45" xfId="0" applyNumberFormat="1" applyFont="1" applyFill="1" applyBorder="1" applyAlignment="1">
      <alignment/>
    </xf>
    <xf numFmtId="3" fontId="21" fillId="38" borderId="94" xfId="0" applyNumberFormat="1" applyFont="1" applyFill="1" applyBorder="1" applyAlignment="1">
      <alignment/>
    </xf>
    <xf numFmtId="3" fontId="21" fillId="37" borderId="94" xfId="0" applyNumberFormat="1" applyFont="1" applyFill="1" applyBorder="1" applyAlignment="1">
      <alignment/>
    </xf>
    <xf numFmtId="3" fontId="21" fillId="37" borderId="121" xfId="0" applyNumberFormat="1" applyFont="1" applyFill="1" applyBorder="1" applyAlignment="1">
      <alignment/>
    </xf>
    <xf numFmtId="3" fontId="21" fillId="37" borderId="107" xfId="0" applyNumberFormat="1" applyFont="1" applyFill="1" applyBorder="1" applyAlignment="1">
      <alignment/>
    </xf>
    <xf numFmtId="3" fontId="21" fillId="6" borderId="40" xfId="0" applyNumberFormat="1" applyFont="1" applyFill="1" applyBorder="1" applyAlignment="1">
      <alignment/>
    </xf>
    <xf numFmtId="0" fontId="18" fillId="0" borderId="109" xfId="0" applyFont="1" applyBorder="1" applyAlignment="1">
      <alignment horizontal="center"/>
    </xf>
    <xf numFmtId="0" fontId="0" fillId="0" borderId="36" xfId="0" applyBorder="1" applyAlignment="1">
      <alignment horizontal="left"/>
    </xf>
    <xf numFmtId="3" fontId="0" fillId="6" borderId="34" xfId="0" applyNumberFormat="1" applyFill="1" applyBorder="1" applyAlignment="1">
      <alignment/>
    </xf>
    <xf numFmtId="0" fontId="0" fillId="0" borderId="122" xfId="0" applyBorder="1" applyAlignment="1">
      <alignment horizontal="right"/>
    </xf>
    <xf numFmtId="0" fontId="0" fillId="0" borderId="44" xfId="0" applyBorder="1" applyAlignment="1">
      <alignment horizontal="left"/>
    </xf>
    <xf numFmtId="3" fontId="0" fillId="6" borderId="21" xfId="0" applyNumberFormat="1" applyFill="1" applyBorder="1" applyAlignment="1">
      <alignment/>
    </xf>
    <xf numFmtId="0" fontId="18" fillId="0" borderId="115" xfId="0" applyFont="1" applyBorder="1" applyAlignment="1">
      <alignment horizontal="center" vertical="center"/>
    </xf>
    <xf numFmtId="0" fontId="21" fillId="0" borderId="73" xfId="0" applyFont="1" applyBorder="1" applyAlignment="1">
      <alignment/>
    </xf>
    <xf numFmtId="3" fontId="21" fillId="6" borderId="73" xfId="0" applyNumberFormat="1" applyFont="1" applyFill="1" applyBorder="1" applyAlignment="1">
      <alignment/>
    </xf>
    <xf numFmtId="3" fontId="21" fillId="38" borderId="123" xfId="0" applyNumberFormat="1" applyFont="1" applyFill="1" applyBorder="1" applyAlignment="1">
      <alignment horizontal="right"/>
    </xf>
    <xf numFmtId="3" fontId="21" fillId="6" borderId="97" xfId="0" applyNumberFormat="1" applyFont="1" applyFill="1" applyBorder="1" applyAlignment="1">
      <alignment/>
    </xf>
    <xf numFmtId="0" fontId="18" fillId="0" borderId="111" xfId="0" applyFont="1" applyBorder="1" applyAlignment="1">
      <alignment horizontal="center" vertical="center"/>
    </xf>
    <xf numFmtId="3" fontId="13" fillId="6" borderId="34" xfId="0" applyNumberFormat="1" applyFont="1" applyFill="1" applyBorder="1" applyAlignment="1">
      <alignment horizontal="right"/>
    </xf>
    <xf numFmtId="3" fontId="0" fillId="0" borderId="35" xfId="0" applyNumberFormat="1" applyBorder="1" applyAlignment="1">
      <alignment horizontal="right" vertical="center"/>
    </xf>
    <xf numFmtId="0" fontId="18" fillId="0" borderId="31" xfId="0" applyFont="1" applyBorder="1" applyAlignment="1">
      <alignment horizontal="center" vertical="center"/>
    </xf>
    <xf numFmtId="3" fontId="13" fillId="6" borderId="44" xfId="0" applyNumberFormat="1" applyFont="1" applyFill="1" applyBorder="1" applyAlignment="1">
      <alignment/>
    </xf>
    <xf numFmtId="3" fontId="0" fillId="0" borderId="17" xfId="0" applyNumberFormat="1" applyBorder="1" applyAlignment="1">
      <alignment/>
    </xf>
    <xf numFmtId="0" fontId="18" fillId="0" borderId="21" xfId="0" applyFont="1" applyBorder="1" applyAlignment="1">
      <alignment horizontal="center"/>
    </xf>
    <xf numFmtId="0" fontId="0" fillId="0" borderId="34" xfId="0" applyBorder="1" applyAlignment="1">
      <alignment horizontal="left"/>
    </xf>
    <xf numFmtId="0" fontId="18" fillId="0" borderId="115" xfId="0" applyFont="1" applyBorder="1" applyAlignment="1">
      <alignment horizontal="center"/>
    </xf>
    <xf numFmtId="0" fontId="21" fillId="0" borderId="97" xfId="0" applyFont="1" applyBorder="1" applyAlignment="1">
      <alignment/>
    </xf>
    <xf numFmtId="3" fontId="21" fillId="38" borderId="74" xfId="0" applyNumberFormat="1" applyFont="1" applyFill="1" applyBorder="1" applyAlignment="1">
      <alignment/>
    </xf>
    <xf numFmtId="3" fontId="0" fillId="0" borderId="122" xfId="0" applyNumberFormat="1" applyBorder="1" applyAlignment="1">
      <alignment/>
    </xf>
    <xf numFmtId="3" fontId="0" fillId="37" borderId="78" xfId="0" applyNumberFormat="1" applyFill="1" applyBorder="1" applyAlignment="1">
      <alignment/>
    </xf>
    <xf numFmtId="3" fontId="0" fillId="37" borderId="18" xfId="0" applyNumberFormat="1" applyFill="1" applyBorder="1" applyAlignment="1">
      <alignment/>
    </xf>
    <xf numFmtId="3" fontId="0" fillId="37" borderId="33" xfId="0" applyNumberFormat="1" applyFill="1" applyBorder="1" applyAlignment="1">
      <alignment/>
    </xf>
    <xf numFmtId="0" fontId="0" fillId="0" borderId="35" xfId="0" applyBorder="1" applyAlignment="1">
      <alignment horizontal="right"/>
    </xf>
    <xf numFmtId="0" fontId="0" fillId="0" borderId="124" xfId="0" applyBorder="1" applyAlignment="1">
      <alignment horizontal="left"/>
    </xf>
    <xf numFmtId="0" fontId="0" fillId="0" borderId="22" xfId="0" applyBorder="1" applyAlignment="1">
      <alignment horizontal="right"/>
    </xf>
    <xf numFmtId="0" fontId="0" fillId="0" borderId="125" xfId="0" applyBorder="1" applyAlignment="1">
      <alignment/>
    </xf>
    <xf numFmtId="3" fontId="0" fillId="6" borderId="29" xfId="0" applyNumberFormat="1" applyFill="1" applyBorder="1" applyAlignment="1">
      <alignment/>
    </xf>
    <xf numFmtId="3" fontId="0" fillId="37" borderId="94" xfId="0" applyNumberFormat="1" applyFill="1" applyBorder="1" applyAlignment="1">
      <alignment/>
    </xf>
    <xf numFmtId="3" fontId="0" fillId="37" borderId="107" xfId="0" applyNumberFormat="1" applyFill="1" applyBorder="1" applyAlignment="1">
      <alignment/>
    </xf>
    <xf numFmtId="3" fontId="0" fillId="37" borderId="74" xfId="0" applyNumberFormat="1" applyFill="1" applyBorder="1" applyAlignment="1">
      <alignment/>
    </xf>
    <xf numFmtId="3" fontId="0" fillId="37" borderId="126" xfId="0" applyNumberFormat="1" applyFill="1" applyBorder="1" applyAlignment="1">
      <alignment/>
    </xf>
    <xf numFmtId="0" fontId="14" fillId="0" borderId="0" xfId="0" applyFont="1" applyFill="1" applyAlignment="1">
      <alignment vertical="center"/>
    </xf>
    <xf numFmtId="0" fontId="43" fillId="0" borderId="0" xfId="0" applyFont="1" applyFill="1" applyBorder="1" applyAlignment="1">
      <alignment horizontal="center" vertical="center"/>
    </xf>
    <xf numFmtId="0" fontId="0" fillId="0" borderId="118" xfId="0" applyBorder="1" applyAlignment="1">
      <alignment/>
    </xf>
    <xf numFmtId="3" fontId="22" fillId="0" borderId="62" xfId="59" applyNumberFormat="1" applyFont="1" applyBorder="1" applyAlignment="1">
      <alignment vertical="center"/>
      <protection/>
    </xf>
    <xf numFmtId="3" fontId="22" fillId="0" borderId="102" xfId="59" applyNumberFormat="1" applyFont="1" applyBorder="1" applyAlignment="1">
      <alignment vertical="center"/>
      <protection/>
    </xf>
    <xf numFmtId="3" fontId="22" fillId="0" borderId="101" xfId="59" applyNumberFormat="1" applyFont="1" applyBorder="1" applyAlignment="1">
      <alignment vertical="center"/>
      <protection/>
    </xf>
    <xf numFmtId="3" fontId="22" fillId="0" borderId="0" xfId="59" applyNumberFormat="1" applyFont="1" applyFill="1" applyBorder="1" applyAlignment="1">
      <alignment vertical="center"/>
      <protection/>
    </xf>
    <xf numFmtId="3" fontId="19" fillId="36" borderId="74" xfId="59" applyNumberFormat="1" applyFont="1" applyFill="1" applyBorder="1" applyAlignment="1">
      <alignment horizontal="right" vertical="center"/>
      <protection/>
    </xf>
    <xf numFmtId="3" fontId="19" fillId="36" borderId="89" xfId="59" applyNumberFormat="1" applyFont="1" applyFill="1" applyBorder="1" applyAlignment="1">
      <alignment vertical="center"/>
      <protection/>
    </xf>
    <xf numFmtId="3" fontId="19" fillId="36" borderId="96" xfId="59" applyNumberFormat="1" applyFont="1" applyFill="1" applyBorder="1" applyAlignment="1">
      <alignment vertical="center"/>
      <protection/>
    </xf>
    <xf numFmtId="0" fontId="22" fillId="36" borderId="76" xfId="59" applyFont="1" applyFill="1" applyBorder="1" applyAlignment="1">
      <alignment horizontal="left" vertical="center"/>
      <protection/>
    </xf>
    <xf numFmtId="3" fontId="15" fillId="36" borderId="97" xfId="59" applyNumberFormat="1" applyFont="1" applyFill="1" applyBorder="1" applyAlignment="1">
      <alignment horizontal="right" vertical="center"/>
      <protection/>
    </xf>
    <xf numFmtId="3" fontId="15" fillId="36" borderId="98" xfId="59" applyNumberFormat="1" applyFont="1" applyFill="1" applyBorder="1" applyAlignment="1">
      <alignment horizontal="right" vertical="center"/>
      <protection/>
    </xf>
    <xf numFmtId="3" fontId="60" fillId="36" borderId="89" xfId="59" applyNumberFormat="1" applyFont="1" applyFill="1" applyBorder="1" applyAlignment="1">
      <alignment horizontal="right" vertical="center"/>
      <protection/>
    </xf>
    <xf numFmtId="3" fontId="60" fillId="36" borderId="74" xfId="59" applyNumberFormat="1" applyFont="1" applyFill="1" applyBorder="1" applyAlignment="1">
      <alignment horizontal="right" vertical="center"/>
      <protection/>
    </xf>
    <xf numFmtId="3" fontId="60" fillId="36" borderId="75" xfId="59" applyNumberFormat="1" applyFont="1" applyFill="1" applyBorder="1" applyAlignment="1">
      <alignment vertical="center"/>
      <protection/>
    </xf>
    <xf numFmtId="3" fontId="60" fillId="36" borderId="76" xfId="59" applyNumberFormat="1" applyFont="1" applyFill="1" applyBorder="1" applyAlignment="1">
      <alignment vertical="center"/>
      <protection/>
    </xf>
    <xf numFmtId="3" fontId="60" fillId="36" borderId="74" xfId="59" applyNumberFormat="1" applyFont="1" applyFill="1" applyBorder="1" applyAlignment="1">
      <alignment vertical="center"/>
      <protection/>
    </xf>
    <xf numFmtId="0" fontId="18" fillId="0" borderId="0" xfId="0" applyFont="1" applyBorder="1" applyAlignment="1">
      <alignment horizontal="center"/>
    </xf>
    <xf numFmtId="0" fontId="19" fillId="0" borderId="127" xfId="59" applyFont="1" applyBorder="1" applyAlignment="1">
      <alignment horizontal="center" vertical="center"/>
      <protection/>
    </xf>
    <xf numFmtId="3" fontId="15" fillId="0" borderId="91" xfId="59" applyNumberFormat="1" applyFont="1" applyBorder="1">
      <alignment/>
      <protection/>
    </xf>
    <xf numFmtId="3" fontId="46" fillId="0" borderId="99" xfId="59" applyNumberFormat="1" applyFont="1" applyBorder="1">
      <alignment/>
      <protection/>
    </xf>
    <xf numFmtId="3" fontId="60" fillId="0" borderId="72" xfId="59" applyNumberFormat="1" applyFont="1" applyBorder="1" applyAlignment="1">
      <alignment horizontal="right" vertical="center"/>
      <protection/>
    </xf>
    <xf numFmtId="0" fontId="15" fillId="0" borderId="128" xfId="59" applyFont="1" applyBorder="1" applyAlignment="1">
      <alignment horizontal="right" vertical="center"/>
      <protection/>
    </xf>
    <xf numFmtId="0" fontId="19" fillId="0" borderId="50" xfId="59" applyFont="1" applyBorder="1" applyAlignment="1">
      <alignment horizontal="center" vertical="center"/>
      <protection/>
    </xf>
    <xf numFmtId="0" fontId="19" fillId="0" borderId="129" xfId="60" applyFont="1" applyFill="1" applyBorder="1" applyAlignment="1">
      <alignment horizontal="center" vertical="center" wrapText="1"/>
      <protection/>
    </xf>
    <xf numFmtId="0" fontId="19" fillId="0" borderId="45" xfId="59" applyFont="1" applyBorder="1" applyAlignment="1">
      <alignment horizontal="center" vertical="center"/>
      <protection/>
    </xf>
    <xf numFmtId="0" fontId="19" fillId="0" borderId="121" xfId="59" applyFont="1" applyBorder="1" applyAlignment="1">
      <alignment horizontal="center" vertical="center"/>
      <protection/>
    </xf>
    <xf numFmtId="0" fontId="23" fillId="0" borderId="79" xfId="59" applyFont="1" applyBorder="1" applyAlignment="1">
      <alignment horizontal="right" vertical="center"/>
      <protection/>
    </xf>
    <xf numFmtId="3" fontId="19" fillId="0" borderId="81" xfId="59" applyNumberFormat="1" applyFont="1" applyBorder="1" applyAlignment="1">
      <alignment horizontal="right" vertical="center"/>
      <protection/>
    </xf>
    <xf numFmtId="3" fontId="19" fillId="0" borderId="80" xfId="59" applyNumberFormat="1" applyFont="1" applyBorder="1" applyAlignment="1">
      <alignment vertical="center"/>
      <protection/>
    </xf>
    <xf numFmtId="3" fontId="19" fillId="0" borderId="69" xfId="59" applyNumberFormat="1" applyFont="1" applyBorder="1" applyAlignment="1">
      <alignment vertical="center"/>
      <protection/>
    </xf>
    <xf numFmtId="3" fontId="61" fillId="0" borderId="80" xfId="59" applyNumberFormat="1" applyFont="1" applyBorder="1" applyAlignment="1">
      <alignment vertical="center"/>
      <protection/>
    </xf>
    <xf numFmtId="3" fontId="23" fillId="0" borderId="80" xfId="59" applyNumberFormat="1" applyFont="1" applyFill="1" applyBorder="1" applyAlignment="1">
      <alignment vertical="center"/>
      <protection/>
    </xf>
    <xf numFmtId="3" fontId="15" fillId="0" borderId="83" xfId="59" applyNumberFormat="1" applyFont="1" applyBorder="1" applyAlignment="1">
      <alignment vertical="center"/>
      <protection/>
    </xf>
    <xf numFmtId="3" fontId="60" fillId="0" borderId="79" xfId="59" applyNumberFormat="1" applyFont="1" applyBorder="1" applyAlignment="1">
      <alignment vertical="center"/>
      <protection/>
    </xf>
    <xf numFmtId="3" fontId="60" fillId="0" borderId="81" xfId="59" applyNumberFormat="1" applyFont="1" applyBorder="1" applyAlignment="1">
      <alignment vertical="center"/>
      <protection/>
    </xf>
    <xf numFmtId="3" fontId="60" fillId="0" borderId="85" xfId="59" applyNumberFormat="1" applyFont="1" applyBorder="1" applyAlignment="1">
      <alignment vertical="center"/>
      <protection/>
    </xf>
    <xf numFmtId="0" fontId="19" fillId="0" borderId="103" xfId="59" applyFont="1" applyBorder="1" applyAlignment="1">
      <alignment horizontal="center"/>
      <protection/>
    </xf>
    <xf numFmtId="0" fontId="19" fillId="0" borderId="103" xfId="59" applyFont="1" applyBorder="1" applyAlignment="1">
      <alignment horizontal="center" vertical="center"/>
      <protection/>
    </xf>
    <xf numFmtId="3" fontId="19" fillId="36" borderId="97" xfId="59" applyNumberFormat="1" applyFont="1" applyFill="1" applyBorder="1" applyAlignment="1">
      <alignment horizontal="right" vertical="center"/>
      <protection/>
    </xf>
    <xf numFmtId="3" fontId="60" fillId="36" borderId="76" xfId="59" applyNumberFormat="1" applyFont="1" applyFill="1" applyBorder="1" applyAlignment="1">
      <alignment horizontal="right" vertical="center"/>
      <protection/>
    </xf>
    <xf numFmtId="3" fontId="60" fillId="36" borderId="96" xfId="59" applyNumberFormat="1" applyFont="1" applyFill="1" applyBorder="1" applyAlignment="1">
      <alignment vertical="center"/>
      <protection/>
    </xf>
    <xf numFmtId="0" fontId="22" fillId="0" borderId="57" xfId="59" applyFont="1" applyBorder="1" applyAlignment="1">
      <alignment horizontal="left" wrapText="1"/>
      <protection/>
    </xf>
    <xf numFmtId="0" fontId="22" fillId="0" borderId="0" xfId="59" applyFont="1" applyBorder="1" applyAlignment="1">
      <alignment horizontal="left" wrapText="1"/>
      <protection/>
    </xf>
    <xf numFmtId="0" fontId="22" fillId="0" borderId="57" xfId="59" applyFont="1" applyBorder="1" applyAlignment="1">
      <alignment horizontal="left" vertical="center"/>
      <protection/>
    </xf>
    <xf numFmtId="0" fontId="22" fillId="0" borderId="0" xfId="59" applyFont="1" applyBorder="1" applyAlignment="1">
      <alignment horizontal="left" vertical="center"/>
      <protection/>
    </xf>
    <xf numFmtId="0" fontId="22" fillId="0" borderId="57" xfId="59" applyFont="1" applyBorder="1" applyAlignment="1">
      <alignment horizontal="left" vertical="center" wrapText="1"/>
      <protection/>
    </xf>
    <xf numFmtId="0" fontId="22" fillId="0" borderId="0" xfId="59" applyFont="1" applyBorder="1" applyAlignment="1">
      <alignment horizontal="left" vertical="center" wrapText="1"/>
      <protection/>
    </xf>
    <xf numFmtId="0" fontId="23" fillId="0" borderId="95" xfId="59" applyFont="1" applyBorder="1" applyAlignment="1">
      <alignment horizontal="right" vertical="center"/>
      <protection/>
    </xf>
    <xf numFmtId="0" fontId="23" fillId="0" borderId="46" xfId="59" applyFont="1" applyBorder="1" applyAlignment="1">
      <alignment horizontal="right" vertical="center"/>
      <protection/>
    </xf>
    <xf numFmtId="0" fontId="23" fillId="0" borderId="26" xfId="59" applyFont="1" applyBorder="1" applyAlignment="1">
      <alignment horizontal="right" vertical="center"/>
      <protection/>
    </xf>
    <xf numFmtId="3" fontId="19" fillId="0" borderId="130" xfId="59" applyNumberFormat="1" applyFont="1" applyBorder="1" applyAlignment="1">
      <alignment horizontal="right" vertical="center"/>
      <protection/>
    </xf>
    <xf numFmtId="3" fontId="19" fillId="0" borderId="131" xfId="59" applyNumberFormat="1" applyFont="1" applyBorder="1" applyAlignment="1">
      <alignment horizontal="right" vertical="center"/>
      <protection/>
    </xf>
    <xf numFmtId="49" fontId="16" fillId="0" borderId="29" xfId="0" applyNumberFormat="1" applyFont="1" applyFill="1" applyBorder="1" applyAlignment="1">
      <alignment horizontal="center" vertical="center"/>
    </xf>
    <xf numFmtId="3" fontId="16" fillId="0" borderId="18" xfId="0" applyNumberFormat="1" applyFont="1" applyFill="1" applyBorder="1" applyAlignment="1">
      <alignment vertical="center"/>
    </xf>
    <xf numFmtId="3" fontId="43" fillId="0" borderId="124" xfId="60" applyNumberFormat="1" applyFont="1" applyFill="1" applyBorder="1" applyAlignment="1">
      <alignment vertical="center" wrapText="1"/>
      <protection/>
    </xf>
    <xf numFmtId="3" fontId="43" fillId="0" borderId="54" xfId="60" applyNumberFormat="1" applyFont="1" applyFill="1" applyBorder="1" applyAlignment="1">
      <alignment vertical="center" wrapText="1"/>
      <protection/>
    </xf>
    <xf numFmtId="49" fontId="42" fillId="0" borderId="29" xfId="60" applyNumberFormat="1" applyFont="1" applyFill="1" applyBorder="1" applyAlignment="1">
      <alignment horizontal="center" vertical="center"/>
      <protection/>
    </xf>
    <xf numFmtId="0" fontId="20" fillId="0" borderId="18" xfId="60" applyFont="1" applyFill="1" applyBorder="1" applyAlignment="1">
      <alignment vertical="center" wrapText="1"/>
      <protection/>
    </xf>
    <xf numFmtId="3" fontId="43" fillId="0" borderId="33" xfId="60" applyNumberFormat="1" applyFont="1" applyFill="1" applyBorder="1" applyAlignment="1">
      <alignment vertical="center" wrapText="1"/>
      <protection/>
    </xf>
    <xf numFmtId="0" fontId="18" fillId="0" borderId="72" xfId="59" applyFont="1" applyBorder="1">
      <alignment/>
      <protection/>
    </xf>
    <xf numFmtId="3" fontId="15" fillId="0" borderId="41" xfId="59" applyNumberFormat="1" applyFont="1" applyBorder="1" applyAlignment="1">
      <alignment horizontal="right" vertical="center"/>
      <protection/>
    </xf>
    <xf numFmtId="3" fontId="19" fillId="0" borderId="26" xfId="59" applyNumberFormat="1" applyFont="1" applyBorder="1" applyAlignment="1">
      <alignment horizontal="right" vertical="center"/>
      <protection/>
    </xf>
    <xf numFmtId="0" fontId="22" fillId="36" borderId="89" xfId="59" applyFont="1" applyFill="1" applyBorder="1" applyAlignment="1">
      <alignment horizontal="left" vertical="center" wrapText="1"/>
      <protection/>
    </xf>
    <xf numFmtId="0" fontId="22" fillId="0" borderId="77" xfId="59" applyFont="1" applyBorder="1" applyAlignment="1">
      <alignment horizontal="left"/>
      <protection/>
    </xf>
    <xf numFmtId="3" fontId="15" fillId="0" borderId="132" xfId="59" applyNumberFormat="1" applyFont="1" applyBorder="1" applyAlignment="1">
      <alignment horizontal="right" vertical="center"/>
      <protection/>
    </xf>
    <xf numFmtId="3" fontId="22" fillId="0" borderId="108" xfId="59" applyNumberFormat="1" applyFont="1" applyBorder="1" applyAlignment="1">
      <alignment vertical="center"/>
      <protection/>
    </xf>
    <xf numFmtId="3" fontId="22" fillId="0" borderId="0" xfId="59" applyNumberFormat="1" applyFont="1" applyBorder="1" applyAlignment="1">
      <alignment/>
      <protection/>
    </xf>
    <xf numFmtId="3" fontId="60" fillId="0" borderId="128" xfId="59" applyNumberFormat="1" applyFont="1" applyBorder="1" applyAlignment="1">
      <alignment vertical="center"/>
      <protection/>
    </xf>
    <xf numFmtId="3" fontId="60" fillId="0" borderId="133" xfId="59" applyNumberFormat="1" applyFont="1" applyBorder="1" applyAlignment="1">
      <alignment vertical="center"/>
      <protection/>
    </xf>
    <xf numFmtId="0" fontId="2" fillId="35" borderId="0" xfId="61" applyFont="1" applyFill="1" applyBorder="1" applyAlignment="1">
      <alignment horizontal="right"/>
      <protection/>
    </xf>
    <xf numFmtId="3" fontId="2" fillId="35" borderId="0" xfId="61" applyNumberFormat="1" applyFont="1" applyFill="1" applyBorder="1" applyAlignment="1">
      <alignment horizontal="center" vertical="center"/>
      <protection/>
    </xf>
    <xf numFmtId="3" fontId="1" fillId="35" borderId="0" xfId="61" applyNumberFormat="1" applyFont="1" applyFill="1" applyBorder="1" applyAlignment="1">
      <alignment vertical="center"/>
      <protection/>
    </xf>
    <xf numFmtId="3" fontId="21" fillId="35" borderId="0" xfId="61" applyNumberFormat="1" applyFont="1" applyFill="1" applyBorder="1" applyAlignment="1">
      <alignment vertical="center"/>
      <protection/>
    </xf>
    <xf numFmtId="3" fontId="2" fillId="35" borderId="0" xfId="61" applyNumberFormat="1" applyFont="1" applyFill="1">
      <alignment/>
      <protection/>
    </xf>
    <xf numFmtId="3" fontId="1" fillId="35" borderId="0" xfId="61" applyNumberFormat="1" applyFont="1" applyFill="1">
      <alignment/>
      <protection/>
    </xf>
    <xf numFmtId="0" fontId="2" fillId="35" borderId="0" xfId="61" applyFont="1" applyFill="1">
      <alignment/>
      <protection/>
    </xf>
    <xf numFmtId="0" fontId="13" fillId="35" borderId="0" xfId="61" applyFill="1">
      <alignment/>
      <protection/>
    </xf>
    <xf numFmtId="3" fontId="0" fillId="6" borderId="36" xfId="0" applyNumberFormat="1" applyFill="1" applyBorder="1" applyAlignment="1">
      <alignment/>
    </xf>
    <xf numFmtId="0" fontId="0" fillId="0" borderId="31" xfId="0" applyBorder="1" applyAlignment="1">
      <alignment horizontal="left"/>
    </xf>
    <xf numFmtId="0" fontId="0" fillId="0" borderId="134" xfId="0" applyBorder="1" applyAlignment="1">
      <alignment horizontal="left"/>
    </xf>
    <xf numFmtId="3" fontId="0" fillId="37" borderId="35" xfId="0" applyNumberFormat="1" applyFill="1" applyBorder="1" applyAlignment="1">
      <alignment horizontal="right" vertical="center"/>
    </xf>
    <xf numFmtId="3" fontId="0" fillId="37" borderId="17" xfId="0" applyNumberFormat="1" applyFill="1" applyBorder="1" applyAlignment="1">
      <alignment/>
    </xf>
    <xf numFmtId="3" fontId="0" fillId="6" borderId="119" xfId="0" applyNumberFormat="1" applyFill="1" applyBorder="1" applyAlignment="1">
      <alignment/>
    </xf>
    <xf numFmtId="3" fontId="0" fillId="6" borderId="125" xfId="0" applyNumberFormat="1" applyFill="1" applyBorder="1" applyAlignment="1">
      <alignment/>
    </xf>
    <xf numFmtId="3" fontId="0" fillId="37" borderId="135" xfId="0" applyNumberFormat="1" applyFill="1" applyBorder="1" applyAlignment="1">
      <alignment horizontal="right" vertical="center"/>
    </xf>
    <xf numFmtId="3" fontId="0" fillId="37" borderId="14" xfId="0" applyNumberFormat="1" applyFill="1" applyBorder="1" applyAlignment="1">
      <alignment/>
    </xf>
    <xf numFmtId="3" fontId="21" fillId="37" borderId="14" xfId="0" applyNumberFormat="1" applyFont="1" applyFill="1" applyBorder="1" applyAlignment="1">
      <alignment/>
    </xf>
    <xf numFmtId="3" fontId="0" fillId="37" borderId="136" xfId="0" applyNumberFormat="1" applyFill="1" applyBorder="1" applyAlignment="1">
      <alignment horizontal="right" vertical="center"/>
    </xf>
    <xf numFmtId="3" fontId="0" fillId="0" borderId="20" xfId="0" applyNumberFormat="1" applyBorder="1" applyAlignment="1">
      <alignment/>
    </xf>
    <xf numFmtId="3" fontId="0" fillId="6" borderId="134" xfId="0" applyNumberFormat="1" applyFill="1" applyBorder="1" applyAlignment="1">
      <alignment/>
    </xf>
    <xf numFmtId="3" fontId="0" fillId="6" borderId="137" xfId="0" applyNumberFormat="1" applyFill="1" applyBorder="1" applyAlignment="1">
      <alignment/>
    </xf>
    <xf numFmtId="0" fontId="20" fillId="0" borderId="22" xfId="57" applyFont="1" applyBorder="1" applyAlignment="1">
      <alignment horizontal="center" vertical="center"/>
      <protection/>
    </xf>
    <xf numFmtId="3" fontId="43" fillId="0" borderId="22" xfId="58" applyNumberFormat="1" applyFont="1" applyBorder="1" applyAlignment="1">
      <alignment vertical="center"/>
      <protection/>
    </xf>
    <xf numFmtId="3" fontId="19" fillId="0" borderId="22" xfId="58" applyNumberFormat="1" applyFont="1" applyBorder="1" applyAlignment="1">
      <alignment vertical="center"/>
      <protection/>
    </xf>
    <xf numFmtId="3" fontId="48" fillId="0" borderId="22" xfId="58" applyNumberFormat="1" applyFont="1" applyBorder="1" applyAlignment="1">
      <alignment vertical="center"/>
      <protection/>
    </xf>
    <xf numFmtId="3" fontId="47" fillId="0" borderId="22" xfId="58" applyNumberFormat="1" applyFont="1" applyBorder="1" applyAlignment="1">
      <alignment vertical="center"/>
      <protection/>
    </xf>
    <xf numFmtId="0" fontId="48" fillId="0" borderId="17" xfId="58" applyFont="1" applyBorder="1" applyAlignment="1">
      <alignment horizontal="left" vertical="center" wrapText="1"/>
      <protection/>
    </xf>
    <xf numFmtId="3" fontId="29" fillId="0" borderId="22" xfId="48" applyNumberFormat="1" applyFont="1" applyBorder="1" applyAlignment="1">
      <alignment horizontal="right" vertical="center"/>
    </xf>
    <xf numFmtId="0" fontId="29" fillId="0" borderId="22" xfId="57" applyFont="1" applyBorder="1" applyAlignment="1">
      <alignment vertical="center"/>
      <protection/>
    </xf>
    <xf numFmtId="0" fontId="30" fillId="0" borderId="0" xfId="57" applyFont="1" applyAlignment="1">
      <alignment vertical="center"/>
      <protection/>
    </xf>
    <xf numFmtId="0" fontId="21" fillId="7" borderId="21" xfId="0" applyFont="1" applyFill="1" applyBorder="1" applyAlignment="1">
      <alignment vertical="center" wrapText="1"/>
    </xf>
    <xf numFmtId="3" fontId="13" fillId="0" borderId="0" xfId="61" applyNumberFormat="1" applyFont="1" applyAlignment="1">
      <alignment vertical="center"/>
      <protection/>
    </xf>
    <xf numFmtId="0" fontId="0" fillId="0" borderId="102" xfId="0" applyBorder="1" applyAlignment="1">
      <alignment vertical="center"/>
    </xf>
    <xf numFmtId="0" fontId="0" fillId="0" borderId="0" xfId="0" applyAlignment="1">
      <alignment vertical="center"/>
    </xf>
    <xf numFmtId="0" fontId="0" fillId="0" borderId="61" xfId="0" applyBorder="1" applyAlignment="1">
      <alignment vertical="center"/>
    </xf>
    <xf numFmtId="0" fontId="18" fillId="0" borderId="92" xfId="0" applyFont="1" applyBorder="1" applyAlignment="1">
      <alignment horizontal="center" vertical="center"/>
    </xf>
    <xf numFmtId="0" fontId="18" fillId="39" borderId="92" xfId="0" applyFont="1" applyFill="1" applyBorder="1" applyAlignment="1">
      <alignment horizontal="center" vertical="center"/>
    </xf>
    <xf numFmtId="3" fontId="13" fillId="6" borderId="36" xfId="0" applyNumberFormat="1" applyFont="1" applyFill="1" applyBorder="1" applyAlignment="1">
      <alignment horizontal="right"/>
    </xf>
    <xf numFmtId="3" fontId="0" fillId="37" borderId="37" xfId="0" applyNumberFormat="1" applyFill="1" applyBorder="1" applyAlignment="1">
      <alignment horizontal="right" vertical="center"/>
    </xf>
    <xf numFmtId="3" fontId="0" fillId="0" borderId="37" xfId="0" applyNumberFormat="1" applyBorder="1" applyAlignment="1">
      <alignment horizontal="right" vertical="center"/>
    </xf>
    <xf numFmtId="3" fontId="0" fillId="6" borderId="30" xfId="0" applyNumberFormat="1" applyFill="1" applyBorder="1" applyAlignment="1">
      <alignment/>
    </xf>
    <xf numFmtId="0" fontId="18" fillId="0" borderId="138" xfId="0" applyFont="1" applyBorder="1" applyAlignment="1">
      <alignment horizontal="center" vertical="center"/>
    </xf>
    <xf numFmtId="0" fontId="0" fillId="0" borderId="139" xfId="0" applyBorder="1" applyAlignment="1">
      <alignment vertical="center"/>
    </xf>
    <xf numFmtId="0" fontId="18" fillId="39" borderId="92" xfId="0" applyFont="1" applyFill="1" applyBorder="1" applyAlignment="1">
      <alignment horizontal="center"/>
    </xf>
    <xf numFmtId="3" fontId="22" fillId="0" borderId="103" xfId="59" applyNumberFormat="1" applyFont="1" applyBorder="1" applyAlignment="1">
      <alignment vertical="center"/>
      <protection/>
    </xf>
    <xf numFmtId="0" fontId="19" fillId="0" borderId="0" xfId="60" applyFont="1" applyFill="1" applyBorder="1" applyAlignment="1">
      <alignment horizontal="left" vertical="center"/>
      <protection/>
    </xf>
    <xf numFmtId="0" fontId="43" fillId="0" borderId="0" xfId="60" applyFont="1" applyFill="1" applyBorder="1" applyAlignment="1">
      <alignment horizontal="center" vertical="center"/>
      <protection/>
    </xf>
    <xf numFmtId="0" fontId="115" fillId="0" borderId="0" xfId="0" applyFont="1" applyAlignment="1">
      <alignment/>
    </xf>
    <xf numFmtId="0" fontId="116" fillId="0" borderId="0" xfId="57" applyFont="1" applyAlignment="1">
      <alignment horizontal="center"/>
      <protection/>
    </xf>
    <xf numFmtId="49" fontId="117" fillId="0" borderId="0" xfId="0" applyNumberFormat="1" applyFont="1" applyFill="1" applyAlignment="1">
      <alignment vertical="center"/>
    </xf>
    <xf numFmtId="49" fontId="117" fillId="0" borderId="0" xfId="0" applyNumberFormat="1" applyFont="1" applyFill="1" applyAlignment="1">
      <alignment horizontal="center" vertical="center"/>
    </xf>
    <xf numFmtId="0" fontId="118" fillId="0" borderId="0" xfId="0" applyFont="1" applyAlignment="1">
      <alignment/>
    </xf>
    <xf numFmtId="0" fontId="119" fillId="0" borderId="0" xfId="0" applyFont="1" applyFill="1" applyAlignment="1">
      <alignment vertical="center"/>
    </xf>
    <xf numFmtId="0" fontId="120" fillId="0" borderId="0" xfId="61" applyFont="1">
      <alignment/>
      <protection/>
    </xf>
    <xf numFmtId="0" fontId="115" fillId="0" borderId="0" xfId="0" applyFont="1" applyAlignment="1">
      <alignment horizont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17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17" fillId="0" borderId="22" xfId="0" applyFont="1" applyBorder="1" applyAlignment="1">
      <alignment vertical="center"/>
    </xf>
    <xf numFmtId="0" fontId="17" fillId="0" borderId="14" xfId="0" applyFont="1" applyBorder="1" applyAlignment="1">
      <alignment vertical="center"/>
    </xf>
    <xf numFmtId="0" fontId="17" fillId="0" borderId="17" xfId="0" applyFont="1" applyBorder="1" applyAlignment="1">
      <alignment vertical="center"/>
    </xf>
    <xf numFmtId="0" fontId="16" fillId="0" borderId="22" xfId="0" applyFont="1" applyBorder="1" applyAlignment="1">
      <alignment horizontal="right" vertical="center"/>
    </xf>
    <xf numFmtId="164" fontId="16" fillId="0" borderId="22" xfId="0" applyNumberFormat="1" applyFont="1" applyBorder="1" applyAlignment="1">
      <alignment vertical="center"/>
    </xf>
    <xf numFmtId="164" fontId="17" fillId="0" borderId="22" xfId="0" applyNumberFormat="1" applyFont="1" applyBorder="1" applyAlignment="1">
      <alignment vertical="center"/>
    </xf>
    <xf numFmtId="0" fontId="20" fillId="0" borderId="14" xfId="0" applyFont="1" applyBorder="1" applyAlignment="1">
      <alignment horizontal="center" vertical="center"/>
    </xf>
    <xf numFmtId="0" fontId="17" fillId="0" borderId="16" xfId="0" applyFont="1" applyBorder="1" applyAlignment="1">
      <alignment vertical="center"/>
    </xf>
    <xf numFmtId="0" fontId="17" fillId="0" borderId="22" xfId="0" applyFont="1" applyBorder="1" applyAlignment="1">
      <alignment horizontal="left" vertical="center"/>
    </xf>
    <xf numFmtId="3" fontId="16" fillId="0" borderId="22" xfId="0" applyNumberFormat="1" applyFont="1" applyBorder="1" applyAlignment="1">
      <alignment vertical="center"/>
    </xf>
    <xf numFmtId="0" fontId="20" fillId="0" borderId="0" xfId="62" applyFont="1" applyAlignment="1">
      <alignment horizontal="center" vertical="center"/>
      <protection/>
    </xf>
    <xf numFmtId="0" fontId="14" fillId="0" borderId="0" xfId="62" applyFont="1" applyAlignment="1">
      <alignment vertical="center"/>
      <protection/>
    </xf>
    <xf numFmtId="0" fontId="16" fillId="0" borderId="0" xfId="62" applyFont="1" applyAlignment="1">
      <alignment horizontal="right" vertical="center"/>
      <protection/>
    </xf>
    <xf numFmtId="0" fontId="15" fillId="0" borderId="0" xfId="62" applyFont="1" applyAlignment="1">
      <alignment horizontal="center" vertical="center" wrapText="1"/>
      <protection/>
    </xf>
    <xf numFmtId="0" fontId="20" fillId="0" borderId="21" xfId="62" applyFont="1" applyBorder="1" applyAlignment="1">
      <alignment horizontal="center" vertical="center"/>
      <protection/>
    </xf>
    <xf numFmtId="0" fontId="19" fillId="0" borderId="22" xfId="62" applyFont="1" applyBorder="1" applyAlignment="1">
      <alignment horizontal="center" vertical="center" wrapText="1"/>
      <protection/>
    </xf>
    <xf numFmtId="0" fontId="20" fillId="0" borderId="22" xfId="62" applyFont="1" applyBorder="1" applyAlignment="1">
      <alignment horizontal="center" vertical="center"/>
      <protection/>
    </xf>
    <xf numFmtId="3" fontId="20" fillId="0" borderId="22" xfId="62" applyNumberFormat="1" applyFont="1" applyBorder="1" applyAlignment="1">
      <alignment horizontal="center" vertical="center" wrapText="1"/>
      <protection/>
    </xf>
    <xf numFmtId="3" fontId="20" fillId="0" borderId="23" xfId="62" applyNumberFormat="1" applyFont="1" applyBorder="1" applyAlignment="1">
      <alignment horizontal="center" vertical="center" wrapText="1"/>
      <protection/>
    </xf>
    <xf numFmtId="0" fontId="15" fillId="0" borderId="22" xfId="62" applyFont="1" applyBorder="1" applyAlignment="1">
      <alignment horizontal="center" vertical="center"/>
      <protection/>
    </xf>
    <xf numFmtId="164" fontId="14" fillId="0" borderId="22" xfId="62" applyNumberFormat="1" applyFont="1" applyFill="1" applyBorder="1" applyAlignment="1">
      <alignment horizontal="right" vertical="center"/>
      <protection/>
    </xf>
    <xf numFmtId="164" fontId="14" fillId="0" borderId="22" xfId="62" applyNumberFormat="1" applyFont="1" applyFill="1" applyBorder="1" applyAlignment="1">
      <alignment horizontal="right" vertical="center" wrapText="1"/>
      <protection/>
    </xf>
    <xf numFmtId="164" fontId="15" fillId="0" borderId="23" xfId="62" applyNumberFormat="1" applyFont="1" applyBorder="1" applyAlignment="1">
      <alignment horizontal="right" vertical="center" wrapText="1"/>
      <protection/>
    </xf>
    <xf numFmtId="164" fontId="14" fillId="35" borderId="22" xfId="62" applyNumberFormat="1" applyFont="1" applyFill="1" applyBorder="1" applyAlignment="1">
      <alignment horizontal="right" vertical="center"/>
      <protection/>
    </xf>
    <xf numFmtId="164" fontId="14" fillId="35" borderId="22" xfId="62" applyNumberFormat="1" applyFont="1" applyFill="1" applyBorder="1" applyAlignment="1">
      <alignment horizontal="right" vertical="center" wrapText="1"/>
      <protection/>
    </xf>
    <xf numFmtId="0" fontId="20" fillId="0" borderId="29" xfId="62" applyFont="1" applyBorder="1" applyAlignment="1">
      <alignment horizontal="center" vertical="center"/>
      <protection/>
    </xf>
    <xf numFmtId="0" fontId="15" fillId="0" borderId="18" xfId="62" applyFont="1" applyBorder="1" applyAlignment="1">
      <alignment horizontal="center" vertical="center"/>
      <protection/>
    </xf>
    <xf numFmtId="164" fontId="14" fillId="35" borderId="18" xfId="62" applyNumberFormat="1" applyFont="1" applyFill="1" applyBorder="1" applyAlignment="1">
      <alignment horizontal="right" vertical="center"/>
      <protection/>
    </xf>
    <xf numFmtId="164" fontId="14" fillId="35" borderId="18" xfId="62" applyNumberFormat="1" applyFont="1" applyFill="1" applyBorder="1" applyAlignment="1">
      <alignment horizontal="right" vertical="center" wrapText="1"/>
      <protection/>
    </xf>
    <xf numFmtId="164" fontId="14" fillId="0" borderId="18" xfId="62" applyNumberFormat="1" applyFont="1" applyFill="1" applyBorder="1" applyAlignment="1">
      <alignment horizontal="right" vertical="center" wrapText="1"/>
      <protection/>
    </xf>
    <xf numFmtId="164" fontId="15" fillId="0" borderId="33" xfId="62" applyNumberFormat="1" applyFont="1" applyBorder="1" applyAlignment="1">
      <alignment horizontal="right" vertical="center" wrapText="1"/>
      <protection/>
    </xf>
    <xf numFmtId="0" fontId="42" fillId="0" borderId="22" xfId="0" applyFont="1" applyBorder="1" applyAlignment="1">
      <alignment horizontal="left"/>
    </xf>
    <xf numFmtId="0" fontId="18" fillId="0" borderId="0" xfId="0" applyFont="1" applyAlignment="1">
      <alignment horizontal="right" vertical="center"/>
    </xf>
    <xf numFmtId="0" fontId="18" fillId="0" borderId="0" xfId="0" applyFont="1" applyAlignment="1">
      <alignment vertical="center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5" fillId="0" borderId="22" xfId="0" applyFont="1" applyBorder="1" applyAlignment="1">
      <alignment horizontal="left"/>
    </xf>
    <xf numFmtId="0" fontId="49" fillId="0" borderId="22" xfId="0" applyFont="1" applyBorder="1" applyAlignment="1">
      <alignment horizontal="left"/>
    </xf>
    <xf numFmtId="0" fontId="42" fillId="0" borderId="22" xfId="0" applyFont="1" applyBorder="1" applyAlignment="1">
      <alignment horizontal="left" wrapText="1"/>
    </xf>
    <xf numFmtId="0" fontId="43" fillId="0" borderId="22" xfId="0" applyFont="1" applyBorder="1" applyAlignment="1">
      <alignment horizontal="left" wrapText="1"/>
    </xf>
    <xf numFmtId="0" fontId="43" fillId="0" borderId="14" xfId="0" applyFont="1" applyBorder="1" applyAlignment="1">
      <alignment horizontal="left"/>
    </xf>
    <xf numFmtId="0" fontId="43" fillId="0" borderId="17" xfId="0" applyFont="1" applyBorder="1" applyAlignment="1">
      <alignment horizontal="left"/>
    </xf>
    <xf numFmtId="0" fontId="46" fillId="0" borderId="14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42" fillId="0" borderId="14" xfId="58" applyFont="1" applyBorder="1" applyAlignment="1">
      <alignment horizontal="left"/>
      <protection/>
    </xf>
    <xf numFmtId="0" fontId="42" fillId="0" borderId="17" xfId="58" applyFont="1" applyBorder="1" applyAlignment="1">
      <alignment horizontal="left"/>
      <protection/>
    </xf>
    <xf numFmtId="0" fontId="42" fillId="0" borderId="16" xfId="58" applyFont="1" applyBorder="1" applyAlignment="1">
      <alignment horizontal="left"/>
      <protection/>
    </xf>
    <xf numFmtId="0" fontId="42" fillId="0" borderId="22" xfId="58" applyFont="1" applyBorder="1" applyAlignment="1">
      <alignment horizontal="left"/>
      <protection/>
    </xf>
    <xf numFmtId="0" fontId="18" fillId="0" borderId="0" xfId="58" applyFont="1" applyAlignment="1">
      <alignment horizontal="right" vertical="center"/>
      <protection/>
    </xf>
    <xf numFmtId="0" fontId="45" fillId="0" borderId="0" xfId="58" applyFont="1" applyFill="1" applyAlignment="1">
      <alignment horizontal="center" vertical="center"/>
      <protection/>
    </xf>
    <xf numFmtId="0" fontId="46" fillId="0" borderId="14" xfId="58" applyFont="1" applyFill="1" applyBorder="1" applyAlignment="1">
      <alignment horizontal="center" vertical="center" wrapText="1"/>
      <protection/>
    </xf>
    <xf numFmtId="0" fontId="19" fillId="0" borderId="16" xfId="58" applyFont="1" applyFill="1" applyBorder="1" applyAlignment="1">
      <alignment horizontal="center" vertical="center" wrapText="1"/>
      <protection/>
    </xf>
    <xf numFmtId="0" fontId="19" fillId="0" borderId="17" xfId="58" applyFont="1" applyFill="1" applyBorder="1" applyAlignment="1">
      <alignment horizontal="center" vertical="center" wrapText="1"/>
      <protection/>
    </xf>
    <xf numFmtId="0" fontId="16" fillId="0" borderId="14" xfId="58" applyFont="1" applyFill="1" applyBorder="1" applyAlignment="1">
      <alignment horizontal="center" vertical="center" wrapText="1"/>
      <protection/>
    </xf>
    <xf numFmtId="0" fontId="16" fillId="0" borderId="16" xfId="58" applyFont="1" applyBorder="1" applyAlignment="1">
      <alignment horizontal="center" vertical="center" wrapText="1"/>
      <protection/>
    </xf>
    <xf numFmtId="0" fontId="16" fillId="0" borderId="17" xfId="58" applyFont="1" applyBorder="1" applyAlignment="1">
      <alignment horizontal="center" vertical="center" wrapText="1"/>
      <protection/>
    </xf>
    <xf numFmtId="0" fontId="19" fillId="0" borderId="22" xfId="58" applyFont="1" applyBorder="1" applyAlignment="1">
      <alignment horizontal="left"/>
      <protection/>
    </xf>
    <xf numFmtId="0" fontId="19" fillId="0" borderId="14" xfId="58" applyFont="1" applyBorder="1" applyAlignment="1">
      <alignment horizontal="left"/>
      <protection/>
    </xf>
    <xf numFmtId="0" fontId="19" fillId="0" borderId="16" xfId="58" applyFont="1" applyBorder="1" applyAlignment="1">
      <alignment horizontal="left"/>
      <protection/>
    </xf>
    <xf numFmtId="0" fontId="19" fillId="0" borderId="17" xfId="58" applyFont="1" applyBorder="1" applyAlignment="1">
      <alignment horizontal="left"/>
      <protection/>
    </xf>
    <xf numFmtId="0" fontId="43" fillId="0" borderId="14" xfId="58" applyFont="1" applyBorder="1" applyAlignment="1">
      <alignment horizontal="left" wrapText="1"/>
      <protection/>
    </xf>
    <xf numFmtId="0" fontId="43" fillId="0" borderId="17" xfId="58" applyFont="1" applyBorder="1" applyAlignment="1">
      <alignment horizontal="left" wrapText="1"/>
      <protection/>
    </xf>
    <xf numFmtId="0" fontId="42" fillId="0" borderId="14" xfId="58" applyFont="1" applyBorder="1" applyAlignment="1">
      <alignment horizontal="left" wrapText="1"/>
      <protection/>
    </xf>
    <xf numFmtId="0" fontId="42" fillId="0" borderId="17" xfId="58" applyFont="1" applyBorder="1" applyAlignment="1">
      <alignment horizontal="left" wrapText="1"/>
      <protection/>
    </xf>
    <xf numFmtId="0" fontId="42" fillId="0" borderId="14" xfId="58" applyFont="1" applyBorder="1" applyAlignment="1">
      <alignment horizontal="left" vertical="center" wrapText="1"/>
      <protection/>
    </xf>
    <xf numFmtId="0" fontId="42" fillId="0" borderId="17" xfId="58" applyFont="1" applyBorder="1" applyAlignment="1">
      <alignment horizontal="left" vertical="center" wrapText="1"/>
      <protection/>
    </xf>
    <xf numFmtId="0" fontId="15" fillId="0" borderId="14" xfId="58" applyFont="1" applyBorder="1" applyAlignment="1">
      <alignment horizontal="left"/>
      <protection/>
    </xf>
    <xf numFmtId="0" fontId="15" fillId="0" borderId="16" xfId="58" applyFont="1" applyBorder="1" applyAlignment="1">
      <alignment horizontal="left"/>
      <protection/>
    </xf>
    <xf numFmtId="0" fontId="15" fillId="0" borderId="17" xfId="58" applyFont="1" applyBorder="1" applyAlignment="1">
      <alignment horizontal="left"/>
      <protection/>
    </xf>
    <xf numFmtId="0" fontId="20" fillId="0" borderId="14" xfId="57" applyFont="1" applyBorder="1" applyAlignment="1">
      <alignment horizontal="center" vertical="center" wrapText="1"/>
      <protection/>
    </xf>
    <xf numFmtId="0" fontId="20" fillId="0" borderId="16" xfId="57" applyFont="1" applyBorder="1" applyAlignment="1">
      <alignment horizontal="center" vertical="center" wrapText="1"/>
      <protection/>
    </xf>
    <xf numFmtId="0" fontId="20" fillId="0" borderId="17" xfId="57" applyFont="1" applyBorder="1" applyAlignment="1">
      <alignment horizontal="center" vertical="center" wrapText="1"/>
      <protection/>
    </xf>
    <xf numFmtId="0" fontId="6" fillId="0" borderId="0" xfId="0" applyFont="1" applyFill="1" applyAlignment="1">
      <alignment horizontal="right" vertical="center"/>
    </xf>
    <xf numFmtId="0" fontId="41" fillId="0" borderId="0" xfId="0" applyFont="1" applyAlignment="1">
      <alignment horizontal="right"/>
    </xf>
    <xf numFmtId="0" fontId="15" fillId="0" borderId="0" xfId="57" applyFont="1" applyAlignment="1">
      <alignment horizontal="center"/>
      <protection/>
    </xf>
    <xf numFmtId="0" fontId="15" fillId="0" borderId="22" xfId="57" applyFont="1" applyBorder="1" applyAlignment="1">
      <alignment horizontal="center" vertical="center"/>
      <protection/>
    </xf>
    <xf numFmtId="0" fontId="20" fillId="0" borderId="22" xfId="57" applyFont="1" applyBorder="1" applyAlignment="1">
      <alignment horizontal="center" vertical="center"/>
      <protection/>
    </xf>
    <xf numFmtId="0" fontId="20" fillId="0" borderId="14" xfId="57" applyFont="1" applyBorder="1" applyAlignment="1">
      <alignment horizontal="center"/>
      <protection/>
    </xf>
    <xf numFmtId="0" fontId="20" fillId="0" borderId="16" xfId="57" applyFont="1" applyBorder="1" applyAlignment="1">
      <alignment horizontal="center"/>
      <protection/>
    </xf>
    <xf numFmtId="0" fontId="20" fillId="0" borderId="17" xfId="57" applyFont="1" applyBorder="1" applyAlignment="1">
      <alignment horizontal="center"/>
      <protection/>
    </xf>
    <xf numFmtId="0" fontId="17" fillId="0" borderId="14" xfId="57" applyFont="1" applyBorder="1" applyAlignment="1">
      <alignment horizontal="right" vertical="center"/>
      <protection/>
    </xf>
    <xf numFmtId="0" fontId="17" fillId="0" borderId="16" xfId="57" applyFont="1" applyBorder="1" applyAlignment="1">
      <alignment horizontal="right" vertical="center"/>
      <protection/>
    </xf>
    <xf numFmtId="0" fontId="63" fillId="0" borderId="135" xfId="0" applyFont="1" applyFill="1" applyBorder="1" applyAlignment="1">
      <alignment horizontal="center" vertical="center" wrapText="1"/>
    </xf>
    <xf numFmtId="0" fontId="63" fillId="0" borderId="105" xfId="0" applyFont="1" applyFill="1" applyBorder="1" applyAlignment="1">
      <alignment horizontal="center" vertical="center" wrapText="1"/>
    </xf>
    <xf numFmtId="0" fontId="63" fillId="0" borderId="104" xfId="0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center" vertical="center" wrapText="1"/>
    </xf>
    <xf numFmtId="0" fontId="47" fillId="0" borderId="16" xfId="0" applyFont="1" applyFill="1" applyBorder="1" applyAlignment="1">
      <alignment horizontal="center" vertical="center" wrapText="1"/>
    </xf>
    <xf numFmtId="0" fontId="47" fillId="0" borderId="17" xfId="0" applyFont="1" applyFill="1" applyBorder="1" applyAlignment="1">
      <alignment horizontal="center" vertical="center" wrapText="1"/>
    </xf>
    <xf numFmtId="0" fontId="20" fillId="0" borderId="140" xfId="0" applyFont="1" applyFill="1" applyBorder="1" applyAlignment="1">
      <alignment horizontal="center" vertical="center"/>
    </xf>
    <xf numFmtId="0" fontId="20" fillId="0" borderId="141" xfId="0" applyFont="1" applyFill="1" applyBorder="1" applyAlignment="1">
      <alignment horizontal="center" vertical="center"/>
    </xf>
    <xf numFmtId="0" fontId="20" fillId="0" borderId="122" xfId="0" applyFont="1" applyFill="1" applyBorder="1" applyAlignment="1">
      <alignment horizontal="center" vertical="center"/>
    </xf>
    <xf numFmtId="0" fontId="20" fillId="0" borderId="142" xfId="0" applyFont="1" applyFill="1" applyBorder="1" applyAlignment="1">
      <alignment horizontal="center" vertical="center" wrapText="1"/>
    </xf>
    <xf numFmtId="0" fontId="20" fillId="0" borderId="143" xfId="0" applyFont="1" applyFill="1" applyBorder="1" applyAlignment="1">
      <alignment horizontal="center" vertical="center" wrapText="1"/>
    </xf>
    <xf numFmtId="0" fontId="20" fillId="0" borderId="39" xfId="0" applyFont="1" applyFill="1" applyBorder="1" applyAlignment="1">
      <alignment horizontal="center" vertical="center" wrapText="1"/>
    </xf>
    <xf numFmtId="49" fontId="43" fillId="0" borderId="21" xfId="0" applyNumberFormat="1" applyFont="1" applyFill="1" applyBorder="1" applyAlignment="1">
      <alignment horizontal="center" vertical="center" textRotation="90" wrapText="1"/>
    </xf>
    <xf numFmtId="49" fontId="43" fillId="0" borderId="21" xfId="0" applyNumberFormat="1" applyFont="1" applyFill="1" applyBorder="1" applyAlignment="1">
      <alignment horizontal="center" textRotation="90"/>
    </xf>
    <xf numFmtId="0" fontId="47" fillId="0" borderId="0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right" vertical="center"/>
    </xf>
    <xf numFmtId="0" fontId="16" fillId="0" borderId="0" xfId="0" applyFont="1" applyAlignment="1">
      <alignment horizontal="right"/>
    </xf>
    <xf numFmtId="0" fontId="17" fillId="0" borderId="0" xfId="0" applyFont="1" applyFill="1" applyAlignment="1">
      <alignment horizontal="center" vertical="center"/>
    </xf>
    <xf numFmtId="49" fontId="20" fillId="0" borderId="137" xfId="0" applyNumberFormat="1" applyFont="1" applyFill="1" applyBorder="1" applyAlignment="1">
      <alignment horizontal="center" vertical="center"/>
    </xf>
    <xf numFmtId="49" fontId="20" fillId="0" borderId="124" xfId="0" applyNumberFormat="1" applyFont="1" applyFill="1" applyBorder="1" applyAlignment="1">
      <alignment horizontal="center" vertical="center"/>
    </xf>
    <xf numFmtId="49" fontId="20" fillId="0" borderId="36" xfId="0" applyNumberFormat="1" applyFont="1" applyFill="1" applyBorder="1" applyAlignment="1">
      <alignment horizontal="center" vertical="center"/>
    </xf>
    <xf numFmtId="0" fontId="20" fillId="0" borderId="78" xfId="0" applyFont="1" applyFill="1" applyBorder="1" applyAlignment="1">
      <alignment horizontal="center" vertical="center"/>
    </xf>
    <xf numFmtId="0" fontId="20" fillId="0" borderId="32" xfId="0" applyFont="1" applyFill="1" applyBorder="1" applyAlignment="1">
      <alignment horizontal="center" vertical="center"/>
    </xf>
    <xf numFmtId="0" fontId="20" fillId="0" borderId="37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 wrapText="1"/>
    </xf>
    <xf numFmtId="49" fontId="46" fillId="0" borderId="119" xfId="0" applyNumberFormat="1" applyFont="1" applyFill="1" applyBorder="1" applyAlignment="1">
      <alignment horizontal="left" vertical="center"/>
    </xf>
    <xf numFmtId="49" fontId="46" fillId="0" borderId="16" xfId="0" applyNumberFormat="1" applyFont="1" applyFill="1" applyBorder="1" applyAlignment="1">
      <alignment horizontal="left" vertical="center"/>
    </xf>
    <xf numFmtId="49" fontId="46" fillId="0" borderId="11" xfId="0" applyNumberFormat="1" applyFont="1" applyFill="1" applyBorder="1" applyAlignment="1">
      <alignment horizontal="left" vertical="center"/>
    </xf>
    <xf numFmtId="49" fontId="46" fillId="0" borderId="125" xfId="0" applyNumberFormat="1" applyFont="1" applyFill="1" applyBorder="1" applyAlignment="1">
      <alignment horizontal="left" vertical="center"/>
    </xf>
    <xf numFmtId="49" fontId="46" fillId="0" borderId="27" xfId="0" applyNumberFormat="1" applyFont="1" applyFill="1" applyBorder="1" applyAlignment="1">
      <alignment horizontal="left" vertical="center"/>
    </xf>
    <xf numFmtId="49" fontId="46" fillId="0" borderId="24" xfId="0" applyNumberFormat="1" applyFont="1" applyFill="1" applyBorder="1" applyAlignment="1">
      <alignment horizontal="left" vertical="center"/>
    </xf>
    <xf numFmtId="49" fontId="46" fillId="0" borderId="117" xfId="0" applyNumberFormat="1" applyFont="1" applyFill="1" applyBorder="1" applyAlignment="1">
      <alignment horizontal="left" vertical="center"/>
    </xf>
    <xf numFmtId="49" fontId="46" fillId="0" borderId="141" xfId="0" applyNumberFormat="1" applyFont="1" applyFill="1" applyBorder="1" applyAlignment="1">
      <alignment horizontal="left" vertical="center"/>
    </xf>
    <xf numFmtId="49" fontId="46" fillId="0" borderId="144" xfId="0" applyNumberFormat="1" applyFont="1" applyFill="1" applyBorder="1" applyAlignment="1">
      <alignment horizontal="left" vertical="center"/>
    </xf>
    <xf numFmtId="0" fontId="60" fillId="0" borderId="120" xfId="60" applyFont="1" applyFill="1" applyBorder="1" applyAlignment="1">
      <alignment horizontal="left" vertical="center"/>
      <protection/>
    </xf>
    <xf numFmtId="0" fontId="60" fillId="0" borderId="28" xfId="60" applyFont="1" applyFill="1" applyBorder="1" applyAlignment="1">
      <alignment horizontal="left" vertical="center"/>
      <protection/>
    </xf>
    <xf numFmtId="0" fontId="60" fillId="0" borderId="13" xfId="60" applyFont="1" applyFill="1" applyBorder="1" applyAlignment="1">
      <alignment horizontal="left" vertical="center"/>
      <protection/>
    </xf>
    <xf numFmtId="0" fontId="23" fillId="0" borderId="45" xfId="60" applyFont="1" applyFill="1" applyBorder="1" applyAlignment="1">
      <alignment horizontal="left" vertical="center"/>
      <protection/>
    </xf>
    <xf numFmtId="0" fontId="23" fillId="0" borderId="103" xfId="60" applyFont="1" applyFill="1" applyBorder="1" applyAlignment="1">
      <alignment horizontal="left" vertical="center"/>
      <protection/>
    </xf>
    <xf numFmtId="0" fontId="23" fillId="0" borderId="108" xfId="60" applyFont="1" applyFill="1" applyBorder="1" applyAlignment="1">
      <alignment horizontal="left" vertical="center"/>
      <protection/>
    </xf>
    <xf numFmtId="0" fontId="20" fillId="0" borderId="38" xfId="60" applyFont="1" applyFill="1" applyBorder="1" applyAlignment="1">
      <alignment horizontal="center" vertical="center" wrapText="1"/>
      <protection/>
    </xf>
    <xf numFmtId="0" fontId="20" fillId="0" borderId="37" xfId="60" applyFont="1" applyFill="1" applyBorder="1" applyAlignment="1">
      <alignment horizontal="center" vertical="center" wrapText="1"/>
      <protection/>
    </xf>
    <xf numFmtId="0" fontId="20" fillId="0" borderId="39" xfId="60" applyFont="1" applyFill="1" applyBorder="1" applyAlignment="1">
      <alignment horizontal="center" vertical="center" wrapText="1"/>
      <protection/>
    </xf>
    <xf numFmtId="0" fontId="20" fillId="0" borderId="17" xfId="60" applyFont="1" applyFill="1" applyBorder="1" applyAlignment="1">
      <alignment horizontal="center" vertical="center" wrapText="1"/>
      <protection/>
    </xf>
    <xf numFmtId="0" fontId="20" fillId="0" borderId="22" xfId="60" applyFont="1" applyFill="1" applyBorder="1" applyAlignment="1">
      <alignment horizontal="center" vertical="center" wrapText="1"/>
      <protection/>
    </xf>
    <xf numFmtId="0" fontId="20" fillId="0" borderId="23" xfId="60" applyFont="1" applyFill="1" applyBorder="1" applyAlignment="1">
      <alignment horizontal="center" vertical="center" wrapText="1"/>
      <protection/>
    </xf>
    <xf numFmtId="0" fontId="23" fillId="0" borderId="45" xfId="60" applyFont="1" applyFill="1" applyBorder="1" applyAlignment="1">
      <alignment horizontal="left" vertical="center" wrapText="1"/>
      <protection/>
    </xf>
    <xf numFmtId="0" fontId="23" fillId="0" borderId="103" xfId="60" applyFont="1" applyFill="1" applyBorder="1" applyAlignment="1">
      <alignment horizontal="left" vertical="center" wrapText="1"/>
      <protection/>
    </xf>
    <xf numFmtId="0" fontId="23" fillId="0" borderId="108" xfId="60" applyFont="1" applyFill="1" applyBorder="1" applyAlignment="1">
      <alignment horizontal="left" vertical="center" wrapText="1"/>
      <protection/>
    </xf>
    <xf numFmtId="0" fontId="20" fillId="0" borderId="78" xfId="60" applyFont="1" applyFill="1" applyBorder="1" applyAlignment="1">
      <alignment horizontal="center" vertical="center"/>
      <protection/>
    </xf>
    <xf numFmtId="0" fontId="20" fillId="0" borderId="32" xfId="60" applyFont="1" applyFill="1" applyBorder="1" applyAlignment="1">
      <alignment horizontal="center" vertical="center"/>
      <protection/>
    </xf>
    <xf numFmtId="0" fontId="20" fillId="0" borderId="130" xfId="60" applyFont="1" applyFill="1" applyBorder="1" applyAlignment="1">
      <alignment horizontal="center" vertical="center"/>
      <protection/>
    </xf>
    <xf numFmtId="49" fontId="20" fillId="0" borderId="137" xfId="60" applyNumberFormat="1" applyFont="1" applyFill="1" applyBorder="1" applyAlignment="1">
      <alignment horizontal="center" vertical="center"/>
      <protection/>
    </xf>
    <xf numFmtId="49" fontId="20" fillId="0" borderId="124" xfId="60" applyNumberFormat="1" applyFont="1" applyFill="1" applyBorder="1" applyAlignment="1">
      <alignment horizontal="center" vertical="center"/>
      <protection/>
    </xf>
    <xf numFmtId="49" fontId="20" fillId="0" borderId="145" xfId="60" applyNumberFormat="1" applyFont="1" applyFill="1" applyBorder="1" applyAlignment="1">
      <alignment horizontal="center" vertical="center"/>
      <protection/>
    </xf>
    <xf numFmtId="0" fontId="15" fillId="0" borderId="103" xfId="60" applyFont="1" applyFill="1" applyBorder="1" applyAlignment="1">
      <alignment horizontal="center" vertical="center"/>
      <protection/>
    </xf>
    <xf numFmtId="0" fontId="15" fillId="0" borderId="108" xfId="60" applyFont="1" applyFill="1" applyBorder="1" applyAlignment="1">
      <alignment horizontal="center" vertical="center"/>
      <protection/>
    </xf>
    <xf numFmtId="0" fontId="18" fillId="0" borderId="0" xfId="60" applyFont="1" applyFill="1" applyAlignment="1">
      <alignment horizontal="right" vertical="center"/>
      <protection/>
    </xf>
    <xf numFmtId="0" fontId="18" fillId="0" borderId="0" xfId="60" applyFont="1" applyAlignment="1">
      <alignment horizontal="right"/>
      <protection/>
    </xf>
    <xf numFmtId="0" fontId="17" fillId="0" borderId="146" xfId="60" applyFont="1" applyFill="1" applyBorder="1" applyAlignment="1">
      <alignment horizontal="center" vertical="center" wrapText="1"/>
      <protection/>
    </xf>
    <xf numFmtId="0" fontId="17" fillId="0" borderId="111" xfId="60" applyFont="1" applyFill="1" applyBorder="1" applyAlignment="1">
      <alignment horizontal="center" vertical="center" wrapText="1"/>
      <protection/>
    </xf>
    <xf numFmtId="0" fontId="17" fillId="0" borderId="147" xfId="60" applyFont="1" applyFill="1" applyBorder="1" applyAlignment="1">
      <alignment horizontal="center" vertical="center" wrapText="1"/>
      <protection/>
    </xf>
    <xf numFmtId="0" fontId="15" fillId="0" borderId="0" xfId="60" applyFont="1" applyFill="1" applyAlignment="1">
      <alignment horizontal="center" vertical="center" wrapText="1"/>
      <protection/>
    </xf>
    <xf numFmtId="0" fontId="20" fillId="0" borderId="62" xfId="60" applyFont="1" applyFill="1" applyBorder="1" applyAlignment="1">
      <alignment horizontal="center" vertical="center" wrapText="1"/>
      <protection/>
    </xf>
    <xf numFmtId="0" fontId="20" fillId="0" borderId="61" xfId="60" applyFont="1" applyFill="1" applyBorder="1" applyAlignment="1">
      <alignment horizontal="center" vertical="center" wrapText="1"/>
      <protection/>
    </xf>
    <xf numFmtId="0" fontId="20" fillId="0" borderId="48" xfId="60" applyFont="1" applyFill="1" applyBorder="1" applyAlignment="1">
      <alignment horizontal="center" vertical="center" wrapText="1"/>
      <protection/>
    </xf>
    <xf numFmtId="3" fontId="60" fillId="0" borderId="59" xfId="59" applyNumberFormat="1" applyFont="1" applyBorder="1" applyAlignment="1">
      <alignment horizontal="right" vertical="center"/>
      <protection/>
    </xf>
    <xf numFmtId="3" fontId="60" fillId="0" borderId="55" xfId="59" applyNumberFormat="1" applyFont="1" applyBorder="1" applyAlignment="1">
      <alignment horizontal="right" vertical="center"/>
      <protection/>
    </xf>
    <xf numFmtId="3" fontId="60" fillId="0" borderId="69" xfId="59" applyNumberFormat="1" applyFont="1" applyBorder="1" applyAlignment="1">
      <alignment horizontal="right" vertical="center"/>
      <protection/>
    </xf>
    <xf numFmtId="3" fontId="60" fillId="0" borderId="128" xfId="59" applyNumberFormat="1" applyFont="1" applyBorder="1" applyAlignment="1">
      <alignment horizontal="right" vertical="center"/>
      <protection/>
    </xf>
    <xf numFmtId="3" fontId="60" fillId="0" borderId="72" xfId="59" applyNumberFormat="1" applyFont="1" applyBorder="1" applyAlignment="1">
      <alignment horizontal="right" vertical="center"/>
      <protection/>
    </xf>
    <xf numFmtId="3" fontId="60" fillId="0" borderId="148" xfId="59" applyNumberFormat="1" applyFont="1" applyBorder="1" applyAlignment="1">
      <alignment horizontal="right" vertical="center"/>
      <protection/>
    </xf>
    <xf numFmtId="3" fontId="60" fillId="0" borderId="78" xfId="59" applyNumberFormat="1" applyFont="1" applyBorder="1" applyAlignment="1">
      <alignment horizontal="right" vertical="center"/>
      <protection/>
    </xf>
    <xf numFmtId="3" fontId="60" fillId="0" borderId="32" xfId="59" applyNumberFormat="1" applyFont="1" applyBorder="1" applyAlignment="1">
      <alignment horizontal="right" vertical="center"/>
      <protection/>
    </xf>
    <xf numFmtId="3" fontId="60" fillId="0" borderId="81" xfId="59" applyNumberFormat="1" applyFont="1" applyBorder="1" applyAlignment="1">
      <alignment horizontal="right" vertical="center"/>
      <protection/>
    </xf>
    <xf numFmtId="0" fontId="22" fillId="0" borderId="87" xfId="59" applyFont="1" applyBorder="1" applyAlignment="1">
      <alignment horizontal="left" vertical="center" wrapText="1"/>
      <protection/>
    </xf>
    <xf numFmtId="0" fontId="22" fillId="0" borderId="56" xfId="59" applyFont="1" applyBorder="1" applyAlignment="1">
      <alignment horizontal="left" vertical="center" wrapText="1"/>
      <protection/>
    </xf>
    <xf numFmtId="0" fontId="22" fillId="0" borderId="149" xfId="59" applyFont="1" applyBorder="1" applyAlignment="1">
      <alignment horizontal="left" vertical="center" wrapText="1"/>
      <protection/>
    </xf>
    <xf numFmtId="0" fontId="22" fillId="0" borderId="46" xfId="59" applyFont="1" applyBorder="1" applyAlignment="1">
      <alignment horizontal="left" vertical="center" wrapText="1"/>
      <protection/>
    </xf>
    <xf numFmtId="3" fontId="22" fillId="0" borderId="62" xfId="59" applyNumberFormat="1" applyFont="1" applyBorder="1" applyAlignment="1">
      <alignment horizontal="right" vertical="center"/>
      <protection/>
    </xf>
    <xf numFmtId="3" fontId="22" fillId="0" borderId="48" xfId="59" applyNumberFormat="1" applyFont="1" applyBorder="1" applyAlignment="1">
      <alignment horizontal="right" vertical="center"/>
      <protection/>
    </xf>
    <xf numFmtId="3" fontId="15" fillId="0" borderId="150" xfId="59" applyNumberFormat="1" applyFont="1" applyBorder="1" applyAlignment="1">
      <alignment horizontal="right" vertical="center"/>
      <protection/>
    </xf>
    <xf numFmtId="3" fontId="15" fillId="0" borderId="151" xfId="59" applyNumberFormat="1" applyFont="1" applyBorder="1" applyAlignment="1">
      <alignment horizontal="right" vertical="center"/>
      <protection/>
    </xf>
    <xf numFmtId="0" fontId="22" fillId="0" borderId="66" xfId="59" applyFont="1" applyBorder="1" applyAlignment="1">
      <alignment horizontal="left"/>
      <protection/>
    </xf>
    <xf numFmtId="0" fontId="22" fillId="0" borderId="49" xfId="59" applyFont="1" applyBorder="1" applyAlignment="1">
      <alignment horizontal="left"/>
      <protection/>
    </xf>
    <xf numFmtId="0" fontId="22" fillId="0" borderId="57" xfId="59" applyFont="1" applyBorder="1" applyAlignment="1">
      <alignment horizontal="left"/>
      <protection/>
    </xf>
    <xf numFmtId="0" fontId="22" fillId="0" borderId="0" xfId="59" applyFont="1" applyBorder="1" applyAlignment="1">
      <alignment horizontal="left"/>
      <protection/>
    </xf>
    <xf numFmtId="0" fontId="22" fillId="0" borderId="52" xfId="59" applyFont="1" applyBorder="1" applyAlignment="1">
      <alignment horizontal="left" wrapText="1"/>
      <protection/>
    </xf>
    <xf numFmtId="0" fontId="22" fillId="0" borderId="0" xfId="59" applyFont="1" applyBorder="1" applyAlignment="1">
      <alignment horizontal="left" wrapText="1"/>
      <protection/>
    </xf>
    <xf numFmtId="0" fontId="22" fillId="0" borderId="52" xfId="59" applyFont="1" applyBorder="1" applyAlignment="1">
      <alignment horizontal="left" vertical="center"/>
      <protection/>
    </xf>
    <xf numFmtId="0" fontId="22" fillId="0" borderId="0" xfId="59" applyFont="1" applyBorder="1" applyAlignment="1">
      <alignment horizontal="left" vertical="center"/>
      <protection/>
    </xf>
    <xf numFmtId="0" fontId="22" fillId="0" borderId="58" xfId="59" applyFont="1" applyBorder="1" applyAlignment="1">
      <alignment horizontal="left"/>
      <protection/>
    </xf>
    <xf numFmtId="0" fontId="22" fillId="0" borderId="56" xfId="59" applyFont="1" applyBorder="1" applyAlignment="1">
      <alignment horizontal="left"/>
      <protection/>
    </xf>
    <xf numFmtId="0" fontId="22" fillId="0" borderId="87" xfId="59" applyFont="1" applyBorder="1" applyAlignment="1">
      <alignment horizontal="left" wrapText="1"/>
      <protection/>
    </xf>
    <xf numFmtId="0" fontId="22" fillId="0" borderId="56" xfId="59" applyFont="1" applyBorder="1" applyAlignment="1">
      <alignment horizontal="left" wrapText="1"/>
      <protection/>
    </xf>
    <xf numFmtId="3" fontId="15" fillId="0" borderId="146" xfId="59" applyNumberFormat="1" applyFont="1" applyBorder="1" applyAlignment="1">
      <alignment horizontal="right" vertical="center"/>
      <protection/>
    </xf>
    <xf numFmtId="3" fontId="15" fillId="0" borderId="111" xfId="59" applyNumberFormat="1" applyFont="1" applyBorder="1" applyAlignment="1">
      <alignment horizontal="right" vertical="center"/>
      <protection/>
    </xf>
    <xf numFmtId="3" fontId="15" fillId="0" borderId="147" xfId="59" applyNumberFormat="1" applyFont="1" applyBorder="1" applyAlignment="1">
      <alignment horizontal="right" vertical="center"/>
      <protection/>
    </xf>
    <xf numFmtId="3" fontId="22" fillId="0" borderId="62" xfId="0" applyNumberFormat="1" applyFont="1" applyBorder="1" applyAlignment="1">
      <alignment horizontal="center" vertical="center"/>
    </xf>
    <xf numFmtId="3" fontId="22" fillId="0" borderId="61" xfId="0" applyNumberFormat="1" applyFont="1" applyBorder="1" applyAlignment="1">
      <alignment horizontal="center" vertical="center"/>
    </xf>
    <xf numFmtId="0" fontId="22" fillId="0" borderId="57" xfId="59" applyFont="1" applyBorder="1" applyAlignment="1">
      <alignment horizontal="left" vertical="center"/>
      <protection/>
    </xf>
    <xf numFmtId="3" fontId="15" fillId="0" borderId="152" xfId="59" applyNumberFormat="1" applyFont="1" applyBorder="1" applyAlignment="1">
      <alignment horizontal="right" vertical="center"/>
      <protection/>
    </xf>
    <xf numFmtId="0" fontId="22" fillId="0" borderId="57" xfId="59" applyFont="1" applyBorder="1" applyAlignment="1">
      <alignment horizontal="left" wrapText="1"/>
      <protection/>
    </xf>
    <xf numFmtId="0" fontId="60" fillId="36" borderId="89" xfId="59" applyFont="1" applyFill="1" applyBorder="1" applyAlignment="1">
      <alignment vertical="center"/>
      <protection/>
    </xf>
    <xf numFmtId="0" fontId="60" fillId="36" borderId="153" xfId="59" applyFont="1" applyFill="1" applyBorder="1" applyAlignment="1">
      <alignment vertical="center"/>
      <protection/>
    </xf>
    <xf numFmtId="0" fontId="22" fillId="0" borderId="57" xfId="59" applyFont="1" applyBorder="1" applyAlignment="1">
      <alignment horizontal="left" vertical="center" wrapText="1"/>
      <protection/>
    </xf>
    <xf numFmtId="0" fontId="22" fillId="0" borderId="0" xfId="59" applyFont="1" applyBorder="1" applyAlignment="1">
      <alignment horizontal="left" vertical="center" wrapText="1"/>
      <protection/>
    </xf>
    <xf numFmtId="0" fontId="60" fillId="0" borderId="65" xfId="60" applyFont="1" applyFill="1" applyBorder="1" applyAlignment="1">
      <alignment horizontal="center" vertical="center" wrapText="1"/>
      <protection/>
    </xf>
    <xf numFmtId="0" fontId="18" fillId="0" borderId="49" xfId="0" applyFont="1" applyBorder="1" applyAlignment="1">
      <alignment/>
    </xf>
    <xf numFmtId="0" fontId="18" fillId="0" borderId="102" xfId="0" applyFont="1" applyBorder="1" applyAlignment="1">
      <alignment/>
    </xf>
    <xf numFmtId="0" fontId="18" fillId="0" borderId="149" xfId="0" applyFont="1" applyBorder="1" applyAlignment="1">
      <alignment/>
    </xf>
    <xf numFmtId="0" fontId="18" fillId="0" borderId="46" xfId="0" applyFont="1" applyBorder="1" applyAlignment="1">
      <alignment/>
    </xf>
    <xf numFmtId="0" fontId="18" fillId="0" borderId="48" xfId="0" applyFont="1" applyBorder="1" applyAlignment="1">
      <alignment/>
    </xf>
    <xf numFmtId="3" fontId="15" fillId="0" borderId="82" xfId="59" applyNumberFormat="1" applyFont="1" applyBorder="1" applyAlignment="1">
      <alignment horizontal="right" vertical="center"/>
      <protection/>
    </xf>
    <xf numFmtId="0" fontId="22" fillId="0" borderId="83" xfId="59" applyFont="1" applyBorder="1" applyAlignment="1">
      <alignment horizontal="left" vertical="center"/>
      <protection/>
    </xf>
    <xf numFmtId="0" fontId="22" fillId="0" borderId="80" xfId="59" applyFont="1" applyBorder="1" applyAlignment="1">
      <alignment horizontal="left" vertical="center"/>
      <protection/>
    </xf>
    <xf numFmtId="3" fontId="15" fillId="0" borderId="87" xfId="59" applyNumberFormat="1" applyFont="1" applyBorder="1" applyAlignment="1">
      <alignment horizontal="right" vertical="center"/>
      <protection/>
    </xf>
    <xf numFmtId="3" fontId="15" fillId="0" borderId="57" xfId="59" applyNumberFormat="1" applyFont="1" applyBorder="1" applyAlignment="1">
      <alignment horizontal="right" vertical="center"/>
      <protection/>
    </xf>
    <xf numFmtId="3" fontId="15" fillId="0" borderId="83" xfId="59" applyNumberFormat="1" applyFont="1" applyBorder="1" applyAlignment="1">
      <alignment horizontal="right" vertical="center"/>
      <protection/>
    </xf>
    <xf numFmtId="0" fontId="61" fillId="0" borderId="79" xfId="59" applyFont="1" applyBorder="1" applyAlignment="1">
      <alignment horizontal="left" vertical="center"/>
      <protection/>
    </xf>
    <xf numFmtId="0" fontId="61" fillId="0" borderId="80" xfId="59" applyFont="1" applyBorder="1" applyAlignment="1">
      <alignment horizontal="left" vertical="center"/>
      <protection/>
    </xf>
    <xf numFmtId="0" fontId="61" fillId="0" borderId="79" xfId="59" applyFont="1" applyBorder="1" applyAlignment="1">
      <alignment horizontal="left"/>
      <protection/>
    </xf>
    <xf numFmtId="0" fontId="61" fillId="0" borderId="80" xfId="59" applyFont="1" applyBorder="1" applyAlignment="1">
      <alignment horizontal="left"/>
      <protection/>
    </xf>
    <xf numFmtId="0" fontId="22" fillId="0" borderId="83" xfId="59" applyFont="1" applyBorder="1" applyAlignment="1">
      <alignment horizontal="left" vertical="center" wrapText="1"/>
      <protection/>
    </xf>
    <xf numFmtId="0" fontId="22" fillId="0" borderId="80" xfId="59" applyFont="1" applyBorder="1" applyAlignment="1">
      <alignment horizontal="left" vertical="center" wrapText="1"/>
      <protection/>
    </xf>
    <xf numFmtId="0" fontId="22" fillId="0" borderId="87" xfId="59" applyFont="1" applyBorder="1" applyAlignment="1">
      <alignment horizontal="left" vertical="center"/>
      <protection/>
    </xf>
    <xf numFmtId="0" fontId="22" fillId="0" borderId="56" xfId="59" applyFont="1" applyBorder="1" applyAlignment="1">
      <alignment horizontal="left" vertical="center"/>
      <protection/>
    </xf>
    <xf numFmtId="3" fontId="15" fillId="0" borderId="146" xfId="59" applyNumberFormat="1" applyFont="1" applyBorder="1" applyAlignment="1">
      <alignment horizontal="right" vertical="center" wrapText="1"/>
      <protection/>
    </xf>
    <xf numFmtId="3" fontId="15" fillId="0" borderId="111" xfId="59" applyNumberFormat="1" applyFont="1" applyBorder="1" applyAlignment="1">
      <alignment horizontal="right" vertical="center" wrapText="1"/>
      <protection/>
    </xf>
    <xf numFmtId="0" fontId="60" fillId="0" borderId="66" xfId="59" applyFont="1" applyBorder="1" applyAlignment="1">
      <alignment horizontal="center" vertical="center"/>
      <protection/>
    </xf>
    <xf numFmtId="0" fontId="18" fillId="0" borderId="49" xfId="59" applyFont="1" applyBorder="1" applyAlignment="1">
      <alignment horizontal="center" vertical="center"/>
      <protection/>
    </xf>
    <xf numFmtId="0" fontId="18" fillId="0" borderId="102" xfId="59" applyFont="1" applyBorder="1" applyAlignment="1">
      <alignment horizontal="center" vertical="center"/>
      <protection/>
    </xf>
    <xf numFmtId="0" fontId="18" fillId="0" borderId="95" xfId="59" applyFont="1" applyBorder="1" applyAlignment="1">
      <alignment horizontal="center" vertical="center"/>
      <protection/>
    </xf>
    <xf numFmtId="0" fontId="18" fillId="0" borderId="46" xfId="59" applyFont="1" applyBorder="1" applyAlignment="1">
      <alignment horizontal="center" vertical="center"/>
      <protection/>
    </xf>
    <xf numFmtId="0" fontId="18" fillId="0" borderId="48" xfId="59" applyFont="1" applyBorder="1" applyAlignment="1">
      <alignment horizontal="center" vertical="center"/>
      <protection/>
    </xf>
    <xf numFmtId="0" fontId="45" fillId="0" borderId="0" xfId="60" applyFont="1" applyFill="1" applyAlignment="1">
      <alignment horizontal="center" vertical="center" wrapText="1"/>
      <protection/>
    </xf>
    <xf numFmtId="0" fontId="22" fillId="0" borderId="58" xfId="59" applyFont="1" applyBorder="1" applyAlignment="1">
      <alignment horizontal="left" vertical="center" wrapText="1"/>
      <protection/>
    </xf>
    <xf numFmtId="0" fontId="22" fillId="0" borderId="52" xfId="59" applyFont="1" applyBorder="1" applyAlignment="1">
      <alignment horizontal="left" vertical="center" wrapText="1"/>
      <protection/>
    </xf>
    <xf numFmtId="0" fontId="22" fillId="0" borderId="87" xfId="59" applyFont="1" applyBorder="1" applyAlignment="1">
      <alignment horizontal="left"/>
      <protection/>
    </xf>
    <xf numFmtId="3" fontId="15" fillId="0" borderId="154" xfId="59" applyNumberFormat="1" applyFont="1" applyBorder="1" applyAlignment="1">
      <alignment horizontal="right" vertical="center"/>
      <protection/>
    </xf>
    <xf numFmtId="3" fontId="15" fillId="0" borderId="84" xfId="59" applyNumberFormat="1" applyFont="1" applyBorder="1" applyAlignment="1">
      <alignment horizontal="right" vertical="center"/>
      <protection/>
    </xf>
    <xf numFmtId="3" fontId="15" fillId="0" borderId="65" xfId="59" applyNumberFormat="1" applyFont="1" applyBorder="1" applyAlignment="1">
      <alignment horizontal="right" vertical="center"/>
      <protection/>
    </xf>
    <xf numFmtId="3" fontId="15" fillId="0" borderId="149" xfId="59" applyNumberFormat="1" applyFont="1" applyBorder="1" applyAlignment="1">
      <alignment horizontal="right" vertical="center"/>
      <protection/>
    </xf>
    <xf numFmtId="0" fontId="22" fillId="0" borderId="149" xfId="59" applyFont="1" applyBorder="1" applyAlignment="1">
      <alignment horizontal="left" wrapText="1"/>
      <protection/>
    </xf>
    <xf numFmtId="0" fontId="22" fillId="0" borderId="46" xfId="59" applyFont="1" applyBorder="1" applyAlignment="1">
      <alignment horizontal="left" wrapText="1"/>
      <protection/>
    </xf>
    <xf numFmtId="0" fontId="23" fillId="0" borderId="80" xfId="59" applyFont="1" applyBorder="1" applyAlignment="1">
      <alignment horizontal="right" vertical="center"/>
      <protection/>
    </xf>
    <xf numFmtId="0" fontId="23" fillId="0" borderId="110" xfId="59" applyFont="1" applyBorder="1" applyAlignment="1">
      <alignment horizontal="right" vertical="center"/>
      <protection/>
    </xf>
    <xf numFmtId="0" fontId="16" fillId="0" borderId="0" xfId="60" applyFont="1" applyFill="1" applyAlignment="1">
      <alignment horizontal="right" vertical="center"/>
      <protection/>
    </xf>
    <xf numFmtId="0" fontId="16" fillId="0" borderId="0" xfId="60" applyFont="1" applyAlignment="1">
      <alignment horizontal="right"/>
      <protection/>
    </xf>
    <xf numFmtId="0" fontId="16" fillId="0" borderId="0" xfId="0" applyFont="1" applyAlignment="1">
      <alignment/>
    </xf>
    <xf numFmtId="0" fontId="15" fillId="0" borderId="66" xfId="60" applyFont="1" applyFill="1" applyBorder="1" applyAlignment="1">
      <alignment horizontal="center" vertical="center" wrapText="1"/>
      <protection/>
    </xf>
    <xf numFmtId="0" fontId="18" fillId="0" borderId="49" xfId="0" applyFont="1" applyBorder="1" applyAlignment="1">
      <alignment horizontal="center" vertical="center" wrapText="1"/>
    </xf>
    <xf numFmtId="0" fontId="15" fillId="0" borderId="155" xfId="60" applyFont="1" applyFill="1" applyBorder="1" applyAlignment="1">
      <alignment horizontal="center" vertical="center" wrapText="1"/>
      <protection/>
    </xf>
    <xf numFmtId="0" fontId="18" fillId="0" borderId="156" xfId="0" applyFont="1" applyBorder="1" applyAlignment="1">
      <alignment horizontal="center" vertical="center" wrapText="1"/>
    </xf>
    <xf numFmtId="0" fontId="18" fillId="0" borderId="157" xfId="0" applyFont="1" applyBorder="1" applyAlignment="1">
      <alignment horizontal="center" vertical="center" wrapText="1"/>
    </xf>
    <xf numFmtId="0" fontId="60" fillId="0" borderId="66" xfId="59" applyFont="1" applyBorder="1" applyAlignment="1">
      <alignment horizontal="center" vertical="center" wrapText="1"/>
      <protection/>
    </xf>
    <xf numFmtId="0" fontId="60" fillId="0" borderId="49" xfId="59" applyFont="1" applyBorder="1" applyAlignment="1">
      <alignment horizontal="center" vertical="center" wrapText="1"/>
      <protection/>
    </xf>
    <xf numFmtId="0" fontId="60" fillId="0" borderId="95" xfId="59" applyFont="1" applyBorder="1" applyAlignment="1">
      <alignment horizontal="center" vertical="center" wrapText="1"/>
      <protection/>
    </xf>
    <xf numFmtId="0" fontId="60" fillId="0" borderId="46" xfId="59" applyFont="1" applyBorder="1" applyAlignment="1">
      <alignment horizontal="center" vertical="center" wrapText="1"/>
      <protection/>
    </xf>
    <xf numFmtId="0" fontId="60" fillId="0" borderId="49" xfId="60" applyFont="1" applyFill="1" applyBorder="1" applyAlignment="1">
      <alignment horizontal="center" vertical="center" wrapText="1"/>
      <protection/>
    </xf>
    <xf numFmtId="0" fontId="60" fillId="0" borderId="102" xfId="60" applyFont="1" applyFill="1" applyBorder="1" applyAlignment="1">
      <alignment horizontal="center" vertical="center" wrapText="1"/>
      <protection/>
    </xf>
    <xf numFmtId="0" fontId="60" fillId="0" borderId="149" xfId="60" applyFont="1" applyFill="1" applyBorder="1" applyAlignment="1">
      <alignment horizontal="center" vertical="center" wrapText="1"/>
      <protection/>
    </xf>
    <xf numFmtId="0" fontId="60" fillId="0" borderId="46" xfId="60" applyFont="1" applyFill="1" applyBorder="1" applyAlignment="1">
      <alignment horizontal="center" vertical="center" wrapText="1"/>
      <protection/>
    </xf>
    <xf numFmtId="0" fontId="60" fillId="0" borderId="48" xfId="60" applyFont="1" applyFill="1" applyBorder="1" applyAlignment="1">
      <alignment horizontal="center" vertical="center" wrapText="1"/>
      <protection/>
    </xf>
    <xf numFmtId="0" fontId="15" fillId="0" borderId="71" xfId="60" applyFont="1" applyFill="1" applyBorder="1" applyAlignment="1">
      <alignment horizontal="center" vertical="center" wrapText="1"/>
      <protection/>
    </xf>
    <xf numFmtId="0" fontId="18" fillId="0" borderId="68" xfId="0" applyFont="1" applyBorder="1" applyAlignment="1">
      <alignment/>
    </xf>
    <xf numFmtId="0" fontId="23" fillId="0" borderId="52" xfId="59" applyFont="1" applyBorder="1" applyAlignment="1">
      <alignment horizontal="right"/>
      <protection/>
    </xf>
    <xf numFmtId="0" fontId="23" fillId="0" borderId="0" xfId="59" applyFont="1" applyBorder="1" applyAlignment="1">
      <alignment horizontal="right"/>
      <protection/>
    </xf>
    <xf numFmtId="0" fontId="23" fillId="0" borderId="54" xfId="59" applyFont="1" applyBorder="1" applyAlignment="1">
      <alignment horizontal="right"/>
      <protection/>
    </xf>
    <xf numFmtId="0" fontId="22" fillId="0" borderId="65" xfId="59" applyFont="1" applyBorder="1" applyAlignment="1">
      <alignment horizontal="left" vertical="center"/>
      <protection/>
    </xf>
    <xf numFmtId="0" fontId="22" fillId="0" borderId="49" xfId="59" applyFont="1" applyBorder="1" applyAlignment="1">
      <alignment horizontal="left" vertical="center"/>
      <protection/>
    </xf>
    <xf numFmtId="0" fontId="18" fillId="0" borderId="158" xfId="0" applyFont="1" applyBorder="1" applyAlignment="1">
      <alignment/>
    </xf>
    <xf numFmtId="0" fontId="15" fillId="0" borderId="65" xfId="60" applyFont="1" applyFill="1" applyBorder="1" applyAlignment="1">
      <alignment horizontal="center" vertical="center" wrapText="1"/>
      <protection/>
    </xf>
    <xf numFmtId="0" fontId="15" fillId="36" borderId="76" xfId="59" applyFont="1" applyFill="1" applyBorder="1" applyAlignment="1">
      <alignment horizontal="right" vertical="center"/>
      <protection/>
    </xf>
    <xf numFmtId="0" fontId="18" fillId="36" borderId="89" xfId="0" applyFont="1" applyFill="1" applyBorder="1" applyAlignment="1">
      <alignment horizontal="right" vertical="center"/>
    </xf>
    <xf numFmtId="0" fontId="18" fillId="36" borderId="159" xfId="0" applyFont="1" applyFill="1" applyBorder="1" applyAlignment="1">
      <alignment horizontal="right" vertical="center"/>
    </xf>
    <xf numFmtId="0" fontId="15" fillId="36" borderId="89" xfId="59" applyFont="1" applyFill="1" applyBorder="1" applyAlignment="1">
      <alignment vertical="center"/>
      <protection/>
    </xf>
    <xf numFmtId="0" fontId="15" fillId="36" borderId="89" xfId="0" applyFont="1" applyFill="1" applyBorder="1" applyAlignment="1">
      <alignment vertical="center"/>
    </xf>
    <xf numFmtId="0" fontId="15" fillId="36" borderId="153" xfId="0" applyFont="1" applyFill="1" applyBorder="1" applyAlignment="1">
      <alignment vertical="center"/>
    </xf>
    <xf numFmtId="0" fontId="18" fillId="0" borderId="49" xfId="0" applyFont="1" applyBorder="1" applyAlignment="1">
      <alignment vertical="center"/>
    </xf>
    <xf numFmtId="0" fontId="18" fillId="0" borderId="63" xfId="0" applyFont="1" applyBorder="1" applyAlignment="1">
      <alignment vertical="center"/>
    </xf>
    <xf numFmtId="0" fontId="18" fillId="0" borderId="95" xfId="0" applyFont="1" applyBorder="1" applyAlignment="1">
      <alignment vertical="center"/>
    </xf>
    <xf numFmtId="0" fontId="18" fillId="0" borderId="46" xfId="0" applyFont="1" applyBorder="1" applyAlignment="1">
      <alignment vertical="center"/>
    </xf>
    <xf numFmtId="0" fontId="18" fillId="0" borderId="26" xfId="0" applyFont="1" applyBorder="1" applyAlignment="1">
      <alignment vertical="center"/>
    </xf>
    <xf numFmtId="0" fontId="18" fillId="0" borderId="95" xfId="0" applyFont="1" applyBorder="1" applyAlignment="1">
      <alignment/>
    </xf>
    <xf numFmtId="0" fontId="18" fillId="0" borderId="0" xfId="0" applyFont="1" applyBorder="1" applyAlignment="1">
      <alignment/>
    </xf>
    <xf numFmtId="3" fontId="15" fillId="0" borderId="62" xfId="59" applyNumberFormat="1" applyFont="1" applyBorder="1" applyAlignment="1">
      <alignment horizontal="right" vertical="center"/>
      <protection/>
    </xf>
    <xf numFmtId="0" fontId="60" fillId="36" borderId="89" xfId="59" applyFont="1" applyFill="1" applyBorder="1" applyAlignment="1">
      <alignment/>
      <protection/>
    </xf>
    <xf numFmtId="0" fontId="60" fillId="36" borderId="153" xfId="59" applyFont="1" applyFill="1" applyBorder="1" applyAlignment="1">
      <alignment/>
      <protection/>
    </xf>
    <xf numFmtId="3" fontId="22" fillId="0" borderId="61" xfId="59" applyNumberFormat="1" applyFont="1" applyBorder="1" applyAlignment="1">
      <alignment horizontal="right" vertical="center"/>
      <protection/>
    </xf>
    <xf numFmtId="0" fontId="61" fillId="0" borderId="57" xfId="59" applyFont="1" applyBorder="1" applyAlignment="1">
      <alignment horizontal="left"/>
      <protection/>
    </xf>
    <xf numFmtId="0" fontId="61" fillId="0" borderId="0" xfId="59" applyFont="1" applyBorder="1" applyAlignment="1">
      <alignment horizontal="left"/>
      <protection/>
    </xf>
    <xf numFmtId="0" fontId="18" fillId="0" borderId="0" xfId="0" applyFont="1" applyBorder="1" applyAlignment="1">
      <alignment horizontal="right"/>
    </xf>
    <xf numFmtId="0" fontId="18" fillId="0" borderId="54" xfId="0" applyFont="1" applyBorder="1" applyAlignment="1">
      <alignment horizontal="right"/>
    </xf>
    <xf numFmtId="0" fontId="60" fillId="36" borderId="79" xfId="59" applyFont="1" applyFill="1" applyBorder="1" applyAlignment="1">
      <alignment vertical="center" wrapText="1"/>
      <protection/>
    </xf>
    <xf numFmtId="0" fontId="14" fillId="36" borderId="80" xfId="0" applyFont="1" applyFill="1" applyBorder="1" applyAlignment="1">
      <alignment vertical="center" wrapText="1"/>
    </xf>
    <xf numFmtId="0" fontId="14" fillId="36" borderId="110" xfId="0" applyFont="1" applyFill="1" applyBorder="1" applyAlignment="1">
      <alignment vertical="center" wrapText="1"/>
    </xf>
    <xf numFmtId="0" fontId="22" fillId="0" borderId="58" xfId="59" applyFont="1" applyBorder="1" applyAlignment="1">
      <alignment horizontal="left" wrapText="1"/>
      <protection/>
    </xf>
    <xf numFmtId="0" fontId="61" fillId="0" borderId="57" xfId="59" applyFont="1" applyBorder="1" applyAlignment="1">
      <alignment horizontal="left" wrapText="1"/>
      <protection/>
    </xf>
    <xf numFmtId="0" fontId="61" fillId="0" borderId="0" xfId="59" applyFont="1" applyBorder="1" applyAlignment="1">
      <alignment horizontal="left" wrapText="1"/>
      <protection/>
    </xf>
    <xf numFmtId="0" fontId="15" fillId="36" borderId="76" xfId="59" applyFont="1" applyFill="1" applyBorder="1" applyAlignment="1">
      <alignment horizontal="right" vertical="center" wrapText="1"/>
      <protection/>
    </xf>
    <xf numFmtId="0" fontId="18" fillId="36" borderId="89" xfId="0" applyFont="1" applyFill="1" applyBorder="1" applyAlignment="1">
      <alignment horizontal="right" vertical="center" wrapText="1"/>
    </xf>
    <xf numFmtId="0" fontId="18" fillId="36" borderId="159" xfId="0" applyFont="1" applyFill="1" applyBorder="1" applyAlignment="1">
      <alignment horizontal="right" vertical="center" wrapText="1"/>
    </xf>
    <xf numFmtId="0" fontId="60" fillId="0" borderId="49" xfId="59" applyFont="1" applyBorder="1" applyAlignment="1">
      <alignment horizontal="center" vertical="center"/>
      <protection/>
    </xf>
    <xf numFmtId="0" fontId="60" fillId="0" borderId="102" xfId="59" applyFont="1" applyBorder="1" applyAlignment="1">
      <alignment horizontal="center" vertical="center"/>
      <protection/>
    </xf>
    <xf numFmtId="0" fontId="60" fillId="0" borderId="95" xfId="59" applyFont="1" applyBorder="1" applyAlignment="1">
      <alignment horizontal="center" vertical="center"/>
      <protection/>
    </xf>
    <xf numFmtId="0" fontId="60" fillId="0" borderId="46" xfId="59" applyFont="1" applyBorder="1" applyAlignment="1">
      <alignment horizontal="center" vertical="center"/>
      <protection/>
    </xf>
    <xf numFmtId="0" fontId="60" fillId="0" borderId="48" xfId="59" applyFont="1" applyBorder="1" applyAlignment="1">
      <alignment horizontal="center" vertical="center"/>
      <protection/>
    </xf>
    <xf numFmtId="0" fontId="46" fillId="0" borderId="160" xfId="59" applyFont="1" applyBorder="1" applyAlignment="1">
      <alignment horizontal="center"/>
      <protection/>
    </xf>
    <xf numFmtId="0" fontId="18" fillId="0" borderId="77" xfId="0" applyFont="1" applyBorder="1" applyAlignment="1">
      <alignment horizontal="center"/>
    </xf>
    <xf numFmtId="0" fontId="18" fillId="0" borderId="100" xfId="0" applyFont="1" applyBorder="1" applyAlignment="1">
      <alignment horizontal="center"/>
    </xf>
    <xf numFmtId="0" fontId="23" fillId="0" borderId="58" xfId="59" applyFont="1" applyBorder="1" applyAlignment="1">
      <alignment horizontal="right" vertical="center"/>
      <protection/>
    </xf>
    <xf numFmtId="0" fontId="23" fillId="0" borderId="56" xfId="59" applyFont="1" applyBorder="1" applyAlignment="1">
      <alignment horizontal="right" vertical="center"/>
      <protection/>
    </xf>
    <xf numFmtId="0" fontId="23" fillId="0" borderId="53" xfId="59" applyFont="1" applyBorder="1" applyAlignment="1">
      <alignment horizontal="right" vertical="center"/>
      <protection/>
    </xf>
    <xf numFmtId="0" fontId="23" fillId="0" borderId="52" xfId="59" applyFont="1" applyBorder="1" applyAlignment="1">
      <alignment horizontal="right" vertical="center"/>
      <protection/>
    </xf>
    <xf numFmtId="0" fontId="23" fillId="0" borderId="0" xfId="59" applyFont="1" applyBorder="1" applyAlignment="1">
      <alignment horizontal="right" vertical="center"/>
      <protection/>
    </xf>
    <xf numFmtId="0" fontId="23" fillId="0" borderId="54" xfId="59" applyFont="1" applyBorder="1" applyAlignment="1">
      <alignment horizontal="right" vertical="center"/>
      <protection/>
    </xf>
    <xf numFmtId="0" fontId="46" fillId="0" borderId="49" xfId="59" applyFont="1" applyBorder="1" applyAlignment="1">
      <alignment horizontal="center"/>
      <protection/>
    </xf>
    <xf numFmtId="0" fontId="18" fillId="0" borderId="49" xfId="0" applyFont="1" applyBorder="1" applyAlignment="1">
      <alignment horizontal="center"/>
    </xf>
    <xf numFmtId="3" fontId="19" fillId="0" borderId="78" xfId="59" applyNumberFormat="1" applyFont="1" applyBorder="1" applyAlignment="1">
      <alignment horizontal="right" vertical="center"/>
      <protection/>
    </xf>
    <xf numFmtId="3" fontId="19" fillId="0" borderId="32" xfId="59" applyNumberFormat="1" applyFont="1" applyBorder="1" applyAlignment="1">
      <alignment horizontal="right" vertical="center"/>
      <protection/>
    </xf>
    <xf numFmtId="3" fontId="19" fillId="0" borderId="59" xfId="59" applyNumberFormat="1" applyFont="1" applyBorder="1" applyAlignment="1">
      <alignment horizontal="right" vertical="center"/>
      <protection/>
    </xf>
    <xf numFmtId="3" fontId="19" fillId="0" borderId="55" xfId="59" applyNumberFormat="1" applyFont="1" applyBorder="1" applyAlignment="1">
      <alignment horizontal="right" vertical="center"/>
      <protection/>
    </xf>
    <xf numFmtId="0" fontId="60" fillId="0" borderId="80" xfId="59" applyFont="1" applyBorder="1" applyAlignment="1">
      <alignment/>
      <protection/>
    </xf>
    <xf numFmtId="0" fontId="60" fillId="0" borderId="101" xfId="59" applyFont="1" applyBorder="1" applyAlignment="1">
      <alignment/>
      <protection/>
    </xf>
    <xf numFmtId="0" fontId="15" fillId="0" borderId="80" xfId="59" applyFont="1" applyBorder="1" applyAlignment="1">
      <alignment/>
      <protection/>
    </xf>
    <xf numFmtId="0" fontId="15" fillId="0" borderId="80" xfId="0" applyFont="1" applyBorder="1" applyAlignment="1">
      <alignment/>
    </xf>
    <xf numFmtId="0" fontId="15" fillId="0" borderId="101" xfId="0" applyFont="1" applyBorder="1" applyAlignment="1">
      <alignment/>
    </xf>
    <xf numFmtId="0" fontId="22" fillId="0" borderId="45" xfId="59" applyFont="1" applyBorder="1" applyAlignment="1">
      <alignment horizontal="left" vertical="center" wrapText="1"/>
      <protection/>
    </xf>
    <xf numFmtId="0" fontId="22" fillId="0" borderId="103" xfId="59" applyFont="1" applyBorder="1" applyAlignment="1">
      <alignment horizontal="left" vertical="center" wrapText="1"/>
      <protection/>
    </xf>
    <xf numFmtId="3" fontId="15" fillId="0" borderId="146" xfId="59" applyNumberFormat="1" applyFont="1" applyBorder="1" applyAlignment="1">
      <alignment horizontal="center" vertical="center"/>
      <protection/>
    </xf>
    <xf numFmtId="3" fontId="15" fillId="0" borderId="111" xfId="59" applyNumberFormat="1" applyFont="1" applyBorder="1" applyAlignment="1">
      <alignment horizontal="center" vertical="center"/>
      <protection/>
    </xf>
    <xf numFmtId="0" fontId="60" fillId="0" borderId="68" xfId="60" applyFont="1" applyFill="1" applyBorder="1" applyAlignment="1">
      <alignment horizontal="center" vertical="center" wrapText="1"/>
      <protection/>
    </xf>
    <xf numFmtId="0" fontId="60" fillId="0" borderId="158" xfId="60" applyFont="1" applyFill="1" applyBorder="1" applyAlignment="1">
      <alignment horizontal="center" vertical="center" wrapText="1"/>
      <protection/>
    </xf>
    <xf numFmtId="0" fontId="22" fillId="0" borderId="52" xfId="59" applyFont="1" applyBorder="1" applyAlignment="1">
      <alignment horizontal="left"/>
      <protection/>
    </xf>
    <xf numFmtId="0" fontId="15" fillId="36" borderId="89" xfId="59" applyFont="1" applyFill="1" applyBorder="1" applyAlignment="1">
      <alignment/>
      <protection/>
    </xf>
    <xf numFmtId="0" fontId="15" fillId="36" borderId="89" xfId="0" applyFont="1" applyFill="1" applyBorder="1" applyAlignment="1">
      <alignment/>
    </xf>
    <xf numFmtId="0" fontId="15" fillId="36" borderId="153" xfId="0" applyFont="1" applyFill="1" applyBorder="1" applyAlignment="1">
      <alignment/>
    </xf>
    <xf numFmtId="0" fontId="22" fillId="0" borderId="58" xfId="59" applyFont="1" applyBorder="1" applyAlignment="1">
      <alignment horizontal="center" vertical="center"/>
      <protection/>
    </xf>
    <xf numFmtId="0" fontId="22" fillId="0" borderId="56" xfId="59" applyFont="1" applyBorder="1" applyAlignment="1">
      <alignment horizontal="center" vertical="center"/>
      <protection/>
    </xf>
    <xf numFmtId="0" fontId="22" fillId="0" borderId="52" xfId="59" applyFont="1" applyBorder="1" applyAlignment="1">
      <alignment horizontal="center" vertical="center"/>
      <protection/>
    </xf>
    <xf numFmtId="0" fontId="22" fillId="0" borderId="0" xfId="59" applyFont="1" applyBorder="1" applyAlignment="1">
      <alignment horizontal="center" vertical="center"/>
      <protection/>
    </xf>
    <xf numFmtId="0" fontId="15" fillId="36" borderId="76" xfId="59" applyFont="1" applyFill="1" applyBorder="1" applyAlignment="1">
      <alignment horizontal="right"/>
      <protection/>
    </xf>
    <xf numFmtId="0" fontId="18" fillId="36" borderId="89" xfId="0" applyFont="1" applyFill="1" applyBorder="1" applyAlignment="1">
      <alignment horizontal="right"/>
    </xf>
    <xf numFmtId="0" fontId="18" fillId="36" borderId="159" xfId="0" applyFont="1" applyFill="1" applyBorder="1" applyAlignment="1">
      <alignment horizontal="right"/>
    </xf>
    <xf numFmtId="0" fontId="21" fillId="0" borderId="0" xfId="0" applyFont="1" applyAlignment="1">
      <alignment horizontal="center"/>
    </xf>
    <xf numFmtId="0" fontId="8" fillId="0" borderId="14" xfId="0" applyFont="1" applyFill="1" applyBorder="1" applyAlignment="1">
      <alignment horizontal="left" vertical="center"/>
    </xf>
    <xf numFmtId="0" fontId="8" fillId="0" borderId="16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34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left" vertical="center"/>
    </xf>
    <xf numFmtId="0" fontId="7" fillId="0" borderId="24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41" fillId="0" borderId="0" xfId="0" applyFont="1" applyAlignment="1">
      <alignment/>
    </xf>
    <xf numFmtId="0" fontId="62" fillId="0" borderId="0" xfId="0" applyFont="1" applyFill="1" applyAlignment="1">
      <alignment horizontal="center" vertical="center"/>
    </xf>
    <xf numFmtId="0" fontId="7" fillId="0" borderId="122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17" fillId="0" borderId="22" xfId="0" applyFont="1" applyBorder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20" fillId="0" borderId="43" xfId="0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72" fillId="0" borderId="22" xfId="0" applyFont="1" applyBorder="1" applyAlignment="1">
      <alignment horizontal="center" vertical="center"/>
    </xf>
    <xf numFmtId="0" fontId="15" fillId="0" borderId="0" xfId="62" applyFont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20" fillId="0" borderId="34" xfId="62" applyFont="1" applyBorder="1" applyAlignment="1">
      <alignment horizontal="center" vertical="center"/>
      <protection/>
    </xf>
    <xf numFmtId="0" fontId="20" fillId="0" borderId="21" xfId="62" applyFont="1" applyBorder="1" applyAlignment="1">
      <alignment horizontal="center" vertical="center"/>
      <protection/>
    </xf>
    <xf numFmtId="0" fontId="15" fillId="0" borderId="35" xfId="62" applyFont="1" applyBorder="1" applyAlignment="1">
      <alignment horizontal="center" vertical="center" wrapText="1"/>
      <protection/>
    </xf>
    <xf numFmtId="0" fontId="15" fillId="0" borderId="22" xfId="62" applyFont="1" applyBorder="1" applyAlignment="1">
      <alignment horizontal="center" vertical="center" wrapText="1"/>
      <protection/>
    </xf>
    <xf numFmtId="0" fontId="15" fillId="0" borderId="10" xfId="62" applyFont="1" applyBorder="1" applyAlignment="1">
      <alignment horizontal="center" vertical="center" wrapText="1"/>
      <protection/>
    </xf>
    <xf numFmtId="0" fontId="15" fillId="0" borderId="23" xfId="62" applyFont="1" applyBorder="1" applyAlignment="1">
      <alignment horizontal="center" vertical="center" wrapText="1"/>
      <protection/>
    </xf>
    <xf numFmtId="0" fontId="2" fillId="33" borderId="22" xfId="61" applyFont="1" applyFill="1" applyBorder="1" applyAlignment="1">
      <alignment horizontal="right"/>
      <protection/>
    </xf>
    <xf numFmtId="0" fontId="2" fillId="33" borderId="14" xfId="61" applyFont="1" applyFill="1" applyBorder="1" applyAlignment="1">
      <alignment horizontal="right"/>
      <protection/>
    </xf>
    <xf numFmtId="0" fontId="39" fillId="33" borderId="22" xfId="61" applyFont="1" applyFill="1" applyBorder="1" applyAlignment="1">
      <alignment horizontal="left"/>
      <protection/>
    </xf>
    <xf numFmtId="0" fontId="39" fillId="33" borderId="14" xfId="61" applyFont="1" applyFill="1" applyBorder="1" applyAlignment="1">
      <alignment horizontal="left"/>
      <protection/>
    </xf>
    <xf numFmtId="0" fontId="1" fillId="0" borderId="146" xfId="61" applyFont="1" applyBorder="1" applyAlignment="1">
      <alignment horizontal="center" vertical="center" wrapText="1"/>
      <protection/>
    </xf>
    <xf numFmtId="0" fontId="13" fillId="0" borderId="30" xfId="61" applyBorder="1" applyAlignment="1">
      <alignment horizontal="center" vertical="center" wrapText="1"/>
      <protection/>
    </xf>
    <xf numFmtId="0" fontId="1" fillId="0" borderId="15" xfId="61" applyFont="1" applyBorder="1" applyAlignment="1">
      <alignment horizontal="center" vertical="center"/>
      <protection/>
    </xf>
    <xf numFmtId="0" fontId="1" fillId="0" borderId="25" xfId="61" applyFont="1" applyBorder="1" applyAlignment="1">
      <alignment horizontal="center" vertical="center"/>
      <protection/>
    </xf>
    <xf numFmtId="0" fontId="1" fillId="0" borderId="22" xfId="61" applyFont="1" applyBorder="1" applyAlignment="1">
      <alignment horizontal="center" vertical="center"/>
      <protection/>
    </xf>
    <xf numFmtId="0" fontId="1" fillId="0" borderId="0" xfId="61" applyFont="1" applyAlignment="1">
      <alignment horizontal="center" wrapText="1"/>
      <protection/>
    </xf>
    <xf numFmtId="0" fontId="1" fillId="0" borderId="0" xfId="61" applyFont="1" applyAlignment="1">
      <alignment horizontal="center"/>
      <protection/>
    </xf>
    <xf numFmtId="0" fontId="1" fillId="0" borderId="35" xfId="61" applyFont="1" applyBorder="1" applyAlignment="1">
      <alignment horizontal="center" vertical="center"/>
      <protection/>
    </xf>
    <xf numFmtId="0" fontId="1" fillId="0" borderId="140" xfId="61" applyFont="1" applyBorder="1" applyAlignment="1">
      <alignment horizontal="center" vertical="center"/>
      <protection/>
    </xf>
    <xf numFmtId="0" fontId="1" fillId="0" borderId="34" xfId="61" applyFont="1" applyBorder="1" applyAlignment="1">
      <alignment horizontal="center" vertical="center"/>
      <protection/>
    </xf>
    <xf numFmtId="0" fontId="1" fillId="0" borderId="10" xfId="61" applyFont="1" applyBorder="1" applyAlignment="1">
      <alignment horizontal="center" vertical="center"/>
      <protection/>
    </xf>
    <xf numFmtId="0" fontId="1" fillId="0" borderId="34" xfId="61" applyFont="1" applyBorder="1" applyAlignment="1">
      <alignment horizontal="center" vertical="center" wrapText="1"/>
      <protection/>
    </xf>
    <xf numFmtId="0" fontId="1" fillId="0" borderId="122" xfId="61" applyFont="1" applyBorder="1" applyAlignment="1">
      <alignment horizontal="center" vertical="center" wrapText="1"/>
      <protection/>
    </xf>
    <xf numFmtId="0" fontId="1" fillId="0" borderId="35" xfId="61" applyFont="1" applyBorder="1" applyAlignment="1">
      <alignment horizontal="center" vertical="center" wrapText="1"/>
      <protection/>
    </xf>
    <xf numFmtId="0" fontId="1" fillId="0" borderId="10" xfId="61" applyFont="1" applyBorder="1" applyAlignment="1">
      <alignment horizontal="center" vertical="center" wrapText="1"/>
      <protection/>
    </xf>
    <xf numFmtId="0" fontId="21" fillId="0" borderId="65" xfId="0" applyFont="1" applyBorder="1" applyAlignment="1">
      <alignment horizontal="center"/>
    </xf>
    <xf numFmtId="0" fontId="21" fillId="0" borderId="49" xfId="0" applyFont="1" applyBorder="1" applyAlignment="1">
      <alignment horizontal="center"/>
    </xf>
    <xf numFmtId="0" fontId="21" fillId="0" borderId="102" xfId="0" applyFont="1" applyBorder="1" applyAlignment="1">
      <alignment horizontal="center"/>
    </xf>
    <xf numFmtId="0" fontId="68" fillId="0" borderId="161" xfId="0" applyFont="1" applyBorder="1" applyAlignment="1">
      <alignment horizontal="left" vertical="center" wrapText="1"/>
    </xf>
    <xf numFmtId="0" fontId="68" fillId="0" borderId="162" xfId="0" applyFont="1" applyBorder="1" applyAlignment="1">
      <alignment horizontal="left" vertical="center" wrapText="1"/>
    </xf>
    <xf numFmtId="0" fontId="68" fillId="0" borderId="163" xfId="0" applyFont="1" applyBorder="1" applyAlignment="1">
      <alignment horizontal="left" vertical="center" wrapText="1"/>
    </xf>
    <xf numFmtId="3" fontId="0" fillId="37" borderId="146" xfId="0" applyNumberFormat="1" applyFill="1" applyBorder="1" applyAlignment="1">
      <alignment horizontal="center"/>
    </xf>
    <xf numFmtId="3" fontId="0" fillId="37" borderId="111" xfId="0" applyNumberFormat="1" applyFill="1" applyBorder="1" applyAlignment="1">
      <alignment horizontal="center"/>
    </xf>
    <xf numFmtId="3" fontId="0" fillId="37" borderId="147" xfId="0" applyNumberFormat="1" applyFill="1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1" xfId="0" applyBorder="1" applyAlignment="1">
      <alignment horizontal="center"/>
    </xf>
    <xf numFmtId="3" fontId="0" fillId="37" borderId="82" xfId="0" applyNumberFormat="1" applyFill="1" applyBorder="1" applyAlignment="1">
      <alignment horizontal="center"/>
    </xf>
    <xf numFmtId="0" fontId="68" fillId="0" borderId="161" xfId="0" applyFont="1" applyBorder="1" applyAlignment="1">
      <alignment horizontal="left" vertical="center"/>
    </xf>
    <xf numFmtId="0" fontId="68" fillId="0" borderId="162" xfId="0" applyFont="1" applyBorder="1" applyAlignment="1">
      <alignment horizontal="left" vertical="center"/>
    </xf>
    <xf numFmtId="0" fontId="68" fillId="0" borderId="163" xfId="0" applyFont="1" applyBorder="1" applyAlignment="1">
      <alignment horizontal="left" vertical="center"/>
    </xf>
    <xf numFmtId="0" fontId="67" fillId="40" borderId="91" xfId="0" applyFont="1" applyFill="1" applyBorder="1" applyAlignment="1">
      <alignment horizontal="center" vertical="center"/>
    </xf>
    <xf numFmtId="0" fontId="67" fillId="40" borderId="77" xfId="0" applyFont="1" applyFill="1" applyBorder="1" applyAlignment="1">
      <alignment horizontal="center" vertical="center"/>
    </xf>
    <xf numFmtId="0" fontId="67" fillId="40" borderId="164" xfId="0" applyFont="1" applyFill="1" applyBorder="1" applyAlignment="1">
      <alignment horizontal="center" vertic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103" xfId="0" applyBorder="1" applyAlignment="1">
      <alignment horizontal="center"/>
    </xf>
    <xf numFmtId="0" fontId="0" fillId="0" borderId="62" xfId="0" applyBorder="1" applyAlignment="1">
      <alignment horizontal="center"/>
    </xf>
    <xf numFmtId="0" fontId="6" fillId="0" borderId="0" xfId="0" applyFont="1" applyAlignment="1">
      <alignment horizontal="right" vertical="center"/>
    </xf>
    <xf numFmtId="0" fontId="46" fillId="0" borderId="0" xfId="0" applyFont="1" applyAlignment="1">
      <alignment horizontal="center" wrapText="1"/>
    </xf>
    <xf numFmtId="0" fontId="19" fillId="0" borderId="146" xfId="0" applyFont="1" applyBorder="1" applyAlignment="1">
      <alignment horizontal="center" vertical="center" wrapText="1"/>
    </xf>
    <xf numFmtId="0" fontId="19" fillId="0" borderId="111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0" fontId="65" fillId="0" borderId="87" xfId="0" applyFont="1" applyBorder="1" applyAlignment="1">
      <alignment horizontal="center" vertical="center"/>
    </xf>
    <xf numFmtId="0" fontId="65" fillId="0" borderId="57" xfId="0" applyFont="1" applyBorder="1" applyAlignment="1">
      <alignment horizontal="center" vertical="center"/>
    </xf>
    <xf numFmtId="0" fontId="65" fillId="0" borderId="125" xfId="0" applyFont="1" applyBorder="1" applyAlignment="1">
      <alignment horizontal="center" vertical="center"/>
    </xf>
    <xf numFmtId="0" fontId="65" fillId="0" borderId="34" xfId="0" applyFont="1" applyBorder="1" applyAlignment="1">
      <alignment horizontal="center" vertical="center" wrapText="1"/>
    </xf>
    <xf numFmtId="0" fontId="65" fillId="0" borderId="35" xfId="0" applyFont="1" applyBorder="1" applyAlignment="1">
      <alignment horizontal="center" vertical="center" wrapText="1"/>
    </xf>
    <xf numFmtId="0" fontId="65" fillId="0" borderId="140" xfId="0" applyFont="1" applyBorder="1" applyAlignment="1">
      <alignment horizontal="center" vertical="center" wrapText="1"/>
    </xf>
    <xf numFmtId="0" fontId="66" fillId="0" borderId="146" xfId="0" applyFont="1" applyBorder="1" applyAlignment="1">
      <alignment horizontal="center" vertical="center" wrapText="1"/>
    </xf>
    <xf numFmtId="0" fontId="66" fillId="0" borderId="111" xfId="0" applyFont="1" applyBorder="1" applyAlignment="1">
      <alignment horizontal="center" vertical="center" wrapText="1"/>
    </xf>
    <xf numFmtId="0" fontId="66" fillId="0" borderId="30" xfId="0" applyFont="1" applyBorder="1" applyAlignment="1">
      <alignment horizontal="center" vertical="center" wrapText="1"/>
    </xf>
    <xf numFmtId="0" fontId="65" fillId="0" borderId="21" xfId="0" applyFont="1" applyBorder="1" applyAlignment="1">
      <alignment horizontal="center" vertical="center"/>
    </xf>
    <xf numFmtId="0" fontId="65" fillId="0" borderId="17" xfId="0" applyFont="1" applyBorder="1" applyAlignment="1">
      <alignment horizontal="center"/>
    </xf>
    <xf numFmtId="0" fontId="65" fillId="0" borderId="22" xfId="0" applyFont="1" applyBorder="1" applyAlignment="1">
      <alignment horizontal="center"/>
    </xf>
    <xf numFmtId="0" fontId="65" fillId="0" borderId="14" xfId="0" applyFont="1" applyBorder="1" applyAlignment="1">
      <alignment horizontal="center"/>
    </xf>
    <xf numFmtId="0" fontId="68" fillId="0" borderId="165" xfId="0" applyFont="1" applyBorder="1" applyAlignment="1">
      <alignment horizontal="left" vertical="center" wrapText="1"/>
    </xf>
    <xf numFmtId="0" fontId="68" fillId="0" borderId="156" xfId="0" applyFont="1" applyBorder="1" applyAlignment="1">
      <alignment horizontal="left" vertical="center" wrapText="1"/>
    </xf>
  </cellXfs>
  <cellStyles count="56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Figyelmeztetés" xfId="49"/>
    <cellStyle name="Hyperlink" xfId="50"/>
    <cellStyle name="Hivatkozott cella" xfId="51"/>
    <cellStyle name="Jegyzet" xfId="52"/>
    <cellStyle name="Jó" xfId="53"/>
    <cellStyle name="Kimenet" xfId="54"/>
    <cellStyle name="Followed Hyperlink" xfId="55"/>
    <cellStyle name="Magyarázó szöveg" xfId="56"/>
    <cellStyle name="Normál 2" xfId="57"/>
    <cellStyle name="Normál 3" xfId="58"/>
    <cellStyle name="Normál_Kötelező, önként vállalt, állami feladatok szerinti bontás" xfId="59"/>
    <cellStyle name="Normál_Munka1" xfId="60"/>
    <cellStyle name="Normál_NORM09" xfId="61"/>
    <cellStyle name="Normál_TABLAK_táblák2012előterj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201"/>
  <sheetViews>
    <sheetView tabSelected="1" zoomScalePageLayoutView="0" workbookViewId="0" topLeftCell="A1">
      <selection activeCell="B201" sqref="B201"/>
    </sheetView>
  </sheetViews>
  <sheetFormatPr defaultColWidth="9.00390625" defaultRowHeight="12.75"/>
  <cols>
    <col min="1" max="1" width="5.125" style="173" customWidth="1"/>
    <col min="2" max="3" width="9.125" style="173" customWidth="1"/>
    <col min="4" max="4" width="5.875" style="173" customWidth="1"/>
    <col min="5" max="5" width="49.875" style="173" customWidth="1"/>
    <col min="6" max="6" width="16.125" style="173" bestFit="1" customWidth="1"/>
    <col min="7" max="7" width="13.625" style="173" customWidth="1"/>
    <col min="8" max="9" width="15.125" style="173" customWidth="1"/>
    <col min="10" max="10" width="15.875" style="173" bestFit="1" customWidth="1"/>
    <col min="11" max="11" width="9.125" style="307" customWidth="1"/>
    <col min="12" max="16384" width="9.125" style="173" customWidth="1"/>
  </cols>
  <sheetData>
    <row r="1" spans="1:10" ht="15.75">
      <c r="A1" s="87"/>
      <c r="B1" s="200"/>
      <c r="C1" s="200"/>
      <c r="D1" s="200"/>
      <c r="E1" s="201"/>
      <c r="F1" s="921" t="s">
        <v>1040</v>
      </c>
      <c r="G1" s="922"/>
      <c r="H1" s="922"/>
      <c r="I1" s="922"/>
      <c r="J1" s="922"/>
    </row>
    <row r="2" spans="1:10" ht="15.75">
      <c r="A2" s="926" t="s">
        <v>832</v>
      </c>
      <c r="B2" s="926"/>
      <c r="C2" s="926"/>
      <c r="D2" s="926"/>
      <c r="E2" s="926"/>
      <c r="F2" s="926"/>
      <c r="G2" s="926"/>
      <c r="H2" s="926"/>
      <c r="I2" s="926"/>
      <c r="J2" s="926"/>
    </row>
    <row r="3" spans="1:10" ht="12.75">
      <c r="A3" s="87"/>
      <c r="B3" s="87"/>
      <c r="C3" s="87"/>
      <c r="D3" s="87"/>
      <c r="E3" s="87"/>
      <c r="F3" s="200"/>
      <c r="G3" s="200"/>
      <c r="H3" s="200"/>
      <c r="I3" s="200"/>
      <c r="J3" s="200"/>
    </row>
    <row r="4" spans="1:10" ht="12.75">
      <c r="A4" s="87"/>
      <c r="B4" s="200"/>
      <c r="C4" s="200"/>
      <c r="D4" s="200"/>
      <c r="E4" s="200"/>
      <c r="F4" s="200"/>
      <c r="G4" s="200"/>
      <c r="H4" s="200"/>
      <c r="I4" s="200"/>
      <c r="J4" s="201" t="s">
        <v>657</v>
      </c>
    </row>
    <row r="5" spans="1:10" ht="60">
      <c r="A5" s="933" t="s">
        <v>0</v>
      </c>
      <c r="B5" s="934"/>
      <c r="C5" s="934"/>
      <c r="D5" s="934"/>
      <c r="E5" s="935"/>
      <c r="F5" s="180" t="s">
        <v>91</v>
      </c>
      <c r="G5" s="180" t="s">
        <v>379</v>
      </c>
      <c r="H5" s="180" t="s">
        <v>801</v>
      </c>
      <c r="I5" s="180" t="s">
        <v>927</v>
      </c>
      <c r="J5" s="180" t="s">
        <v>373</v>
      </c>
    </row>
    <row r="6" spans="1:11" s="184" customFormat="1" ht="15">
      <c r="A6" s="202" t="s">
        <v>434</v>
      </c>
      <c r="B6" s="923" t="s">
        <v>435</v>
      </c>
      <c r="C6" s="924"/>
      <c r="D6" s="924"/>
      <c r="E6" s="925"/>
      <c r="F6" s="203" t="s">
        <v>436</v>
      </c>
      <c r="G6" s="203" t="s">
        <v>437</v>
      </c>
      <c r="H6" s="203" t="s">
        <v>438</v>
      </c>
      <c r="I6" s="203" t="s">
        <v>439</v>
      </c>
      <c r="J6" s="203" t="s">
        <v>441</v>
      </c>
      <c r="K6" s="609"/>
    </row>
    <row r="7" spans="1:11" s="206" customFormat="1" ht="12.75">
      <c r="A7" s="204" t="s">
        <v>213</v>
      </c>
      <c r="B7" s="928" t="s">
        <v>214</v>
      </c>
      <c r="C7" s="928"/>
      <c r="D7" s="928"/>
      <c r="E7" s="928"/>
      <c r="F7" s="205">
        <f>SUM(F8+F15+F16+F17+F28+F29)</f>
        <v>907929828</v>
      </c>
      <c r="G7" s="205">
        <f>SUM(G8+G15+G16+G17+G28+G29)</f>
        <v>2551008</v>
      </c>
      <c r="H7" s="205">
        <f>SUM(H8+H15+H16+H17+H28+H29)</f>
        <v>43407259</v>
      </c>
      <c r="I7" s="205">
        <f>SUM(I8+I15+I16+I17+I28+I29)</f>
        <v>0</v>
      </c>
      <c r="J7" s="205">
        <f>SUM(F7:I7)</f>
        <v>953888095</v>
      </c>
      <c r="K7" s="610"/>
    </row>
    <row r="8" spans="1:11" ht="12.75">
      <c r="A8" s="207"/>
      <c r="B8" s="207" t="s">
        <v>215</v>
      </c>
      <c r="C8" s="920" t="s">
        <v>216</v>
      </c>
      <c r="D8" s="920"/>
      <c r="E8" s="920"/>
      <c r="F8" s="208">
        <f>SUM(F9:F14)</f>
        <v>502208628</v>
      </c>
      <c r="G8" s="208">
        <f>SUM(G9:G14)</f>
        <v>0</v>
      </c>
      <c r="H8" s="208">
        <f>SUM(H9:H14)</f>
        <v>0</v>
      </c>
      <c r="I8" s="208">
        <f>SUM(I9:I14)</f>
        <v>0</v>
      </c>
      <c r="J8" s="209">
        <f aca="true" t="shared" si="0" ref="J8:J71">SUM(F8:I8)</f>
        <v>502208628</v>
      </c>
      <c r="K8" s="611"/>
    </row>
    <row r="9" spans="1:11" ht="12.75">
      <c r="A9" s="210"/>
      <c r="B9" s="210"/>
      <c r="C9" s="210" t="s">
        <v>217</v>
      </c>
      <c r="D9" s="210"/>
      <c r="E9" s="210" t="s">
        <v>679</v>
      </c>
      <c r="F9" s="211">
        <f>200053809+140422</f>
        <v>200194231</v>
      </c>
      <c r="G9" s="211">
        <v>0</v>
      </c>
      <c r="H9" s="211">
        <v>0</v>
      </c>
      <c r="I9" s="211">
        <v>0</v>
      </c>
      <c r="J9" s="212">
        <f t="shared" si="0"/>
        <v>200194231</v>
      </c>
      <c r="K9" s="612"/>
    </row>
    <row r="10" spans="1:11" ht="12.75">
      <c r="A10" s="210"/>
      <c r="B10" s="213"/>
      <c r="C10" s="210" t="s">
        <v>218</v>
      </c>
      <c r="D10" s="210"/>
      <c r="E10" s="210" t="s">
        <v>685</v>
      </c>
      <c r="F10" s="211">
        <f>112608900+367584+1341084</f>
        <v>114317568</v>
      </c>
      <c r="G10" s="211">
        <v>0</v>
      </c>
      <c r="H10" s="211">
        <v>0</v>
      </c>
      <c r="I10" s="211">
        <v>0</v>
      </c>
      <c r="J10" s="212">
        <f t="shared" si="0"/>
        <v>114317568</v>
      </c>
      <c r="K10" s="612"/>
    </row>
    <row r="11" spans="1:11" ht="12.75">
      <c r="A11" s="210"/>
      <c r="B11" s="210"/>
      <c r="C11" s="210" t="s">
        <v>219</v>
      </c>
      <c r="D11" s="210"/>
      <c r="E11" s="210" t="s">
        <v>658</v>
      </c>
      <c r="F11" s="211">
        <f>165550125+9189220+195364</f>
        <v>174934709</v>
      </c>
      <c r="G11" s="211">
        <v>0</v>
      </c>
      <c r="H11" s="211">
        <v>0</v>
      </c>
      <c r="I11" s="211">
        <v>0</v>
      </c>
      <c r="J11" s="212">
        <f t="shared" si="0"/>
        <v>174934709</v>
      </c>
      <c r="K11" s="612"/>
    </row>
    <row r="12" spans="1:11" ht="12.75">
      <c r="A12" s="210"/>
      <c r="B12" s="210"/>
      <c r="C12" s="210" t="s">
        <v>220</v>
      </c>
      <c r="D12" s="210"/>
      <c r="E12" s="210" t="s">
        <v>686</v>
      </c>
      <c r="F12" s="211">
        <f>10661310+1004278</f>
        <v>11665588</v>
      </c>
      <c r="G12" s="211">
        <v>0</v>
      </c>
      <c r="H12" s="211">
        <v>0</v>
      </c>
      <c r="I12" s="211">
        <v>0</v>
      </c>
      <c r="J12" s="212">
        <f t="shared" si="0"/>
        <v>11665588</v>
      </c>
      <c r="K12" s="612"/>
    </row>
    <row r="13" spans="1:11" ht="12.75">
      <c r="A13" s="210"/>
      <c r="B13" s="210"/>
      <c r="C13" s="210" t="s">
        <v>221</v>
      </c>
      <c r="D13" s="210"/>
      <c r="E13" s="210" t="s">
        <v>680</v>
      </c>
      <c r="F13" s="211">
        <v>1096532</v>
      </c>
      <c r="G13" s="211">
        <v>0</v>
      </c>
      <c r="H13" s="211">
        <v>0</v>
      </c>
      <c r="I13" s="211">
        <v>0</v>
      </c>
      <c r="J13" s="212">
        <f t="shared" si="0"/>
        <v>1096532</v>
      </c>
      <c r="K13" s="612"/>
    </row>
    <row r="14" spans="1:11" ht="12.75">
      <c r="A14" s="214"/>
      <c r="B14" s="214"/>
      <c r="C14" s="210" t="s">
        <v>222</v>
      </c>
      <c r="D14" s="214"/>
      <c r="E14" s="210" t="s">
        <v>562</v>
      </c>
      <c r="F14" s="211">
        <v>0</v>
      </c>
      <c r="G14" s="211">
        <v>0</v>
      </c>
      <c r="H14" s="211">
        <v>0</v>
      </c>
      <c r="I14" s="211">
        <v>0</v>
      </c>
      <c r="J14" s="212">
        <f t="shared" si="0"/>
        <v>0</v>
      </c>
      <c r="K14" s="612"/>
    </row>
    <row r="15" spans="1:11" ht="12.75">
      <c r="A15" s="207"/>
      <c r="B15" s="207" t="s">
        <v>223</v>
      </c>
      <c r="C15" s="920" t="s">
        <v>224</v>
      </c>
      <c r="D15" s="920"/>
      <c r="E15" s="920"/>
      <c r="F15" s="208">
        <v>0</v>
      </c>
      <c r="G15" s="208">
        <v>0</v>
      </c>
      <c r="H15" s="208">
        <v>0</v>
      </c>
      <c r="I15" s="208">
        <v>0</v>
      </c>
      <c r="J15" s="209">
        <f t="shared" si="0"/>
        <v>0</v>
      </c>
      <c r="K15" s="611"/>
    </row>
    <row r="16" spans="1:11" ht="12.75">
      <c r="A16" s="207"/>
      <c r="B16" s="207" t="s">
        <v>225</v>
      </c>
      <c r="C16" s="920" t="s">
        <v>681</v>
      </c>
      <c r="D16" s="920"/>
      <c r="E16" s="920"/>
      <c r="F16" s="208">
        <v>0</v>
      </c>
      <c r="G16" s="208">
        <v>0</v>
      </c>
      <c r="H16" s="208">
        <v>0</v>
      </c>
      <c r="I16" s="208">
        <v>0</v>
      </c>
      <c r="J16" s="209">
        <f t="shared" si="0"/>
        <v>0</v>
      </c>
      <c r="K16" s="611"/>
    </row>
    <row r="17" spans="1:11" ht="12.75">
      <c r="A17" s="207"/>
      <c r="B17" s="207" t="s">
        <v>226</v>
      </c>
      <c r="C17" s="920" t="s">
        <v>682</v>
      </c>
      <c r="D17" s="920"/>
      <c r="E17" s="920"/>
      <c r="F17" s="208">
        <f>SUM(F18:F27)</f>
        <v>0</v>
      </c>
      <c r="G17" s="208">
        <f>SUM(G18:G27)</f>
        <v>0</v>
      </c>
      <c r="H17" s="208">
        <f>SUM(H18:H27)</f>
        <v>0</v>
      </c>
      <c r="I17" s="208">
        <f>SUM(I18:I27)</f>
        <v>0</v>
      </c>
      <c r="J17" s="209">
        <f t="shared" si="0"/>
        <v>0</v>
      </c>
      <c r="K17" s="611"/>
    </row>
    <row r="18" spans="1:11" ht="12.75" hidden="1">
      <c r="A18" s="215"/>
      <c r="B18" s="215"/>
      <c r="C18" s="216" t="s">
        <v>2</v>
      </c>
      <c r="D18" s="216" t="s">
        <v>151</v>
      </c>
      <c r="E18" s="216" t="s">
        <v>152</v>
      </c>
      <c r="F18" s="217">
        <v>0</v>
      </c>
      <c r="G18" s="217">
        <v>0</v>
      </c>
      <c r="H18" s="217">
        <v>0</v>
      </c>
      <c r="I18" s="217">
        <v>0</v>
      </c>
      <c r="J18" s="218">
        <f t="shared" si="0"/>
        <v>0</v>
      </c>
      <c r="K18" s="613"/>
    </row>
    <row r="19" spans="1:11" ht="12.75" hidden="1">
      <c r="A19" s="215"/>
      <c r="B19" s="215"/>
      <c r="C19" s="216"/>
      <c r="D19" s="216" t="s">
        <v>153</v>
      </c>
      <c r="E19" s="216" t="s">
        <v>154</v>
      </c>
      <c r="F19" s="217">
        <v>0</v>
      </c>
      <c r="G19" s="217">
        <v>0</v>
      </c>
      <c r="H19" s="217">
        <v>0</v>
      </c>
      <c r="I19" s="217">
        <v>0</v>
      </c>
      <c r="J19" s="218">
        <f t="shared" si="0"/>
        <v>0</v>
      </c>
      <c r="K19" s="613"/>
    </row>
    <row r="20" spans="1:11" ht="12.75" hidden="1">
      <c r="A20" s="215"/>
      <c r="B20" s="215"/>
      <c r="C20" s="216"/>
      <c r="D20" s="216" t="s">
        <v>155</v>
      </c>
      <c r="E20" s="216" t="s">
        <v>227</v>
      </c>
      <c r="F20" s="217">
        <v>0</v>
      </c>
      <c r="G20" s="217">
        <v>0</v>
      </c>
      <c r="H20" s="217">
        <v>0</v>
      </c>
      <c r="I20" s="217">
        <v>0</v>
      </c>
      <c r="J20" s="218">
        <f t="shared" si="0"/>
        <v>0</v>
      </c>
      <c r="K20" s="613"/>
    </row>
    <row r="21" spans="1:11" ht="12.75" hidden="1">
      <c r="A21" s="215"/>
      <c r="B21" s="215"/>
      <c r="C21" s="216"/>
      <c r="D21" s="216" t="s">
        <v>157</v>
      </c>
      <c r="E21" s="216" t="s">
        <v>158</v>
      </c>
      <c r="F21" s="217">
        <v>0</v>
      </c>
      <c r="G21" s="217">
        <v>0</v>
      </c>
      <c r="H21" s="217">
        <v>0</v>
      </c>
      <c r="I21" s="217">
        <v>0</v>
      </c>
      <c r="J21" s="218">
        <f t="shared" si="0"/>
        <v>0</v>
      </c>
      <c r="K21" s="613"/>
    </row>
    <row r="22" spans="1:11" ht="12.75" hidden="1">
      <c r="A22" s="215"/>
      <c r="B22" s="215"/>
      <c r="C22" s="216"/>
      <c r="D22" s="216" t="s">
        <v>159</v>
      </c>
      <c r="E22" s="216" t="s">
        <v>160</v>
      </c>
      <c r="F22" s="217">
        <v>0</v>
      </c>
      <c r="G22" s="217">
        <v>0</v>
      </c>
      <c r="H22" s="217">
        <v>0</v>
      </c>
      <c r="I22" s="217">
        <v>0</v>
      </c>
      <c r="J22" s="218">
        <f t="shared" si="0"/>
        <v>0</v>
      </c>
      <c r="K22" s="613"/>
    </row>
    <row r="23" spans="1:11" ht="12.75" hidden="1">
      <c r="A23" s="215"/>
      <c r="B23" s="215"/>
      <c r="C23" s="216"/>
      <c r="D23" s="216" t="s">
        <v>161</v>
      </c>
      <c r="E23" s="216" t="s">
        <v>162</v>
      </c>
      <c r="F23" s="217">
        <v>0</v>
      </c>
      <c r="G23" s="217">
        <v>0</v>
      </c>
      <c r="H23" s="217">
        <v>0</v>
      </c>
      <c r="I23" s="217">
        <v>0</v>
      </c>
      <c r="J23" s="218">
        <f t="shared" si="0"/>
        <v>0</v>
      </c>
      <c r="K23" s="613"/>
    </row>
    <row r="24" spans="1:11" ht="12.75" hidden="1">
      <c r="A24" s="215"/>
      <c r="B24" s="215"/>
      <c r="C24" s="216"/>
      <c r="D24" s="216" t="s">
        <v>163</v>
      </c>
      <c r="E24" s="216" t="s">
        <v>164</v>
      </c>
      <c r="F24" s="217">
        <v>0</v>
      </c>
      <c r="G24" s="217">
        <v>0</v>
      </c>
      <c r="H24" s="217">
        <v>0</v>
      </c>
      <c r="I24" s="217">
        <v>0</v>
      </c>
      <c r="J24" s="218">
        <f t="shared" si="0"/>
        <v>0</v>
      </c>
      <c r="K24" s="613"/>
    </row>
    <row r="25" spans="1:11" ht="12.75" hidden="1">
      <c r="A25" s="215"/>
      <c r="B25" s="215"/>
      <c r="C25" s="216"/>
      <c r="D25" s="216" t="s">
        <v>165</v>
      </c>
      <c r="E25" s="216" t="s">
        <v>166</v>
      </c>
      <c r="F25" s="217"/>
      <c r="G25" s="217">
        <v>0</v>
      </c>
      <c r="H25" s="217">
        <v>0</v>
      </c>
      <c r="I25" s="217">
        <v>0</v>
      </c>
      <c r="J25" s="218">
        <f t="shared" si="0"/>
        <v>0</v>
      </c>
      <c r="K25" s="613"/>
    </row>
    <row r="26" spans="1:11" ht="12.75" hidden="1">
      <c r="A26" s="215"/>
      <c r="B26" s="215"/>
      <c r="C26" s="216"/>
      <c r="D26" s="216" t="s">
        <v>167</v>
      </c>
      <c r="E26" s="216" t="s">
        <v>168</v>
      </c>
      <c r="F26" s="217">
        <v>0</v>
      </c>
      <c r="G26" s="217">
        <v>0</v>
      </c>
      <c r="H26" s="217">
        <v>0</v>
      </c>
      <c r="I26" s="217">
        <v>0</v>
      </c>
      <c r="J26" s="218">
        <f t="shared" si="0"/>
        <v>0</v>
      </c>
      <c r="K26" s="613"/>
    </row>
    <row r="27" spans="1:11" ht="12.75" hidden="1">
      <c r="A27" s="215"/>
      <c r="B27" s="215"/>
      <c r="C27" s="216"/>
      <c r="D27" s="216" t="s">
        <v>169</v>
      </c>
      <c r="E27" s="216" t="s">
        <v>170</v>
      </c>
      <c r="F27" s="217">
        <v>0</v>
      </c>
      <c r="G27" s="217">
        <v>0</v>
      </c>
      <c r="H27" s="217">
        <v>0</v>
      </c>
      <c r="I27" s="217">
        <v>0</v>
      </c>
      <c r="J27" s="218">
        <f t="shared" si="0"/>
        <v>0</v>
      </c>
      <c r="K27" s="613"/>
    </row>
    <row r="28" spans="1:11" ht="12.75">
      <c r="A28" s="207"/>
      <c r="B28" s="207" t="s">
        <v>228</v>
      </c>
      <c r="C28" s="920" t="s">
        <v>683</v>
      </c>
      <c r="D28" s="920"/>
      <c r="E28" s="920"/>
      <c r="F28" s="208">
        <v>0</v>
      </c>
      <c r="G28" s="208">
        <v>0</v>
      </c>
      <c r="H28" s="208">
        <v>0</v>
      </c>
      <c r="I28" s="208">
        <v>0</v>
      </c>
      <c r="J28" s="209">
        <f t="shared" si="0"/>
        <v>0</v>
      </c>
      <c r="K28" s="611"/>
    </row>
    <row r="29" spans="1:11" ht="10.5" customHeight="1">
      <c r="A29" s="207"/>
      <c r="B29" s="207" t="s">
        <v>229</v>
      </c>
      <c r="C29" s="920" t="s">
        <v>684</v>
      </c>
      <c r="D29" s="920"/>
      <c r="E29" s="920"/>
      <c r="F29" s="208">
        <f>SUM(F30:F39)</f>
        <v>405721200</v>
      </c>
      <c r="G29" s="208">
        <f>SUM(G30:G39)</f>
        <v>2551008</v>
      </c>
      <c r="H29" s="208">
        <f>SUM(H30:H39)</f>
        <v>43407259</v>
      </c>
      <c r="I29" s="208">
        <f>SUM(I30:I39)</f>
        <v>0</v>
      </c>
      <c r="J29" s="209">
        <f t="shared" si="0"/>
        <v>451679467</v>
      </c>
      <c r="K29" s="611"/>
    </row>
    <row r="30" spans="1:11" ht="12.75" hidden="1">
      <c r="A30" s="215"/>
      <c r="B30" s="215"/>
      <c r="C30" s="216" t="s">
        <v>2</v>
      </c>
      <c r="D30" s="216" t="s">
        <v>151</v>
      </c>
      <c r="E30" s="216" t="s">
        <v>152</v>
      </c>
      <c r="F30" s="217">
        <v>0</v>
      </c>
      <c r="G30" s="217">
        <v>0</v>
      </c>
      <c r="H30" s="217">
        <v>0</v>
      </c>
      <c r="I30" s="217">
        <v>0</v>
      </c>
      <c r="J30" s="218">
        <f t="shared" si="0"/>
        <v>0</v>
      </c>
      <c r="K30" s="613"/>
    </row>
    <row r="31" spans="1:11" ht="12.75" hidden="1">
      <c r="A31" s="215"/>
      <c r="B31" s="215"/>
      <c r="C31" s="216"/>
      <c r="D31" s="216" t="s">
        <v>153</v>
      </c>
      <c r="E31" s="216" t="s">
        <v>154</v>
      </c>
      <c r="F31" s="217">
        <v>0</v>
      </c>
      <c r="G31" s="217">
        <v>0</v>
      </c>
      <c r="H31" s="217">
        <v>0</v>
      </c>
      <c r="I31" s="217">
        <v>0</v>
      </c>
      <c r="J31" s="218">
        <f t="shared" si="0"/>
        <v>0</v>
      </c>
      <c r="K31" s="613"/>
    </row>
    <row r="32" spans="1:11" ht="12.75">
      <c r="A32" s="219"/>
      <c r="B32" s="219"/>
      <c r="C32" s="216" t="s">
        <v>2</v>
      </c>
      <c r="D32" s="220"/>
      <c r="E32" s="220" t="s">
        <v>687</v>
      </c>
      <c r="F32" s="217">
        <f>63035474+88971424+32379432+17772766</f>
        <v>202159096</v>
      </c>
      <c r="G32" s="217">
        <v>0</v>
      </c>
      <c r="H32" s="217">
        <v>43407259</v>
      </c>
      <c r="I32" s="217">
        <v>0</v>
      </c>
      <c r="J32" s="218">
        <f t="shared" si="0"/>
        <v>245566355</v>
      </c>
      <c r="K32" s="613"/>
    </row>
    <row r="33" spans="1:11" ht="12.75">
      <c r="A33" s="215"/>
      <c r="B33" s="215"/>
      <c r="C33" s="216"/>
      <c r="D33" s="216"/>
      <c r="E33" s="216" t="s">
        <v>158</v>
      </c>
      <c r="F33" s="217">
        <f>29503396+6245115+6018160+2000000</f>
        <v>43766671</v>
      </c>
      <c r="G33" s="217">
        <v>1969798</v>
      </c>
      <c r="H33" s="217">
        <v>0</v>
      </c>
      <c r="I33" s="217">
        <v>0</v>
      </c>
      <c r="J33" s="218">
        <f t="shared" si="0"/>
        <v>45736469</v>
      </c>
      <c r="K33" s="613"/>
    </row>
    <row r="34" spans="1:11" ht="12.75">
      <c r="A34" s="215"/>
      <c r="B34" s="215"/>
      <c r="C34" s="216"/>
      <c r="D34" s="216"/>
      <c r="E34" s="216" t="s">
        <v>160</v>
      </c>
      <c r="F34" s="217">
        <f>21588000</f>
        <v>21588000</v>
      </c>
      <c r="G34" s="217">
        <v>0</v>
      </c>
      <c r="H34" s="217">
        <v>0</v>
      </c>
      <c r="I34" s="217">
        <v>0</v>
      </c>
      <c r="J34" s="218">
        <f t="shared" si="0"/>
        <v>21588000</v>
      </c>
      <c r="K34" s="613"/>
    </row>
    <row r="35" spans="1:11" ht="12.75">
      <c r="A35" s="215"/>
      <c r="B35" s="215"/>
      <c r="C35" s="216"/>
      <c r="D35" s="216"/>
      <c r="E35" s="216" t="s">
        <v>162</v>
      </c>
      <c r="F35" s="217">
        <f>11977188+23626850+46614899+38901777</f>
        <v>121120714</v>
      </c>
      <c r="G35" s="217">
        <v>581210</v>
      </c>
      <c r="H35" s="217">
        <v>0</v>
      </c>
      <c r="I35" s="217">
        <v>0</v>
      </c>
      <c r="J35" s="218">
        <f t="shared" si="0"/>
        <v>121701924</v>
      </c>
      <c r="K35" s="613"/>
    </row>
    <row r="36" spans="1:11" ht="11.25" customHeight="1">
      <c r="A36" s="215"/>
      <c r="B36" s="215"/>
      <c r="C36" s="216"/>
      <c r="D36" s="216"/>
      <c r="E36" s="216" t="s">
        <v>164</v>
      </c>
      <c r="F36" s="217">
        <f>9462661+3652363+3971695</f>
        <v>17086719</v>
      </c>
      <c r="G36" s="217">
        <v>0</v>
      </c>
      <c r="H36" s="217">
        <v>0</v>
      </c>
      <c r="I36" s="217">
        <v>0</v>
      </c>
      <c r="J36" s="218">
        <f t="shared" si="0"/>
        <v>17086719</v>
      </c>
      <c r="K36" s="613"/>
    </row>
    <row r="37" spans="1:11" ht="12.75" hidden="1">
      <c r="A37" s="215"/>
      <c r="B37" s="215"/>
      <c r="C37" s="216"/>
      <c r="D37" s="216"/>
      <c r="E37" s="216" t="s">
        <v>166</v>
      </c>
      <c r="F37" s="217">
        <v>0</v>
      </c>
      <c r="G37" s="217">
        <v>0</v>
      </c>
      <c r="H37" s="217">
        <v>0</v>
      </c>
      <c r="I37" s="217">
        <v>0</v>
      </c>
      <c r="J37" s="218">
        <f t="shared" si="0"/>
        <v>0</v>
      </c>
      <c r="K37" s="613"/>
    </row>
    <row r="38" spans="1:11" ht="12.75" hidden="1">
      <c r="A38" s="215"/>
      <c r="B38" s="215"/>
      <c r="C38" s="216"/>
      <c r="D38" s="216"/>
      <c r="E38" s="216" t="s">
        <v>688</v>
      </c>
      <c r="F38" s="217">
        <v>0</v>
      </c>
      <c r="G38" s="217">
        <v>0</v>
      </c>
      <c r="H38" s="217">
        <v>0</v>
      </c>
      <c r="I38" s="217">
        <v>0</v>
      </c>
      <c r="J38" s="218">
        <f t="shared" si="0"/>
        <v>0</v>
      </c>
      <c r="K38" s="613"/>
    </row>
    <row r="39" spans="1:11" ht="12.75" hidden="1">
      <c r="A39" s="215"/>
      <c r="B39" s="215"/>
      <c r="C39" s="216"/>
      <c r="D39" s="216"/>
      <c r="E39" s="216" t="s">
        <v>689</v>
      </c>
      <c r="F39" s="217">
        <v>0</v>
      </c>
      <c r="G39" s="217">
        <v>0</v>
      </c>
      <c r="H39" s="217">
        <v>0</v>
      </c>
      <c r="I39" s="217">
        <v>0</v>
      </c>
      <c r="J39" s="218">
        <f t="shared" si="0"/>
        <v>0</v>
      </c>
      <c r="K39" s="613"/>
    </row>
    <row r="40" spans="1:11" s="206" customFormat="1" ht="12.75">
      <c r="A40" s="204" t="s">
        <v>230</v>
      </c>
      <c r="B40" s="928" t="s">
        <v>695</v>
      </c>
      <c r="C40" s="928"/>
      <c r="D40" s="928"/>
      <c r="E40" s="928"/>
      <c r="F40" s="205">
        <f>SUM(F41:F45)</f>
        <v>65258924</v>
      </c>
      <c r="G40" s="205">
        <f>SUM(G41:G45)</f>
        <v>0</v>
      </c>
      <c r="H40" s="205">
        <f>SUM(H41:H45)</f>
        <v>1687190</v>
      </c>
      <c r="I40" s="205">
        <f>SUM(I41:I45)</f>
        <v>0</v>
      </c>
      <c r="J40" s="205">
        <f t="shared" si="0"/>
        <v>66946114</v>
      </c>
      <c r="K40" s="610"/>
    </row>
    <row r="41" spans="1:11" ht="11.25" customHeight="1">
      <c r="A41" s="207"/>
      <c r="B41" s="207" t="s">
        <v>231</v>
      </c>
      <c r="C41" s="920" t="s">
        <v>690</v>
      </c>
      <c r="D41" s="920"/>
      <c r="E41" s="920"/>
      <c r="F41" s="208">
        <v>0</v>
      </c>
      <c r="G41" s="208">
        <v>0</v>
      </c>
      <c r="H41" s="208">
        <v>0</v>
      </c>
      <c r="I41" s="208">
        <v>0</v>
      </c>
      <c r="J41" s="209">
        <f t="shared" si="0"/>
        <v>0</v>
      </c>
      <c r="K41" s="611"/>
    </row>
    <row r="42" spans="1:11" ht="12.75" hidden="1">
      <c r="A42" s="207"/>
      <c r="B42" s="207" t="s">
        <v>232</v>
      </c>
      <c r="C42" s="920" t="s">
        <v>691</v>
      </c>
      <c r="D42" s="920"/>
      <c r="E42" s="920"/>
      <c r="F42" s="208">
        <v>0</v>
      </c>
      <c r="G42" s="208">
        <v>0</v>
      </c>
      <c r="H42" s="208">
        <v>0</v>
      </c>
      <c r="I42" s="208">
        <v>0</v>
      </c>
      <c r="J42" s="209">
        <f t="shared" si="0"/>
        <v>0</v>
      </c>
      <c r="K42" s="611"/>
    </row>
    <row r="43" spans="1:11" ht="12.75" hidden="1">
      <c r="A43" s="207"/>
      <c r="B43" s="207" t="s">
        <v>233</v>
      </c>
      <c r="C43" s="920" t="s">
        <v>692</v>
      </c>
      <c r="D43" s="920"/>
      <c r="E43" s="920"/>
      <c r="F43" s="208">
        <v>0</v>
      </c>
      <c r="G43" s="208">
        <v>0</v>
      </c>
      <c r="H43" s="208">
        <v>0</v>
      </c>
      <c r="I43" s="208">
        <v>0</v>
      </c>
      <c r="J43" s="209">
        <f t="shared" si="0"/>
        <v>0</v>
      </c>
      <c r="K43" s="611"/>
    </row>
    <row r="44" spans="1:11" ht="12.75" hidden="1">
      <c r="A44" s="207"/>
      <c r="B44" s="207" t="s">
        <v>234</v>
      </c>
      <c r="C44" s="920" t="s">
        <v>693</v>
      </c>
      <c r="D44" s="920"/>
      <c r="E44" s="920"/>
      <c r="F44" s="208">
        <v>0</v>
      </c>
      <c r="G44" s="208">
        <v>0</v>
      </c>
      <c r="H44" s="208">
        <v>0</v>
      </c>
      <c r="I44" s="208">
        <v>0</v>
      </c>
      <c r="J44" s="209">
        <f t="shared" si="0"/>
        <v>0</v>
      </c>
      <c r="K44" s="611"/>
    </row>
    <row r="45" spans="1:11" ht="12" customHeight="1">
      <c r="A45" s="207"/>
      <c r="B45" s="207" t="s">
        <v>235</v>
      </c>
      <c r="C45" s="920" t="s">
        <v>694</v>
      </c>
      <c r="D45" s="920"/>
      <c r="E45" s="920"/>
      <c r="F45" s="208">
        <f>SUM(F46:F55)</f>
        <v>65258924</v>
      </c>
      <c r="G45" s="208">
        <f>SUM(G46:G55)</f>
        <v>0</v>
      </c>
      <c r="H45" s="208">
        <f>SUM(H46:H55)</f>
        <v>1687190</v>
      </c>
      <c r="I45" s="208">
        <f>SUM(I46:I55)</f>
        <v>0</v>
      </c>
      <c r="J45" s="209">
        <f t="shared" si="0"/>
        <v>66946114</v>
      </c>
      <c r="K45" s="611"/>
    </row>
    <row r="46" spans="1:11" ht="12.75" hidden="1">
      <c r="A46" s="215"/>
      <c r="B46" s="215"/>
      <c r="C46" s="216" t="s">
        <v>2</v>
      </c>
      <c r="D46" s="216" t="s">
        <v>151</v>
      </c>
      <c r="E46" s="216" t="s">
        <v>152</v>
      </c>
      <c r="F46" s="217">
        <v>0</v>
      </c>
      <c r="G46" s="217">
        <v>0</v>
      </c>
      <c r="H46" s="217">
        <v>0</v>
      </c>
      <c r="I46" s="217">
        <v>0</v>
      </c>
      <c r="J46" s="218">
        <f t="shared" si="0"/>
        <v>0</v>
      </c>
      <c r="K46" s="613"/>
    </row>
    <row r="47" spans="1:11" ht="12.75" hidden="1">
      <c r="A47" s="215"/>
      <c r="B47" s="215"/>
      <c r="C47" s="216"/>
      <c r="D47" s="216" t="s">
        <v>153</v>
      </c>
      <c r="E47" s="216" t="s">
        <v>154</v>
      </c>
      <c r="F47" s="217">
        <v>0</v>
      </c>
      <c r="G47" s="217">
        <v>0</v>
      </c>
      <c r="H47" s="217">
        <v>0</v>
      </c>
      <c r="I47" s="217">
        <v>0</v>
      </c>
      <c r="J47" s="218">
        <f t="shared" si="0"/>
        <v>0</v>
      </c>
      <c r="K47" s="613"/>
    </row>
    <row r="48" spans="1:11" ht="12.75">
      <c r="A48" s="219"/>
      <c r="B48" s="219"/>
      <c r="C48" s="216" t="s">
        <v>2</v>
      </c>
      <c r="D48" s="220"/>
      <c r="E48" s="220" t="s">
        <v>227</v>
      </c>
      <c r="F48" s="217">
        <f>2500000+21694288+6019000+5000000+9889960+15511691+2497100</f>
        <v>63112039</v>
      </c>
      <c r="G48" s="217">
        <v>0</v>
      </c>
      <c r="H48" s="217">
        <v>1687190</v>
      </c>
      <c r="I48" s="217">
        <v>0</v>
      </c>
      <c r="J48" s="218">
        <f t="shared" si="0"/>
        <v>64799229</v>
      </c>
      <c r="K48" s="613"/>
    </row>
    <row r="49" spans="1:11" ht="12.75" hidden="1">
      <c r="A49" s="215"/>
      <c r="B49" s="215"/>
      <c r="C49" s="216"/>
      <c r="D49" s="216" t="s">
        <v>157</v>
      </c>
      <c r="E49" s="216" t="s">
        <v>158</v>
      </c>
      <c r="F49" s="217">
        <v>0</v>
      </c>
      <c r="G49" s="217">
        <v>0</v>
      </c>
      <c r="H49" s="217">
        <v>0</v>
      </c>
      <c r="I49" s="217">
        <v>0</v>
      </c>
      <c r="J49" s="218">
        <f t="shared" si="0"/>
        <v>0</v>
      </c>
      <c r="K49" s="613"/>
    </row>
    <row r="50" spans="1:11" ht="12.75" hidden="1">
      <c r="A50" s="215"/>
      <c r="B50" s="215"/>
      <c r="C50" s="216"/>
      <c r="D50" s="216" t="s">
        <v>159</v>
      </c>
      <c r="E50" s="216" t="s">
        <v>160</v>
      </c>
      <c r="F50" s="217">
        <v>0</v>
      </c>
      <c r="G50" s="217">
        <v>0</v>
      </c>
      <c r="H50" s="217">
        <v>0</v>
      </c>
      <c r="I50" s="217">
        <v>0</v>
      </c>
      <c r="J50" s="218">
        <f t="shared" si="0"/>
        <v>0</v>
      </c>
      <c r="K50" s="613"/>
    </row>
    <row r="51" spans="1:11" ht="12" customHeight="1">
      <c r="A51" s="215"/>
      <c r="B51" s="215"/>
      <c r="C51" s="216"/>
      <c r="D51" s="216"/>
      <c r="E51" s="216" t="s">
        <v>162</v>
      </c>
      <c r="F51" s="217">
        <f>299888+1846997</f>
        <v>2146885</v>
      </c>
      <c r="G51" s="217">
        <v>0</v>
      </c>
      <c r="H51" s="217">
        <v>0</v>
      </c>
      <c r="I51" s="217">
        <v>0</v>
      </c>
      <c r="J51" s="218">
        <f t="shared" si="0"/>
        <v>2146885</v>
      </c>
      <c r="K51" s="613"/>
    </row>
    <row r="52" spans="1:11" ht="12.75" hidden="1">
      <c r="A52" s="215"/>
      <c r="B52" s="215"/>
      <c r="C52" s="216"/>
      <c r="D52" s="216" t="s">
        <v>163</v>
      </c>
      <c r="E52" s="216" t="s">
        <v>164</v>
      </c>
      <c r="F52" s="217">
        <v>0</v>
      </c>
      <c r="G52" s="217">
        <v>0</v>
      </c>
      <c r="H52" s="217">
        <v>0</v>
      </c>
      <c r="I52" s="217">
        <v>0</v>
      </c>
      <c r="J52" s="218">
        <f t="shared" si="0"/>
        <v>0</v>
      </c>
      <c r="K52" s="613"/>
    </row>
    <row r="53" spans="1:11" ht="12.75" hidden="1">
      <c r="A53" s="215"/>
      <c r="B53" s="215"/>
      <c r="C53" s="216"/>
      <c r="D53" s="216" t="s">
        <v>165</v>
      </c>
      <c r="E53" s="216" t="s">
        <v>166</v>
      </c>
      <c r="F53" s="217">
        <v>0</v>
      </c>
      <c r="G53" s="217">
        <v>0</v>
      </c>
      <c r="H53" s="217">
        <v>0</v>
      </c>
      <c r="I53" s="217">
        <v>0</v>
      </c>
      <c r="J53" s="218">
        <f t="shared" si="0"/>
        <v>0</v>
      </c>
      <c r="K53" s="613"/>
    </row>
    <row r="54" spans="1:11" ht="12.75" hidden="1">
      <c r="A54" s="215"/>
      <c r="B54" s="215"/>
      <c r="C54" s="216"/>
      <c r="D54" s="216" t="s">
        <v>167</v>
      </c>
      <c r="E54" s="216" t="s">
        <v>168</v>
      </c>
      <c r="F54" s="217">
        <v>0</v>
      </c>
      <c r="G54" s="217">
        <v>0</v>
      </c>
      <c r="H54" s="217">
        <v>0</v>
      </c>
      <c r="I54" s="217">
        <v>0</v>
      </c>
      <c r="J54" s="218">
        <f t="shared" si="0"/>
        <v>0</v>
      </c>
      <c r="K54" s="613"/>
    </row>
    <row r="55" spans="1:11" ht="12.75" hidden="1">
      <c r="A55" s="215"/>
      <c r="B55" s="215"/>
      <c r="C55" s="216"/>
      <c r="D55" s="216" t="s">
        <v>169</v>
      </c>
      <c r="E55" s="216" t="s">
        <v>170</v>
      </c>
      <c r="F55" s="217">
        <v>0</v>
      </c>
      <c r="G55" s="217">
        <v>0</v>
      </c>
      <c r="H55" s="217">
        <v>0</v>
      </c>
      <c r="I55" s="217">
        <v>0</v>
      </c>
      <c r="J55" s="218">
        <f t="shared" si="0"/>
        <v>0</v>
      </c>
      <c r="K55" s="613"/>
    </row>
    <row r="56" spans="1:11" s="206" customFormat="1" ht="12.75">
      <c r="A56" s="204" t="s">
        <v>236</v>
      </c>
      <c r="B56" s="928" t="s">
        <v>237</v>
      </c>
      <c r="C56" s="928"/>
      <c r="D56" s="928"/>
      <c r="E56" s="928"/>
      <c r="F56" s="205">
        <f>SUM(F57+F58+F59+F60+F63+F74)</f>
        <v>227595000</v>
      </c>
      <c r="G56" s="205">
        <f>SUM(G57+G58+G59+G60+G63+G74)</f>
        <v>0</v>
      </c>
      <c r="H56" s="205">
        <f>SUM(H57+H58+H59+H60+H63+H74)</f>
        <v>0</v>
      </c>
      <c r="I56" s="205">
        <f>SUM(I57+I58+I59+I60+I63+I74)</f>
        <v>0</v>
      </c>
      <c r="J56" s="205">
        <f t="shared" si="0"/>
        <v>227595000</v>
      </c>
      <c r="K56" s="610"/>
    </row>
    <row r="57" spans="1:11" ht="12.75">
      <c r="A57" s="207"/>
      <c r="B57" s="207" t="s">
        <v>238</v>
      </c>
      <c r="C57" s="920" t="s">
        <v>239</v>
      </c>
      <c r="D57" s="920"/>
      <c r="E57" s="920"/>
      <c r="F57" s="208">
        <v>50000</v>
      </c>
      <c r="G57" s="208">
        <v>0</v>
      </c>
      <c r="H57" s="208">
        <v>0</v>
      </c>
      <c r="I57" s="208">
        <v>0</v>
      </c>
      <c r="J57" s="209">
        <f t="shared" si="0"/>
        <v>50000</v>
      </c>
      <c r="K57" s="611"/>
    </row>
    <row r="58" spans="1:11" ht="12.75">
      <c r="A58" s="207"/>
      <c r="B58" s="207" t="s">
        <v>240</v>
      </c>
      <c r="C58" s="920" t="s">
        <v>241</v>
      </c>
      <c r="D58" s="920"/>
      <c r="E58" s="920"/>
      <c r="F58" s="208">
        <v>0</v>
      </c>
      <c r="G58" s="208">
        <v>0</v>
      </c>
      <c r="H58" s="208">
        <v>0</v>
      </c>
      <c r="I58" s="208">
        <v>0</v>
      </c>
      <c r="J58" s="209">
        <f t="shared" si="0"/>
        <v>0</v>
      </c>
      <c r="K58" s="611"/>
    </row>
    <row r="59" spans="1:11" ht="12.75">
      <c r="A59" s="207"/>
      <c r="B59" s="207" t="s">
        <v>242</v>
      </c>
      <c r="C59" s="920" t="s">
        <v>243</v>
      </c>
      <c r="D59" s="920"/>
      <c r="E59" s="920"/>
      <c r="F59" s="208">
        <v>0</v>
      </c>
      <c r="G59" s="208">
        <v>0</v>
      </c>
      <c r="H59" s="208">
        <v>0</v>
      </c>
      <c r="I59" s="208">
        <v>0</v>
      </c>
      <c r="J59" s="209">
        <f t="shared" si="0"/>
        <v>0</v>
      </c>
      <c r="K59" s="611"/>
    </row>
    <row r="60" spans="1:11" ht="12.75">
      <c r="A60" s="207"/>
      <c r="B60" s="207" t="s">
        <v>244</v>
      </c>
      <c r="C60" s="920" t="s">
        <v>245</v>
      </c>
      <c r="D60" s="920"/>
      <c r="E60" s="920"/>
      <c r="F60" s="208">
        <f>SUM(F61:F62)</f>
        <v>36900000</v>
      </c>
      <c r="G60" s="208">
        <f>SUM(G61:G62)</f>
        <v>0</v>
      </c>
      <c r="H60" s="208">
        <v>0</v>
      </c>
      <c r="I60" s="208">
        <v>0</v>
      </c>
      <c r="J60" s="209">
        <f t="shared" si="0"/>
        <v>36900000</v>
      </c>
      <c r="K60" s="611"/>
    </row>
    <row r="61" spans="1:11" ht="12.75">
      <c r="A61" s="215"/>
      <c r="B61" s="215"/>
      <c r="C61" s="216"/>
      <c r="D61" s="216"/>
      <c r="E61" s="216" t="s">
        <v>246</v>
      </c>
      <c r="F61" s="217">
        <v>36000000</v>
      </c>
      <c r="G61" s="217">
        <v>0</v>
      </c>
      <c r="H61" s="217">
        <v>0</v>
      </c>
      <c r="I61" s="217">
        <v>0</v>
      </c>
      <c r="J61" s="218">
        <f t="shared" si="0"/>
        <v>36000000</v>
      </c>
      <c r="K61" s="613"/>
    </row>
    <row r="62" spans="1:11" ht="12.75">
      <c r="A62" s="215"/>
      <c r="B62" s="215"/>
      <c r="C62" s="216"/>
      <c r="D62" s="216"/>
      <c r="E62" s="216" t="s">
        <v>247</v>
      </c>
      <c r="F62" s="217">
        <v>900000</v>
      </c>
      <c r="G62" s="217">
        <v>0</v>
      </c>
      <c r="H62" s="217">
        <v>0</v>
      </c>
      <c r="I62" s="217">
        <v>0</v>
      </c>
      <c r="J62" s="218">
        <f t="shared" si="0"/>
        <v>900000</v>
      </c>
      <c r="K62" s="613"/>
    </row>
    <row r="63" spans="1:11" ht="12.75">
      <c r="A63" s="207"/>
      <c r="B63" s="207" t="s">
        <v>248</v>
      </c>
      <c r="C63" s="920" t="s">
        <v>249</v>
      </c>
      <c r="D63" s="920"/>
      <c r="E63" s="920"/>
      <c r="F63" s="208">
        <f>SUM(F64+F67+F69+F70+F72)</f>
        <v>189500000</v>
      </c>
      <c r="G63" s="208">
        <f>SUM(G64+G67+G69+G70+G72)</f>
        <v>0</v>
      </c>
      <c r="H63" s="208">
        <v>0</v>
      </c>
      <c r="I63" s="208">
        <v>0</v>
      </c>
      <c r="J63" s="209">
        <f t="shared" si="0"/>
        <v>189500000</v>
      </c>
      <c r="K63" s="611"/>
    </row>
    <row r="64" spans="1:11" ht="12.75">
      <c r="A64" s="210"/>
      <c r="B64" s="210"/>
      <c r="C64" s="210" t="s">
        <v>250</v>
      </c>
      <c r="D64" s="210" t="s">
        <v>251</v>
      </c>
      <c r="E64" s="210"/>
      <c r="F64" s="211">
        <f>SUM(F65:F66)</f>
        <v>165500000</v>
      </c>
      <c r="G64" s="211">
        <f>SUM(G65:G66)</f>
        <v>0</v>
      </c>
      <c r="H64" s="211">
        <v>0</v>
      </c>
      <c r="I64" s="211">
        <v>0</v>
      </c>
      <c r="J64" s="212">
        <f t="shared" si="0"/>
        <v>165500000</v>
      </c>
      <c r="K64" s="612"/>
    </row>
    <row r="65" spans="1:11" ht="12.75">
      <c r="A65" s="215"/>
      <c r="B65" s="215"/>
      <c r="C65" s="216"/>
      <c r="D65" s="216"/>
      <c r="E65" s="216" t="s">
        <v>696</v>
      </c>
      <c r="F65" s="217">
        <v>165000000</v>
      </c>
      <c r="G65" s="217">
        <v>0</v>
      </c>
      <c r="H65" s="217">
        <v>0</v>
      </c>
      <c r="I65" s="217">
        <v>0</v>
      </c>
      <c r="J65" s="218">
        <f t="shared" si="0"/>
        <v>165000000</v>
      </c>
      <c r="K65" s="613"/>
    </row>
    <row r="66" spans="1:11" ht="12.75">
      <c r="A66" s="215"/>
      <c r="B66" s="215"/>
      <c r="C66" s="216"/>
      <c r="D66" s="216"/>
      <c r="E66" s="216" t="s">
        <v>697</v>
      </c>
      <c r="F66" s="217">
        <v>500000</v>
      </c>
      <c r="G66" s="217">
        <v>0</v>
      </c>
      <c r="H66" s="217">
        <v>0</v>
      </c>
      <c r="I66" s="217">
        <v>0</v>
      </c>
      <c r="J66" s="218">
        <f t="shared" si="0"/>
        <v>500000</v>
      </c>
      <c r="K66" s="613"/>
    </row>
    <row r="67" spans="1:11" ht="11.25" customHeight="1">
      <c r="A67" s="210"/>
      <c r="B67" s="210"/>
      <c r="C67" s="210" t="s">
        <v>252</v>
      </c>
      <c r="D67" s="210" t="s">
        <v>606</v>
      </c>
      <c r="E67" s="210"/>
      <c r="F67" s="211">
        <f>SUM(F68)</f>
        <v>0</v>
      </c>
      <c r="G67" s="211">
        <f>SUM(G68)</f>
        <v>0</v>
      </c>
      <c r="H67" s="211">
        <f>SUM(H68)</f>
        <v>0</v>
      </c>
      <c r="I67" s="211">
        <f>SUM(I68)</f>
        <v>0</v>
      </c>
      <c r="J67" s="212">
        <f t="shared" si="0"/>
        <v>0</v>
      </c>
      <c r="K67" s="612"/>
    </row>
    <row r="68" spans="1:11" ht="12.75" hidden="1">
      <c r="A68" s="210"/>
      <c r="B68" s="210"/>
      <c r="C68" s="210"/>
      <c r="D68" s="210"/>
      <c r="E68" s="216" t="s">
        <v>607</v>
      </c>
      <c r="F68" s="211">
        <v>0</v>
      </c>
      <c r="G68" s="211">
        <v>0</v>
      </c>
      <c r="H68" s="211">
        <v>0</v>
      </c>
      <c r="I68" s="211">
        <v>0</v>
      </c>
      <c r="J68" s="212">
        <f t="shared" si="0"/>
        <v>0</v>
      </c>
      <c r="K68" s="612"/>
    </row>
    <row r="69" spans="1:11" ht="12.75">
      <c r="A69" s="210"/>
      <c r="B69" s="210"/>
      <c r="C69" s="210" t="s">
        <v>253</v>
      </c>
      <c r="D69" s="210" t="s">
        <v>254</v>
      </c>
      <c r="E69" s="210"/>
      <c r="F69" s="211">
        <v>0</v>
      </c>
      <c r="G69" s="211">
        <v>0</v>
      </c>
      <c r="H69" s="211">
        <v>0</v>
      </c>
      <c r="I69" s="211">
        <v>0</v>
      </c>
      <c r="J69" s="212">
        <f t="shared" si="0"/>
        <v>0</v>
      </c>
      <c r="K69" s="612"/>
    </row>
    <row r="70" spans="1:11" ht="12.75">
      <c r="A70" s="210"/>
      <c r="B70" s="210"/>
      <c r="C70" s="210" t="s">
        <v>255</v>
      </c>
      <c r="D70" s="210" t="s">
        <v>256</v>
      </c>
      <c r="E70" s="210"/>
      <c r="F70" s="211">
        <f>SUM(F71)</f>
        <v>24000000</v>
      </c>
      <c r="G70" s="211">
        <f>SUM(G71:G71)</f>
        <v>0</v>
      </c>
      <c r="H70" s="211">
        <v>0</v>
      </c>
      <c r="I70" s="211">
        <v>0</v>
      </c>
      <c r="J70" s="212">
        <f t="shared" si="0"/>
        <v>24000000</v>
      </c>
      <c r="K70" s="612"/>
    </row>
    <row r="71" spans="1:11" ht="11.25" customHeight="1">
      <c r="A71" s="215"/>
      <c r="B71" s="215"/>
      <c r="C71" s="215"/>
      <c r="D71" s="216"/>
      <c r="E71" s="216" t="s">
        <v>698</v>
      </c>
      <c r="F71" s="217">
        <v>24000000</v>
      </c>
      <c r="G71" s="217">
        <v>0</v>
      </c>
      <c r="H71" s="217">
        <v>0</v>
      </c>
      <c r="I71" s="217">
        <v>0</v>
      </c>
      <c r="J71" s="218">
        <f t="shared" si="0"/>
        <v>24000000</v>
      </c>
      <c r="K71" s="613"/>
    </row>
    <row r="72" spans="1:11" ht="12.75" hidden="1">
      <c r="A72" s="210"/>
      <c r="B72" s="210"/>
      <c r="C72" s="210" t="s">
        <v>257</v>
      </c>
      <c r="D72" s="210" t="s">
        <v>258</v>
      </c>
      <c r="E72" s="210"/>
      <c r="F72" s="211">
        <f>SUM(F73:F73)</f>
        <v>0</v>
      </c>
      <c r="G72" s="211">
        <v>0</v>
      </c>
      <c r="H72" s="211">
        <v>0</v>
      </c>
      <c r="I72" s="211">
        <v>0</v>
      </c>
      <c r="J72" s="212">
        <f aca="true" t="shared" si="1" ref="J72:J135">SUM(F72:I72)</f>
        <v>0</v>
      </c>
      <c r="K72" s="612"/>
    </row>
    <row r="73" spans="1:11" ht="12.75" hidden="1">
      <c r="A73" s="215"/>
      <c r="B73" s="215"/>
      <c r="C73" s="215"/>
      <c r="D73" s="216"/>
      <c r="E73" s="216" t="s">
        <v>260</v>
      </c>
      <c r="F73" s="217">
        <v>0</v>
      </c>
      <c r="G73" s="217">
        <v>0</v>
      </c>
      <c r="H73" s="217">
        <v>0</v>
      </c>
      <c r="I73" s="217">
        <v>0</v>
      </c>
      <c r="J73" s="218">
        <f t="shared" si="1"/>
        <v>0</v>
      </c>
      <c r="K73" s="613"/>
    </row>
    <row r="74" spans="1:11" ht="12.75">
      <c r="A74" s="207"/>
      <c r="B74" s="207" t="s">
        <v>261</v>
      </c>
      <c r="C74" s="920" t="s">
        <v>262</v>
      </c>
      <c r="D74" s="920"/>
      <c r="E74" s="920"/>
      <c r="F74" s="208">
        <f>SUM(F75:F84)</f>
        <v>1145000</v>
      </c>
      <c r="G74" s="208">
        <f>SUM(G75:G84)</f>
        <v>0</v>
      </c>
      <c r="H74" s="208">
        <f>SUM(H75:H84)</f>
        <v>0</v>
      </c>
      <c r="I74" s="208">
        <f>SUM(I75:I84)</f>
        <v>0</v>
      </c>
      <c r="J74" s="209">
        <f t="shared" si="1"/>
        <v>1145000</v>
      </c>
      <c r="K74" s="611"/>
    </row>
    <row r="75" spans="1:11" ht="12.75" hidden="1">
      <c r="A75" s="221"/>
      <c r="B75" s="221"/>
      <c r="C75" s="221"/>
      <c r="D75" s="216"/>
      <c r="E75" s="216" t="s">
        <v>263</v>
      </c>
      <c r="F75" s="217">
        <v>0</v>
      </c>
      <c r="G75" s="217">
        <v>0</v>
      </c>
      <c r="H75" s="217">
        <v>0</v>
      </c>
      <c r="I75" s="217">
        <v>0</v>
      </c>
      <c r="J75" s="218">
        <f t="shared" si="1"/>
        <v>0</v>
      </c>
      <c r="K75" s="613"/>
    </row>
    <row r="76" spans="1:11" ht="12.75" hidden="1">
      <c r="A76" s="215"/>
      <c r="B76" s="215"/>
      <c r="C76" s="215"/>
      <c r="D76" s="216"/>
      <c r="E76" s="216" t="s">
        <v>264</v>
      </c>
      <c r="F76" s="217">
        <v>0</v>
      </c>
      <c r="G76" s="217"/>
      <c r="H76" s="217">
        <v>0</v>
      </c>
      <c r="I76" s="217">
        <v>0</v>
      </c>
      <c r="J76" s="218">
        <f t="shared" si="1"/>
        <v>0</v>
      </c>
      <c r="K76" s="613"/>
    </row>
    <row r="77" spans="1:11" ht="12.75" hidden="1">
      <c r="A77" s="221"/>
      <c r="B77" s="221"/>
      <c r="C77" s="221"/>
      <c r="D77" s="216"/>
      <c r="E77" s="216" t="s">
        <v>265</v>
      </c>
      <c r="F77" s="217">
        <v>0</v>
      </c>
      <c r="G77" s="217">
        <v>0</v>
      </c>
      <c r="H77" s="217">
        <v>0</v>
      </c>
      <c r="I77" s="217">
        <v>0</v>
      </c>
      <c r="J77" s="218">
        <f t="shared" si="1"/>
        <v>0</v>
      </c>
      <c r="K77" s="613"/>
    </row>
    <row r="78" spans="1:11" ht="12.75" customHeight="1">
      <c r="A78" s="221"/>
      <c r="B78" s="221"/>
      <c r="C78" s="221"/>
      <c r="D78" s="216"/>
      <c r="E78" s="216" t="s">
        <v>259</v>
      </c>
      <c r="F78" s="217">
        <v>495000</v>
      </c>
      <c r="G78" s="217">
        <v>0</v>
      </c>
      <c r="H78" s="217">
        <v>0</v>
      </c>
      <c r="I78" s="217">
        <v>0</v>
      </c>
      <c r="J78" s="218">
        <f t="shared" si="1"/>
        <v>495000</v>
      </c>
      <c r="K78" s="613"/>
    </row>
    <row r="79" spans="1:11" ht="0.75" customHeight="1" hidden="1">
      <c r="A79" s="221"/>
      <c r="B79" s="221"/>
      <c r="C79" s="221"/>
      <c r="D79" s="216"/>
      <c r="E79" s="216" t="s">
        <v>266</v>
      </c>
      <c r="F79" s="217">
        <v>0</v>
      </c>
      <c r="G79" s="217">
        <v>0</v>
      </c>
      <c r="H79" s="217">
        <v>0</v>
      </c>
      <c r="I79" s="217">
        <v>0</v>
      </c>
      <c r="J79" s="218">
        <f t="shared" si="1"/>
        <v>0</v>
      </c>
      <c r="K79" s="613"/>
    </row>
    <row r="80" spans="1:11" ht="12.75" hidden="1">
      <c r="A80" s="221"/>
      <c r="B80" s="221"/>
      <c r="C80" s="221"/>
      <c r="D80" s="216"/>
      <c r="E80" s="216" t="s">
        <v>267</v>
      </c>
      <c r="F80" s="217">
        <v>0</v>
      </c>
      <c r="G80" s="217">
        <v>0</v>
      </c>
      <c r="H80" s="217">
        <v>0</v>
      </c>
      <c r="I80" s="217">
        <v>0</v>
      </c>
      <c r="J80" s="218">
        <f t="shared" si="1"/>
        <v>0</v>
      </c>
      <c r="K80" s="613"/>
    </row>
    <row r="81" spans="1:11" ht="12.75" hidden="1">
      <c r="A81" s="221"/>
      <c r="B81" s="221"/>
      <c r="C81" s="221"/>
      <c r="D81" s="216"/>
      <c r="E81" s="216" t="s">
        <v>659</v>
      </c>
      <c r="F81" s="217"/>
      <c r="G81" s="217">
        <v>0</v>
      </c>
      <c r="H81" s="217">
        <v>0</v>
      </c>
      <c r="I81" s="217">
        <v>0</v>
      </c>
      <c r="J81" s="218">
        <f t="shared" si="1"/>
        <v>0</v>
      </c>
      <c r="K81" s="613"/>
    </row>
    <row r="82" spans="1:11" ht="30" customHeight="1" hidden="1">
      <c r="A82" s="215"/>
      <c r="B82" s="215"/>
      <c r="C82" s="215"/>
      <c r="D82" s="215"/>
      <c r="E82" s="222" t="s">
        <v>699</v>
      </c>
      <c r="F82" s="217">
        <v>0</v>
      </c>
      <c r="G82" s="217">
        <v>0</v>
      </c>
      <c r="H82" s="217">
        <v>0</v>
      </c>
      <c r="I82" s="217">
        <v>0</v>
      </c>
      <c r="J82" s="218">
        <f t="shared" si="1"/>
        <v>0</v>
      </c>
      <c r="K82" s="613"/>
    </row>
    <row r="83" spans="1:11" ht="12.75" hidden="1">
      <c r="A83" s="221"/>
      <c r="B83" s="221"/>
      <c r="C83" s="221"/>
      <c r="D83" s="221"/>
      <c r="E83" s="216" t="s">
        <v>268</v>
      </c>
      <c r="F83" s="217">
        <v>0</v>
      </c>
      <c r="G83" s="217">
        <v>0</v>
      </c>
      <c r="H83" s="217">
        <v>0</v>
      </c>
      <c r="I83" s="217">
        <v>0</v>
      </c>
      <c r="J83" s="218">
        <f t="shared" si="1"/>
        <v>0</v>
      </c>
      <c r="K83" s="613"/>
    </row>
    <row r="84" spans="1:11" ht="12.75">
      <c r="A84" s="215"/>
      <c r="B84" s="215"/>
      <c r="C84" s="215"/>
      <c r="D84" s="215"/>
      <c r="E84" s="220" t="s">
        <v>269</v>
      </c>
      <c r="F84" s="217">
        <v>650000</v>
      </c>
      <c r="G84" s="217">
        <v>0</v>
      </c>
      <c r="H84" s="217">
        <v>0</v>
      </c>
      <c r="I84" s="217">
        <v>0</v>
      </c>
      <c r="J84" s="218">
        <f t="shared" si="1"/>
        <v>650000</v>
      </c>
      <c r="K84" s="613"/>
    </row>
    <row r="85" spans="1:11" s="206" customFormat="1" ht="12.75">
      <c r="A85" s="204" t="s">
        <v>270</v>
      </c>
      <c r="B85" s="928" t="s">
        <v>271</v>
      </c>
      <c r="C85" s="928"/>
      <c r="D85" s="928"/>
      <c r="E85" s="928"/>
      <c r="F85" s="205">
        <f>SUM(F86+F87+F90+F92+F99+F100+F101+F102+F109+F117+F118)</f>
        <v>38249334</v>
      </c>
      <c r="G85" s="205">
        <f>SUM(G86+G87+G90+G92+G99+G100+G101+G102+G109+G117+G118)</f>
        <v>5176466</v>
      </c>
      <c r="H85" s="205">
        <f>SUM(H86+H87+H90+H92+H99+H100+H101+H102+H109+H117+H118)</f>
        <v>1223067</v>
      </c>
      <c r="I85" s="205">
        <f>SUM(I86+I87+I90+I92+I99+I100+I101+I102+I109+I117+I118)</f>
        <v>4044435</v>
      </c>
      <c r="J85" s="205">
        <f t="shared" si="1"/>
        <v>48693302</v>
      </c>
      <c r="K85" s="610"/>
    </row>
    <row r="86" spans="1:11" ht="12.75">
      <c r="A86" s="210"/>
      <c r="B86" s="210"/>
      <c r="C86" s="210" t="s">
        <v>272</v>
      </c>
      <c r="D86" s="210" t="s">
        <v>563</v>
      </c>
      <c r="E86" s="210"/>
      <c r="F86" s="211">
        <f>400000+5848600</f>
        <v>6248600</v>
      </c>
      <c r="G86" s="211">
        <v>0</v>
      </c>
      <c r="H86" s="211">
        <v>0</v>
      </c>
      <c r="I86" s="211">
        <v>0</v>
      </c>
      <c r="J86" s="212">
        <f t="shared" si="1"/>
        <v>6248600</v>
      </c>
      <c r="K86" s="612"/>
    </row>
    <row r="87" spans="1:11" ht="11.25" customHeight="1">
      <c r="A87" s="210"/>
      <c r="B87" s="210"/>
      <c r="C87" s="210" t="s">
        <v>273</v>
      </c>
      <c r="D87" s="210" t="s">
        <v>345</v>
      </c>
      <c r="E87" s="210"/>
      <c r="F87" s="211">
        <f>14236474+4500000</f>
        <v>18736474</v>
      </c>
      <c r="G87" s="211">
        <v>250000</v>
      </c>
      <c r="H87" s="211">
        <v>0</v>
      </c>
      <c r="I87" s="211">
        <f>100559+2851094</f>
        <v>2951653</v>
      </c>
      <c r="J87" s="212">
        <f t="shared" si="1"/>
        <v>21938127</v>
      </c>
      <c r="K87" s="612"/>
    </row>
    <row r="88" spans="1:11" ht="12.75" hidden="1">
      <c r="A88" s="215"/>
      <c r="B88" s="215"/>
      <c r="C88" s="216" t="s">
        <v>2</v>
      </c>
      <c r="D88" s="216"/>
      <c r="E88" s="216" t="s">
        <v>274</v>
      </c>
      <c r="F88" s="223">
        <f>13202074+194400+840000</f>
        <v>14236474</v>
      </c>
      <c r="G88" s="223">
        <v>0</v>
      </c>
      <c r="H88" s="217">
        <v>0</v>
      </c>
      <c r="I88" s="217">
        <f>50000+600000</f>
        <v>650000</v>
      </c>
      <c r="J88" s="218">
        <f t="shared" si="1"/>
        <v>14886474</v>
      </c>
      <c r="K88" s="613"/>
    </row>
    <row r="89" spans="1:11" ht="12.75" hidden="1">
      <c r="A89" s="215"/>
      <c r="B89" s="215"/>
      <c r="C89" s="216"/>
      <c r="D89" s="216"/>
      <c r="E89" s="216" t="s">
        <v>700</v>
      </c>
      <c r="F89" s="217">
        <v>0</v>
      </c>
      <c r="G89" s="217">
        <v>0</v>
      </c>
      <c r="H89" s="217">
        <v>0</v>
      </c>
      <c r="I89" s="217">
        <v>0</v>
      </c>
      <c r="J89" s="218">
        <f t="shared" si="1"/>
        <v>0</v>
      </c>
      <c r="K89" s="613"/>
    </row>
    <row r="90" spans="1:11" ht="12.75">
      <c r="A90" s="210"/>
      <c r="B90" s="210"/>
      <c r="C90" s="210" t="s">
        <v>275</v>
      </c>
      <c r="D90" s="210" t="s">
        <v>276</v>
      </c>
      <c r="E90" s="210"/>
      <c r="F90" s="211">
        <f>2486532+652000+101556</f>
        <v>3240088</v>
      </c>
      <c r="G90" s="211">
        <v>3949049</v>
      </c>
      <c r="H90" s="211">
        <v>0</v>
      </c>
      <c r="I90" s="211">
        <v>360500</v>
      </c>
      <c r="J90" s="212">
        <f t="shared" si="1"/>
        <v>7549637</v>
      </c>
      <c r="K90" s="612"/>
    </row>
    <row r="91" spans="1:11" ht="12.75" hidden="1">
      <c r="A91" s="215"/>
      <c r="B91" s="215"/>
      <c r="C91" s="216" t="s">
        <v>2</v>
      </c>
      <c r="D91" s="216"/>
      <c r="E91" s="216" t="s">
        <v>7</v>
      </c>
      <c r="F91" s="217">
        <f>1707176+250000+101556</f>
        <v>2058732</v>
      </c>
      <c r="G91" s="217">
        <v>1604136</v>
      </c>
      <c r="H91" s="217">
        <v>0</v>
      </c>
      <c r="I91" s="217">
        <v>0</v>
      </c>
      <c r="J91" s="218">
        <f t="shared" si="1"/>
        <v>3662868</v>
      </c>
      <c r="K91" s="613"/>
    </row>
    <row r="92" spans="1:11" ht="12" customHeight="1">
      <c r="A92" s="210"/>
      <c r="B92" s="210"/>
      <c r="C92" s="210" t="s">
        <v>277</v>
      </c>
      <c r="D92" s="210" t="s">
        <v>278</v>
      </c>
      <c r="E92" s="210"/>
      <c r="F92" s="211">
        <v>639000</v>
      </c>
      <c r="G92" s="211">
        <v>0</v>
      </c>
      <c r="H92" s="211">
        <v>0</v>
      </c>
      <c r="I92" s="211">
        <v>0</v>
      </c>
      <c r="J92" s="212">
        <f t="shared" si="1"/>
        <v>639000</v>
      </c>
      <c r="K92" s="612"/>
    </row>
    <row r="93" spans="1:11" ht="12.75" hidden="1">
      <c r="A93" s="215"/>
      <c r="B93" s="215"/>
      <c r="C93" s="216" t="s">
        <v>2</v>
      </c>
      <c r="D93" s="216"/>
      <c r="E93" s="216" t="s">
        <v>279</v>
      </c>
      <c r="F93" s="217">
        <v>0</v>
      </c>
      <c r="G93" s="217">
        <v>0</v>
      </c>
      <c r="H93" s="217">
        <v>0</v>
      </c>
      <c r="I93" s="217">
        <v>0</v>
      </c>
      <c r="J93" s="218">
        <f t="shared" si="1"/>
        <v>0</v>
      </c>
      <c r="K93" s="613"/>
    </row>
    <row r="94" spans="1:11" ht="12.75" hidden="1">
      <c r="A94" s="215"/>
      <c r="B94" s="215"/>
      <c r="C94" s="216"/>
      <c r="D94" s="216"/>
      <c r="E94" s="216" t="s">
        <v>701</v>
      </c>
      <c r="F94" s="217">
        <v>0</v>
      </c>
      <c r="G94" s="217">
        <v>0</v>
      </c>
      <c r="H94" s="217">
        <v>0</v>
      </c>
      <c r="I94" s="217">
        <v>0</v>
      </c>
      <c r="J94" s="218">
        <f t="shared" si="1"/>
        <v>0</v>
      </c>
      <c r="K94" s="613"/>
    </row>
    <row r="95" spans="1:11" ht="12" customHeight="1" hidden="1">
      <c r="A95" s="215"/>
      <c r="B95" s="215"/>
      <c r="C95" s="216" t="s">
        <v>2</v>
      </c>
      <c r="D95" s="216"/>
      <c r="E95" s="216" t="s">
        <v>702</v>
      </c>
      <c r="F95" s="217">
        <v>639000</v>
      </c>
      <c r="G95" s="217">
        <v>0</v>
      </c>
      <c r="H95" s="217">
        <v>0</v>
      </c>
      <c r="I95" s="217">
        <v>0</v>
      </c>
      <c r="J95" s="218">
        <f t="shared" si="1"/>
        <v>639000</v>
      </c>
      <c r="K95" s="613"/>
    </row>
    <row r="96" spans="1:11" ht="12.75" hidden="1">
      <c r="A96" s="215"/>
      <c r="B96" s="215"/>
      <c r="C96" s="216"/>
      <c r="D96" s="216"/>
      <c r="E96" s="216" t="s">
        <v>703</v>
      </c>
      <c r="F96" s="217">
        <v>0</v>
      </c>
      <c r="G96" s="217">
        <v>0</v>
      </c>
      <c r="H96" s="217">
        <v>0</v>
      </c>
      <c r="I96" s="217">
        <v>0</v>
      </c>
      <c r="J96" s="218">
        <f t="shared" si="1"/>
        <v>0</v>
      </c>
      <c r="K96" s="613"/>
    </row>
    <row r="97" spans="1:11" ht="12.75" hidden="1">
      <c r="A97" s="215"/>
      <c r="B97" s="215"/>
      <c r="C97" s="216"/>
      <c r="D97" s="216"/>
      <c r="E97" s="216" t="s">
        <v>704</v>
      </c>
      <c r="F97" s="217">
        <v>0</v>
      </c>
      <c r="G97" s="217">
        <v>0</v>
      </c>
      <c r="H97" s="217">
        <v>0</v>
      </c>
      <c r="I97" s="217">
        <v>0</v>
      </c>
      <c r="J97" s="218">
        <f t="shared" si="1"/>
        <v>0</v>
      </c>
      <c r="K97" s="613"/>
    </row>
    <row r="98" spans="1:11" ht="12.75" hidden="1">
      <c r="A98" s="215"/>
      <c r="B98" s="215"/>
      <c r="C98" s="216"/>
      <c r="D98" s="216"/>
      <c r="E98" s="216" t="s">
        <v>564</v>
      </c>
      <c r="F98" s="217">
        <v>0</v>
      </c>
      <c r="G98" s="217">
        <v>0</v>
      </c>
      <c r="H98" s="217">
        <v>0</v>
      </c>
      <c r="I98" s="217">
        <v>0</v>
      </c>
      <c r="J98" s="218">
        <f t="shared" si="1"/>
        <v>0</v>
      </c>
      <c r="K98" s="613"/>
    </row>
    <row r="99" spans="1:11" ht="12.75">
      <c r="A99" s="210"/>
      <c r="B99" s="210"/>
      <c r="C99" s="210" t="s">
        <v>280</v>
      </c>
      <c r="D99" s="210" t="s">
        <v>281</v>
      </c>
      <c r="E99" s="210"/>
      <c r="F99" s="211">
        <v>5498780</v>
      </c>
      <c r="G99" s="211">
        <v>0</v>
      </c>
      <c r="H99" s="211">
        <f>713200+250155</f>
        <v>963355</v>
      </c>
      <c r="I99" s="211">
        <v>0</v>
      </c>
      <c r="J99" s="212">
        <f t="shared" si="1"/>
        <v>6462135</v>
      </c>
      <c r="K99" s="612"/>
    </row>
    <row r="100" spans="1:11" ht="12.75">
      <c r="A100" s="210"/>
      <c r="B100" s="210"/>
      <c r="C100" s="210" t="s">
        <v>282</v>
      </c>
      <c r="D100" s="210" t="s">
        <v>283</v>
      </c>
      <c r="E100" s="210"/>
      <c r="F100" s="211">
        <f>551266+176040+1323000+1484671+15638</f>
        <v>3550615</v>
      </c>
      <c r="G100" s="211">
        <v>977417</v>
      </c>
      <c r="H100" s="211">
        <f>192170+67542</f>
        <v>259712</v>
      </c>
      <c r="I100" s="211">
        <f>27151+705130+1</f>
        <v>732282</v>
      </c>
      <c r="J100" s="212">
        <f t="shared" si="1"/>
        <v>5520026</v>
      </c>
      <c r="K100" s="612"/>
    </row>
    <row r="101" spans="1:11" ht="12.75">
      <c r="A101" s="210"/>
      <c r="B101" s="210"/>
      <c r="C101" s="210" t="s">
        <v>284</v>
      </c>
      <c r="D101" s="210" t="s">
        <v>285</v>
      </c>
      <c r="E101" s="210"/>
      <c r="F101" s="211">
        <v>0</v>
      </c>
      <c r="G101" s="211">
        <v>0</v>
      </c>
      <c r="H101" s="211">
        <v>0</v>
      </c>
      <c r="I101" s="211">
        <v>0</v>
      </c>
      <c r="J101" s="212">
        <f t="shared" si="1"/>
        <v>0</v>
      </c>
      <c r="K101" s="612"/>
    </row>
    <row r="102" spans="1:11" ht="11.25" customHeight="1">
      <c r="A102" s="210"/>
      <c r="B102" s="210"/>
      <c r="C102" s="210" t="s">
        <v>286</v>
      </c>
      <c r="D102" s="210" t="s">
        <v>608</v>
      </c>
      <c r="E102" s="210"/>
      <c r="F102" s="211">
        <f>SUM(F103,F106)</f>
        <v>3000</v>
      </c>
      <c r="G102" s="211">
        <f>SUM(G103+G106)</f>
        <v>0</v>
      </c>
      <c r="H102" s="211">
        <f>SUM(H103+H106)</f>
        <v>0</v>
      </c>
      <c r="I102" s="211">
        <f>SUM(I103+I106)</f>
        <v>0</v>
      </c>
      <c r="J102" s="212">
        <f t="shared" si="1"/>
        <v>3000</v>
      </c>
      <c r="K102" s="612"/>
    </row>
    <row r="103" spans="1:11" ht="12.75" hidden="1">
      <c r="A103" s="210"/>
      <c r="B103" s="210"/>
      <c r="C103" s="216"/>
      <c r="D103" s="931" t="s">
        <v>705</v>
      </c>
      <c r="E103" s="932"/>
      <c r="F103" s="217">
        <v>0</v>
      </c>
      <c r="G103" s="217">
        <v>0</v>
      </c>
      <c r="H103" s="217">
        <v>0</v>
      </c>
      <c r="I103" s="217">
        <v>0</v>
      </c>
      <c r="J103" s="218">
        <f t="shared" si="1"/>
        <v>0</v>
      </c>
      <c r="K103" s="613"/>
    </row>
    <row r="104" spans="1:11" ht="12.75" hidden="1">
      <c r="A104" s="210"/>
      <c r="B104" s="210"/>
      <c r="C104" s="210" t="s">
        <v>2</v>
      </c>
      <c r="D104" s="210"/>
      <c r="E104" s="216" t="s">
        <v>7</v>
      </c>
      <c r="F104" s="217">
        <v>0</v>
      </c>
      <c r="G104" s="217">
        <v>0</v>
      </c>
      <c r="H104" s="217">
        <v>0</v>
      </c>
      <c r="I104" s="217">
        <v>0</v>
      </c>
      <c r="J104" s="218">
        <f t="shared" si="1"/>
        <v>0</v>
      </c>
      <c r="K104" s="613"/>
    </row>
    <row r="105" spans="1:11" ht="12.75" hidden="1">
      <c r="A105" s="210"/>
      <c r="B105" s="210"/>
      <c r="C105" s="210"/>
      <c r="D105" s="210"/>
      <c r="E105" s="216" t="s">
        <v>706</v>
      </c>
      <c r="F105" s="217">
        <v>0</v>
      </c>
      <c r="G105" s="217">
        <v>0</v>
      </c>
      <c r="H105" s="217">
        <v>0</v>
      </c>
      <c r="I105" s="217">
        <v>0</v>
      </c>
      <c r="J105" s="218">
        <f t="shared" si="1"/>
        <v>0</v>
      </c>
      <c r="K105" s="613"/>
    </row>
    <row r="106" spans="1:11" ht="12.75" hidden="1">
      <c r="A106" s="210"/>
      <c r="B106" s="210"/>
      <c r="C106" s="210" t="s">
        <v>2</v>
      </c>
      <c r="D106" s="931" t="s">
        <v>610</v>
      </c>
      <c r="E106" s="932"/>
      <c r="F106" s="217">
        <v>3000</v>
      </c>
      <c r="G106" s="217">
        <v>0</v>
      </c>
      <c r="H106" s="217">
        <v>0</v>
      </c>
      <c r="I106" s="217">
        <v>0</v>
      </c>
      <c r="J106" s="218">
        <f t="shared" si="1"/>
        <v>3000</v>
      </c>
      <c r="K106" s="613"/>
    </row>
    <row r="107" spans="1:11" ht="12.75" hidden="1">
      <c r="A107" s="210"/>
      <c r="B107" s="210"/>
      <c r="C107" s="210"/>
      <c r="D107" s="210"/>
      <c r="E107" s="216" t="s">
        <v>7</v>
      </c>
      <c r="F107" s="217">
        <v>0</v>
      </c>
      <c r="G107" s="217">
        <v>0</v>
      </c>
      <c r="H107" s="217">
        <v>0</v>
      </c>
      <c r="I107" s="217">
        <v>0</v>
      </c>
      <c r="J107" s="218">
        <f t="shared" si="1"/>
        <v>0</v>
      </c>
      <c r="K107" s="613"/>
    </row>
    <row r="108" spans="1:11" ht="12.75" hidden="1">
      <c r="A108" s="210"/>
      <c r="B108" s="210"/>
      <c r="C108" s="210"/>
      <c r="D108" s="210"/>
      <c r="E108" s="216" t="s">
        <v>565</v>
      </c>
      <c r="F108" s="217">
        <v>0</v>
      </c>
      <c r="G108" s="217">
        <v>0</v>
      </c>
      <c r="H108" s="217">
        <v>0</v>
      </c>
      <c r="I108" s="217">
        <v>0</v>
      </c>
      <c r="J108" s="218">
        <f t="shared" si="1"/>
        <v>0</v>
      </c>
      <c r="K108" s="613"/>
    </row>
    <row r="109" spans="1:11" ht="12.75">
      <c r="A109" s="210"/>
      <c r="B109" s="210"/>
      <c r="C109" s="210" t="s">
        <v>287</v>
      </c>
      <c r="D109" s="210" t="s">
        <v>613</v>
      </c>
      <c r="E109" s="210"/>
      <c r="F109" s="211">
        <f>SUM(F110:F111)</f>
        <v>0</v>
      </c>
      <c r="G109" s="211">
        <f>SUM(G110:G111)</f>
        <v>0</v>
      </c>
      <c r="H109" s="211">
        <f>SUM(H110:H111)</f>
        <v>0</v>
      </c>
      <c r="I109" s="211">
        <f>SUM(I110:I111)</f>
        <v>0</v>
      </c>
      <c r="J109" s="212">
        <f t="shared" si="1"/>
        <v>0</v>
      </c>
      <c r="K109" s="612"/>
    </row>
    <row r="110" spans="1:11" ht="12.75" hidden="1">
      <c r="A110" s="210"/>
      <c r="B110" s="210"/>
      <c r="C110" s="210"/>
      <c r="D110" s="931" t="s">
        <v>611</v>
      </c>
      <c r="E110" s="932"/>
      <c r="F110" s="211">
        <v>0</v>
      </c>
      <c r="G110" s="211">
        <v>0</v>
      </c>
      <c r="H110" s="211">
        <v>0</v>
      </c>
      <c r="I110" s="211">
        <v>0</v>
      </c>
      <c r="J110" s="212">
        <f t="shared" si="1"/>
        <v>0</v>
      </c>
      <c r="K110" s="612"/>
    </row>
    <row r="111" spans="1:11" ht="12.75" hidden="1">
      <c r="A111" s="210"/>
      <c r="B111" s="210"/>
      <c r="C111" s="210"/>
      <c r="D111" s="931" t="s">
        <v>612</v>
      </c>
      <c r="E111" s="932"/>
      <c r="F111" s="211">
        <v>0</v>
      </c>
      <c r="G111" s="211">
        <v>0</v>
      </c>
      <c r="H111" s="211">
        <v>0</v>
      </c>
      <c r="I111" s="211">
        <v>0</v>
      </c>
      <c r="J111" s="212">
        <f t="shared" si="1"/>
        <v>0</v>
      </c>
      <c r="K111" s="612"/>
    </row>
    <row r="112" spans="1:11" ht="12.75" hidden="1">
      <c r="A112" s="210"/>
      <c r="B112" s="210"/>
      <c r="C112" s="210" t="s">
        <v>2</v>
      </c>
      <c r="D112" s="210"/>
      <c r="E112" s="216" t="s">
        <v>614</v>
      </c>
      <c r="F112" s="211">
        <v>0</v>
      </c>
      <c r="G112" s="211">
        <v>0</v>
      </c>
      <c r="H112" s="211">
        <v>0</v>
      </c>
      <c r="I112" s="211">
        <v>0</v>
      </c>
      <c r="J112" s="212">
        <f t="shared" si="1"/>
        <v>0</v>
      </c>
      <c r="K112" s="612"/>
    </row>
    <row r="113" spans="1:11" ht="12.75" hidden="1">
      <c r="A113" s="210"/>
      <c r="B113" s="210"/>
      <c r="C113" s="210"/>
      <c r="D113" s="210"/>
      <c r="E113" s="216" t="s">
        <v>609</v>
      </c>
      <c r="F113" s="211">
        <v>0</v>
      </c>
      <c r="G113" s="211">
        <v>0</v>
      </c>
      <c r="H113" s="211">
        <v>0</v>
      </c>
      <c r="I113" s="211">
        <v>0</v>
      </c>
      <c r="J113" s="212">
        <f t="shared" si="1"/>
        <v>0</v>
      </c>
      <c r="K113" s="612"/>
    </row>
    <row r="114" spans="1:11" ht="12.75" hidden="1">
      <c r="A114" s="210"/>
      <c r="B114" s="210"/>
      <c r="C114" s="210"/>
      <c r="D114" s="210"/>
      <c r="E114" s="216" t="s">
        <v>615</v>
      </c>
      <c r="F114" s="211">
        <v>0</v>
      </c>
      <c r="G114" s="211">
        <v>0</v>
      </c>
      <c r="H114" s="211">
        <v>0</v>
      </c>
      <c r="I114" s="211">
        <v>0</v>
      </c>
      <c r="J114" s="212">
        <f t="shared" si="1"/>
        <v>0</v>
      </c>
      <c r="K114" s="612"/>
    </row>
    <row r="115" spans="1:11" ht="12.75" hidden="1">
      <c r="A115" s="210"/>
      <c r="B115" s="210"/>
      <c r="C115" s="210"/>
      <c r="D115" s="210"/>
      <c r="E115" s="216" t="s">
        <v>616</v>
      </c>
      <c r="F115" s="211">
        <v>0</v>
      </c>
      <c r="G115" s="211">
        <v>0</v>
      </c>
      <c r="H115" s="211">
        <v>0</v>
      </c>
      <c r="I115" s="211">
        <v>0</v>
      </c>
      <c r="J115" s="212">
        <f t="shared" si="1"/>
        <v>0</v>
      </c>
      <c r="K115" s="612"/>
    </row>
    <row r="116" spans="1:11" ht="12.75" hidden="1">
      <c r="A116" s="210"/>
      <c r="B116" s="210"/>
      <c r="C116" s="210"/>
      <c r="D116" s="210"/>
      <c r="E116" s="216" t="s">
        <v>617</v>
      </c>
      <c r="F116" s="211">
        <v>0</v>
      </c>
      <c r="G116" s="211">
        <v>0</v>
      </c>
      <c r="H116" s="211">
        <v>0</v>
      </c>
      <c r="I116" s="211">
        <v>0</v>
      </c>
      <c r="J116" s="212">
        <f t="shared" si="1"/>
        <v>0</v>
      </c>
      <c r="K116" s="612"/>
    </row>
    <row r="117" spans="1:11" ht="12.75">
      <c r="A117" s="210"/>
      <c r="B117" s="210"/>
      <c r="C117" s="210" t="s">
        <v>288</v>
      </c>
      <c r="D117" s="210" t="s">
        <v>566</v>
      </c>
      <c r="E117" s="210"/>
      <c r="F117" s="211">
        <v>0</v>
      </c>
      <c r="G117" s="211">
        <v>0</v>
      </c>
      <c r="H117" s="211">
        <v>0</v>
      </c>
      <c r="I117" s="211">
        <v>0</v>
      </c>
      <c r="J117" s="212">
        <f t="shared" si="1"/>
        <v>0</v>
      </c>
      <c r="K117" s="612"/>
    </row>
    <row r="118" spans="1:11" ht="22.5" customHeight="1">
      <c r="A118" s="210"/>
      <c r="B118" s="210"/>
      <c r="C118" s="210" t="s">
        <v>567</v>
      </c>
      <c r="D118" s="930" t="s">
        <v>568</v>
      </c>
      <c r="E118" s="930"/>
      <c r="F118" s="211">
        <f>10801933+60128-10529284</f>
        <v>332777</v>
      </c>
      <c r="G118" s="211">
        <v>0</v>
      </c>
      <c r="H118" s="211">
        <v>0</v>
      </c>
      <c r="I118" s="211">
        <v>0</v>
      </c>
      <c r="J118" s="212">
        <f t="shared" si="1"/>
        <v>332777</v>
      </c>
      <c r="K118" s="612"/>
    </row>
    <row r="119" spans="1:11" ht="45.75" customHeight="1" hidden="1">
      <c r="A119" s="214"/>
      <c r="B119" s="214"/>
      <c r="C119" s="224" t="s">
        <v>2</v>
      </c>
      <c r="D119" s="222" t="s">
        <v>448</v>
      </c>
      <c r="E119" s="222" t="s">
        <v>590</v>
      </c>
      <c r="F119" s="217">
        <v>0</v>
      </c>
      <c r="G119" s="217">
        <v>0</v>
      </c>
      <c r="H119" s="217">
        <v>0</v>
      </c>
      <c r="I119" s="217">
        <v>0</v>
      </c>
      <c r="J119" s="218">
        <f t="shared" si="1"/>
        <v>0</v>
      </c>
      <c r="K119" s="613"/>
    </row>
    <row r="120" spans="1:11" ht="13.5" customHeight="1" hidden="1">
      <c r="A120" s="215"/>
      <c r="B120" s="215"/>
      <c r="C120" s="215"/>
      <c r="D120" s="216" t="s">
        <v>448</v>
      </c>
      <c r="E120" s="225" t="s">
        <v>618</v>
      </c>
      <c r="F120" s="217"/>
      <c r="G120" s="217">
        <v>0</v>
      </c>
      <c r="H120" s="217">
        <v>0</v>
      </c>
      <c r="I120" s="217">
        <v>0</v>
      </c>
      <c r="J120" s="218">
        <f t="shared" si="1"/>
        <v>0</v>
      </c>
      <c r="K120" s="613"/>
    </row>
    <row r="121" spans="1:11" s="206" customFormat="1" ht="12" customHeight="1">
      <c r="A121" s="204" t="s">
        <v>289</v>
      </c>
      <c r="B121" s="928" t="s">
        <v>290</v>
      </c>
      <c r="C121" s="928"/>
      <c r="D121" s="928"/>
      <c r="E121" s="928"/>
      <c r="F121" s="205">
        <f>SUM(F122+F124+F126+F127+F128)</f>
        <v>58067347</v>
      </c>
      <c r="G121" s="205">
        <f>SUM(G122+G124+G126+G127+G128)</f>
        <v>0</v>
      </c>
      <c r="H121" s="205">
        <f>SUM(H122+H124+H126+H127+H128)</f>
        <v>0</v>
      </c>
      <c r="I121" s="205">
        <f>SUM(I122+I124+I126+I127+I128)</f>
        <v>0</v>
      </c>
      <c r="J121" s="205">
        <f t="shared" si="1"/>
        <v>58067347</v>
      </c>
      <c r="K121" s="610"/>
    </row>
    <row r="122" spans="1:11" ht="11.25" customHeight="1" hidden="1">
      <c r="A122" s="207"/>
      <c r="B122" s="207" t="s">
        <v>291</v>
      </c>
      <c r="C122" s="920" t="s">
        <v>346</v>
      </c>
      <c r="D122" s="920"/>
      <c r="E122" s="920"/>
      <c r="F122" s="208">
        <v>0</v>
      </c>
      <c r="G122" s="208">
        <v>0</v>
      </c>
      <c r="H122" s="208">
        <v>0</v>
      </c>
      <c r="I122" s="208">
        <v>0</v>
      </c>
      <c r="J122" s="209">
        <f t="shared" si="1"/>
        <v>0</v>
      </c>
      <c r="K122" s="611"/>
    </row>
    <row r="123" spans="1:11" ht="12.75" hidden="1">
      <c r="A123" s="215"/>
      <c r="B123" s="215"/>
      <c r="C123" s="216" t="s">
        <v>2</v>
      </c>
      <c r="D123" s="216" t="s">
        <v>448</v>
      </c>
      <c r="E123" s="216" t="s">
        <v>677</v>
      </c>
      <c r="F123" s="217">
        <v>0</v>
      </c>
      <c r="G123" s="217">
        <v>0</v>
      </c>
      <c r="H123" s="217">
        <v>0</v>
      </c>
      <c r="I123" s="217">
        <v>0</v>
      </c>
      <c r="J123" s="218">
        <f t="shared" si="1"/>
        <v>0</v>
      </c>
      <c r="K123" s="613"/>
    </row>
    <row r="124" spans="1:11" ht="11.25" customHeight="1">
      <c r="A124" s="207"/>
      <c r="B124" s="207" t="s">
        <v>292</v>
      </c>
      <c r="C124" s="920" t="s">
        <v>293</v>
      </c>
      <c r="D124" s="920"/>
      <c r="E124" s="920"/>
      <c r="F124" s="208">
        <f>62747330-3831623-848360</f>
        <v>58067347</v>
      </c>
      <c r="G124" s="208">
        <v>0</v>
      </c>
      <c r="H124" s="208">
        <v>0</v>
      </c>
      <c r="I124" s="208">
        <v>0</v>
      </c>
      <c r="J124" s="209">
        <f t="shared" si="1"/>
        <v>58067347</v>
      </c>
      <c r="K124" s="611"/>
    </row>
    <row r="125" spans="1:11" ht="12.75" hidden="1">
      <c r="A125" s="215"/>
      <c r="B125" s="215"/>
      <c r="C125" s="216" t="s">
        <v>2</v>
      </c>
      <c r="D125" s="216" t="s">
        <v>448</v>
      </c>
      <c r="E125" s="216" t="s">
        <v>294</v>
      </c>
      <c r="F125" s="217">
        <v>0</v>
      </c>
      <c r="G125" s="217">
        <v>0</v>
      </c>
      <c r="H125" s="217">
        <v>0</v>
      </c>
      <c r="I125" s="217">
        <v>0</v>
      </c>
      <c r="J125" s="218">
        <f t="shared" si="1"/>
        <v>0</v>
      </c>
      <c r="K125" s="613"/>
    </row>
    <row r="126" spans="1:11" ht="12.75" hidden="1">
      <c r="A126" s="207"/>
      <c r="B126" s="207" t="s">
        <v>295</v>
      </c>
      <c r="C126" s="920" t="s">
        <v>296</v>
      </c>
      <c r="D126" s="920"/>
      <c r="E126" s="920"/>
      <c r="F126" s="208">
        <v>0</v>
      </c>
      <c r="G126" s="208">
        <v>0</v>
      </c>
      <c r="H126" s="208">
        <v>0</v>
      </c>
      <c r="I126" s="208">
        <v>0</v>
      </c>
      <c r="J126" s="209">
        <f t="shared" si="1"/>
        <v>0</v>
      </c>
      <c r="K126" s="611"/>
    </row>
    <row r="127" spans="1:11" ht="12.75" hidden="1">
      <c r="A127" s="207"/>
      <c r="B127" s="207" t="s">
        <v>297</v>
      </c>
      <c r="C127" s="920" t="s">
        <v>298</v>
      </c>
      <c r="D127" s="920"/>
      <c r="E127" s="920"/>
      <c r="F127" s="208">
        <v>0</v>
      </c>
      <c r="G127" s="208">
        <v>0</v>
      </c>
      <c r="H127" s="208">
        <v>0</v>
      </c>
      <c r="I127" s="208">
        <v>0</v>
      </c>
      <c r="J127" s="209">
        <f t="shared" si="1"/>
        <v>0</v>
      </c>
      <c r="K127" s="611"/>
    </row>
    <row r="128" spans="1:11" ht="12.75" hidden="1">
      <c r="A128" s="207"/>
      <c r="B128" s="207" t="s">
        <v>299</v>
      </c>
      <c r="C128" s="920" t="s">
        <v>300</v>
      </c>
      <c r="D128" s="920"/>
      <c r="E128" s="920"/>
      <c r="F128" s="208">
        <v>0</v>
      </c>
      <c r="G128" s="208">
        <v>0</v>
      </c>
      <c r="H128" s="208">
        <v>0</v>
      </c>
      <c r="I128" s="208">
        <v>0</v>
      </c>
      <c r="J128" s="209">
        <f t="shared" si="1"/>
        <v>0</v>
      </c>
      <c r="K128" s="611"/>
    </row>
    <row r="129" spans="1:11" s="206" customFormat="1" ht="12" customHeight="1">
      <c r="A129" s="204" t="s">
        <v>301</v>
      </c>
      <c r="B129" s="928" t="s">
        <v>302</v>
      </c>
      <c r="C129" s="928"/>
      <c r="D129" s="928"/>
      <c r="E129" s="928"/>
      <c r="F129" s="205">
        <f>SUM(F130+F131+F132+F133+F143)</f>
        <v>369571</v>
      </c>
      <c r="G129" s="205">
        <f>SUM(G130+G131+G132+G133+G143)</f>
        <v>0</v>
      </c>
      <c r="H129" s="205">
        <f>SUM(H130+H131+H132+H133+H143)</f>
        <v>0</v>
      </c>
      <c r="I129" s="205">
        <f>SUM(I130+I131+I132+I133+I143)</f>
        <v>0</v>
      </c>
      <c r="J129" s="205">
        <f t="shared" si="1"/>
        <v>369571</v>
      </c>
      <c r="K129" s="610"/>
    </row>
    <row r="130" spans="1:11" ht="12.75" hidden="1">
      <c r="A130" s="207"/>
      <c r="B130" s="207" t="s">
        <v>303</v>
      </c>
      <c r="C130" s="920" t="s">
        <v>707</v>
      </c>
      <c r="D130" s="920"/>
      <c r="E130" s="920"/>
      <c r="F130" s="208">
        <v>0</v>
      </c>
      <c r="G130" s="208">
        <v>0</v>
      </c>
      <c r="H130" s="208">
        <v>0</v>
      </c>
      <c r="I130" s="208">
        <v>0</v>
      </c>
      <c r="J130" s="209">
        <f t="shared" si="1"/>
        <v>0</v>
      </c>
      <c r="K130" s="611"/>
    </row>
    <row r="131" spans="1:11" ht="12.75" hidden="1">
      <c r="A131" s="207"/>
      <c r="B131" s="207" t="s">
        <v>304</v>
      </c>
      <c r="C131" s="920" t="s">
        <v>708</v>
      </c>
      <c r="D131" s="920"/>
      <c r="E131" s="920"/>
      <c r="F131" s="208">
        <v>0</v>
      </c>
      <c r="G131" s="208">
        <v>0</v>
      </c>
      <c r="H131" s="208">
        <v>0</v>
      </c>
      <c r="I131" s="208">
        <v>0</v>
      </c>
      <c r="J131" s="209">
        <f t="shared" si="1"/>
        <v>0</v>
      </c>
      <c r="K131" s="611"/>
    </row>
    <row r="132" spans="1:11" ht="26.25" customHeight="1" hidden="1">
      <c r="A132" s="207"/>
      <c r="B132" s="207" t="s">
        <v>306</v>
      </c>
      <c r="C132" s="929" t="s">
        <v>709</v>
      </c>
      <c r="D132" s="929"/>
      <c r="E132" s="929"/>
      <c r="F132" s="208">
        <v>0</v>
      </c>
      <c r="G132" s="208">
        <v>0</v>
      </c>
      <c r="H132" s="208">
        <v>0</v>
      </c>
      <c r="I132" s="208">
        <v>0</v>
      </c>
      <c r="J132" s="209">
        <f t="shared" si="1"/>
        <v>0</v>
      </c>
      <c r="K132" s="611"/>
    </row>
    <row r="133" spans="1:11" ht="12.75" hidden="1">
      <c r="A133" s="207"/>
      <c r="B133" s="207" t="s">
        <v>569</v>
      </c>
      <c r="C133" s="920" t="s">
        <v>710</v>
      </c>
      <c r="D133" s="920"/>
      <c r="E133" s="920"/>
      <c r="F133" s="208">
        <f>SUM(F134:F142)</f>
        <v>0</v>
      </c>
      <c r="G133" s="208">
        <v>0</v>
      </c>
      <c r="H133" s="208">
        <v>0</v>
      </c>
      <c r="I133" s="208">
        <v>0</v>
      </c>
      <c r="J133" s="209">
        <f t="shared" si="1"/>
        <v>0</v>
      </c>
      <c r="K133" s="611"/>
    </row>
    <row r="134" spans="1:11" ht="12.75" hidden="1">
      <c r="A134" s="214"/>
      <c r="B134" s="214"/>
      <c r="C134" s="216" t="s">
        <v>2</v>
      </c>
      <c r="D134" s="216" t="s">
        <v>151</v>
      </c>
      <c r="E134" s="216" t="s">
        <v>178</v>
      </c>
      <c r="F134" s="217">
        <v>0</v>
      </c>
      <c r="G134" s="217">
        <v>0</v>
      </c>
      <c r="H134" s="217">
        <v>0</v>
      </c>
      <c r="I134" s="217">
        <v>0</v>
      </c>
      <c r="J134" s="218">
        <f t="shared" si="1"/>
        <v>0</v>
      </c>
      <c r="K134" s="613"/>
    </row>
    <row r="135" spans="1:11" ht="12.75" hidden="1">
      <c r="A135" s="214"/>
      <c r="B135" s="214"/>
      <c r="C135" s="216"/>
      <c r="D135" s="216" t="s">
        <v>153</v>
      </c>
      <c r="E135" s="216" t="s">
        <v>591</v>
      </c>
      <c r="F135" s="217">
        <v>0</v>
      </c>
      <c r="G135" s="217">
        <v>0</v>
      </c>
      <c r="H135" s="217">
        <v>0</v>
      </c>
      <c r="I135" s="217">
        <v>0</v>
      </c>
      <c r="J135" s="218">
        <f t="shared" si="1"/>
        <v>0</v>
      </c>
      <c r="K135" s="613"/>
    </row>
    <row r="136" spans="1:11" ht="12.75" hidden="1">
      <c r="A136" s="214"/>
      <c r="B136" s="214"/>
      <c r="C136" s="216"/>
      <c r="D136" s="216" t="s">
        <v>155</v>
      </c>
      <c r="E136" s="216" t="s">
        <v>179</v>
      </c>
      <c r="F136" s="217">
        <v>0</v>
      </c>
      <c r="G136" s="217">
        <v>0</v>
      </c>
      <c r="H136" s="217">
        <v>0</v>
      </c>
      <c r="I136" s="217">
        <v>0</v>
      </c>
      <c r="J136" s="218">
        <f aca="true" t="shared" si="2" ref="J136:J199">SUM(F136:I136)</f>
        <v>0</v>
      </c>
      <c r="K136" s="613"/>
    </row>
    <row r="137" spans="1:11" ht="12.75" hidden="1">
      <c r="A137" s="214"/>
      <c r="B137" s="214"/>
      <c r="C137" s="216"/>
      <c r="D137" s="216" t="s">
        <v>157</v>
      </c>
      <c r="E137" s="216" t="s">
        <v>180</v>
      </c>
      <c r="F137" s="217">
        <v>0</v>
      </c>
      <c r="G137" s="217">
        <v>0</v>
      </c>
      <c r="H137" s="217">
        <v>0</v>
      </c>
      <c r="I137" s="217">
        <v>0</v>
      </c>
      <c r="J137" s="218">
        <f t="shared" si="2"/>
        <v>0</v>
      </c>
      <c r="K137" s="613"/>
    </row>
    <row r="138" spans="1:11" ht="12.75" hidden="1">
      <c r="A138" s="214"/>
      <c r="B138" s="214"/>
      <c r="C138" s="216"/>
      <c r="D138" s="216" t="s">
        <v>159</v>
      </c>
      <c r="E138" s="216" t="s">
        <v>181</v>
      </c>
      <c r="F138" s="217">
        <v>0</v>
      </c>
      <c r="G138" s="217">
        <v>0</v>
      </c>
      <c r="H138" s="217">
        <v>0</v>
      </c>
      <c r="I138" s="217">
        <v>0</v>
      </c>
      <c r="J138" s="218">
        <f t="shared" si="2"/>
        <v>0</v>
      </c>
      <c r="K138" s="613"/>
    </row>
    <row r="139" spans="1:11" ht="12.75" hidden="1">
      <c r="A139" s="214"/>
      <c r="B139" s="214"/>
      <c r="C139" s="216"/>
      <c r="D139" s="216" t="s">
        <v>161</v>
      </c>
      <c r="E139" s="216" t="s">
        <v>551</v>
      </c>
      <c r="F139" s="217">
        <v>0</v>
      </c>
      <c r="G139" s="217">
        <v>0</v>
      </c>
      <c r="H139" s="217">
        <v>0</v>
      </c>
      <c r="I139" s="217">
        <v>0</v>
      </c>
      <c r="J139" s="218">
        <f t="shared" si="2"/>
        <v>0</v>
      </c>
      <c r="K139" s="613"/>
    </row>
    <row r="140" spans="1:11" ht="12.75" hidden="1">
      <c r="A140" s="214"/>
      <c r="B140" s="214"/>
      <c r="C140" s="216"/>
      <c r="D140" s="216" t="s">
        <v>163</v>
      </c>
      <c r="E140" s="216" t="s">
        <v>550</v>
      </c>
      <c r="F140" s="226">
        <v>0</v>
      </c>
      <c r="G140" s="217">
        <v>0</v>
      </c>
      <c r="H140" s="217">
        <v>0</v>
      </c>
      <c r="I140" s="217">
        <v>0</v>
      </c>
      <c r="J140" s="218">
        <f t="shared" si="2"/>
        <v>0</v>
      </c>
      <c r="K140" s="613"/>
    </row>
    <row r="141" spans="1:11" ht="12.75" hidden="1">
      <c r="A141" s="214"/>
      <c r="B141" s="214"/>
      <c r="C141" s="216"/>
      <c r="D141" s="216" t="s">
        <v>165</v>
      </c>
      <c r="E141" s="216" t="s">
        <v>184</v>
      </c>
      <c r="F141" s="217"/>
      <c r="G141" s="217">
        <v>0</v>
      </c>
      <c r="H141" s="217">
        <v>0</v>
      </c>
      <c r="I141" s="217">
        <v>0</v>
      </c>
      <c r="J141" s="218">
        <f t="shared" si="2"/>
        <v>0</v>
      </c>
      <c r="K141" s="613"/>
    </row>
    <row r="142" spans="1:11" ht="12.75" hidden="1">
      <c r="A142" s="214"/>
      <c r="B142" s="214"/>
      <c r="C142" s="216"/>
      <c r="D142" s="216" t="s">
        <v>167</v>
      </c>
      <c r="E142" s="216" t="s">
        <v>592</v>
      </c>
      <c r="F142" s="217">
        <v>0</v>
      </c>
      <c r="G142" s="217">
        <v>0</v>
      </c>
      <c r="H142" s="217">
        <v>0</v>
      </c>
      <c r="I142" s="217">
        <v>0</v>
      </c>
      <c r="J142" s="218">
        <f t="shared" si="2"/>
        <v>0</v>
      </c>
      <c r="K142" s="613"/>
    </row>
    <row r="143" spans="1:11" ht="12" customHeight="1">
      <c r="A143" s="207"/>
      <c r="B143" s="207" t="s">
        <v>570</v>
      </c>
      <c r="C143" s="920" t="s">
        <v>678</v>
      </c>
      <c r="D143" s="920"/>
      <c r="E143" s="920"/>
      <c r="F143" s="208">
        <f>302525+67046</f>
        <v>369571</v>
      </c>
      <c r="G143" s="208">
        <v>0</v>
      </c>
      <c r="H143" s="208">
        <v>0</v>
      </c>
      <c r="I143" s="208">
        <v>0</v>
      </c>
      <c r="J143" s="209">
        <f t="shared" si="2"/>
        <v>369571</v>
      </c>
      <c r="K143" s="611"/>
    </row>
    <row r="144" spans="1:11" ht="12.75" hidden="1">
      <c r="A144" s="207"/>
      <c r="B144" s="207"/>
      <c r="C144" s="216" t="s">
        <v>2</v>
      </c>
      <c r="D144" s="604"/>
      <c r="E144" s="216" t="s">
        <v>184</v>
      </c>
      <c r="F144" s="217">
        <f>302525+67046</f>
        <v>369571</v>
      </c>
      <c r="G144" s="217">
        <v>0</v>
      </c>
      <c r="H144" s="217">
        <v>0</v>
      </c>
      <c r="I144" s="217">
        <v>0</v>
      </c>
      <c r="J144" s="218">
        <f>SUM(F144:I144)</f>
        <v>369571</v>
      </c>
      <c r="K144" s="611"/>
    </row>
    <row r="145" spans="1:11" s="206" customFormat="1" ht="12" customHeight="1">
      <c r="A145" s="204" t="s">
        <v>307</v>
      </c>
      <c r="B145" s="928" t="s">
        <v>308</v>
      </c>
      <c r="C145" s="928"/>
      <c r="D145" s="928"/>
      <c r="E145" s="928"/>
      <c r="F145" s="205">
        <f>SUM(F146+F147+F148+F149+F159)</f>
        <v>0</v>
      </c>
      <c r="G145" s="205">
        <f>SUM(G146+G147+G148+G149+G159)</f>
        <v>0</v>
      </c>
      <c r="H145" s="205">
        <f>SUM(H146+H147+H148+H149+H159)</f>
        <v>0</v>
      </c>
      <c r="I145" s="205">
        <f>SUM(I146+I147+I148+I149+I159)</f>
        <v>0</v>
      </c>
      <c r="J145" s="205">
        <f t="shared" si="2"/>
        <v>0</v>
      </c>
      <c r="K145" s="610"/>
    </row>
    <row r="146" spans="1:11" ht="12.75" hidden="1">
      <c r="A146" s="207"/>
      <c r="B146" s="207" t="s">
        <v>309</v>
      </c>
      <c r="C146" s="920" t="s">
        <v>711</v>
      </c>
      <c r="D146" s="920"/>
      <c r="E146" s="920"/>
      <c r="F146" s="208">
        <v>0</v>
      </c>
      <c r="G146" s="208">
        <v>0</v>
      </c>
      <c r="H146" s="208">
        <v>0</v>
      </c>
      <c r="I146" s="208">
        <v>0</v>
      </c>
      <c r="J146" s="209">
        <f t="shared" si="2"/>
        <v>0</v>
      </c>
      <c r="K146" s="611"/>
    </row>
    <row r="147" spans="1:11" ht="12.75" hidden="1">
      <c r="A147" s="207"/>
      <c r="B147" s="207" t="s">
        <v>310</v>
      </c>
      <c r="C147" s="920" t="s">
        <v>712</v>
      </c>
      <c r="D147" s="920"/>
      <c r="E147" s="920"/>
      <c r="F147" s="208">
        <v>0</v>
      </c>
      <c r="G147" s="208">
        <v>0</v>
      </c>
      <c r="H147" s="208">
        <v>0</v>
      </c>
      <c r="I147" s="208">
        <v>0</v>
      </c>
      <c r="J147" s="209">
        <f t="shared" si="2"/>
        <v>0</v>
      </c>
      <c r="K147" s="611"/>
    </row>
    <row r="148" spans="1:11" ht="25.5" customHeight="1" hidden="1">
      <c r="A148" s="207"/>
      <c r="B148" s="207" t="s">
        <v>311</v>
      </c>
      <c r="C148" s="929" t="s">
        <v>713</v>
      </c>
      <c r="D148" s="929"/>
      <c r="E148" s="929"/>
      <c r="F148" s="208">
        <v>0</v>
      </c>
      <c r="G148" s="208">
        <v>0</v>
      </c>
      <c r="H148" s="208">
        <v>0</v>
      </c>
      <c r="I148" s="208">
        <v>0</v>
      </c>
      <c r="J148" s="209">
        <f t="shared" si="2"/>
        <v>0</v>
      </c>
      <c r="K148" s="611"/>
    </row>
    <row r="149" spans="1:11" ht="12.75" hidden="1">
      <c r="A149" s="214"/>
      <c r="B149" s="207" t="s">
        <v>571</v>
      </c>
      <c r="C149" s="920" t="s">
        <v>714</v>
      </c>
      <c r="D149" s="920"/>
      <c r="E149" s="920"/>
      <c r="F149" s="208">
        <f>SUM(F150:F158)</f>
        <v>0</v>
      </c>
      <c r="G149" s="208">
        <f>SUM(G150:G158)</f>
        <v>0</v>
      </c>
      <c r="H149" s="208">
        <f>SUM(H150:H158)</f>
        <v>0</v>
      </c>
      <c r="I149" s="208">
        <f>SUM(I150:I158)</f>
        <v>0</v>
      </c>
      <c r="J149" s="209">
        <f t="shared" si="2"/>
        <v>0</v>
      </c>
      <c r="K149" s="611"/>
    </row>
    <row r="150" spans="1:11" ht="12.75" hidden="1">
      <c r="A150" s="214"/>
      <c r="B150" s="214"/>
      <c r="C150" s="216" t="s">
        <v>2</v>
      </c>
      <c r="D150" s="216" t="s">
        <v>151</v>
      </c>
      <c r="E150" s="216" t="s">
        <v>178</v>
      </c>
      <c r="F150" s="217">
        <v>0</v>
      </c>
      <c r="G150" s="217">
        <v>0</v>
      </c>
      <c r="H150" s="217">
        <v>0</v>
      </c>
      <c r="I150" s="217">
        <v>0</v>
      </c>
      <c r="J150" s="218">
        <f t="shared" si="2"/>
        <v>0</v>
      </c>
      <c r="K150" s="613"/>
    </row>
    <row r="151" spans="1:11" ht="12.75" hidden="1">
      <c r="A151" s="214"/>
      <c r="B151" s="214"/>
      <c r="C151" s="216"/>
      <c r="D151" s="216" t="s">
        <v>153</v>
      </c>
      <c r="E151" s="216" t="s">
        <v>591</v>
      </c>
      <c r="F151" s="217">
        <v>0</v>
      </c>
      <c r="G151" s="217">
        <v>0</v>
      </c>
      <c r="H151" s="217">
        <v>0</v>
      </c>
      <c r="I151" s="217">
        <v>0</v>
      </c>
      <c r="J151" s="218">
        <f t="shared" si="2"/>
        <v>0</v>
      </c>
      <c r="K151" s="613"/>
    </row>
    <row r="152" spans="1:11" ht="12.75" hidden="1">
      <c r="A152" s="214"/>
      <c r="B152" s="214"/>
      <c r="C152" s="216"/>
      <c r="D152" s="216" t="s">
        <v>155</v>
      </c>
      <c r="E152" s="216" t="s">
        <v>179</v>
      </c>
      <c r="F152" s="217">
        <v>0</v>
      </c>
      <c r="G152" s="217">
        <v>0</v>
      </c>
      <c r="H152" s="217">
        <v>0</v>
      </c>
      <c r="I152" s="217">
        <v>0</v>
      </c>
      <c r="J152" s="218">
        <f t="shared" si="2"/>
        <v>0</v>
      </c>
      <c r="K152" s="613"/>
    </row>
    <row r="153" spans="1:11" ht="12.75" hidden="1">
      <c r="A153" s="214"/>
      <c r="B153" s="214"/>
      <c r="C153" s="216"/>
      <c r="D153" s="216" t="s">
        <v>157</v>
      </c>
      <c r="E153" s="216" t="s">
        <v>180</v>
      </c>
      <c r="F153" s="217">
        <v>0</v>
      </c>
      <c r="G153" s="217">
        <v>0</v>
      </c>
      <c r="H153" s="217">
        <v>0</v>
      </c>
      <c r="I153" s="217">
        <v>0</v>
      </c>
      <c r="J153" s="218">
        <f t="shared" si="2"/>
        <v>0</v>
      </c>
      <c r="K153" s="613"/>
    </row>
    <row r="154" spans="1:11" ht="12.75" hidden="1">
      <c r="A154" s="214"/>
      <c r="B154" s="214"/>
      <c r="C154" s="216"/>
      <c r="D154" s="216" t="s">
        <v>159</v>
      </c>
      <c r="E154" s="216" t="s">
        <v>181</v>
      </c>
      <c r="F154" s="217">
        <v>0</v>
      </c>
      <c r="G154" s="217">
        <v>0</v>
      </c>
      <c r="H154" s="217">
        <v>0</v>
      </c>
      <c r="I154" s="217">
        <v>0</v>
      </c>
      <c r="J154" s="218">
        <f t="shared" si="2"/>
        <v>0</v>
      </c>
      <c r="K154" s="613"/>
    </row>
    <row r="155" spans="1:11" ht="12.75" hidden="1">
      <c r="A155" s="214"/>
      <c r="B155" s="214"/>
      <c r="C155" s="216"/>
      <c r="D155" s="216" t="s">
        <v>161</v>
      </c>
      <c r="E155" s="216" t="s">
        <v>551</v>
      </c>
      <c r="F155" s="217">
        <v>0</v>
      </c>
      <c r="G155" s="217">
        <v>0</v>
      </c>
      <c r="H155" s="217">
        <v>0</v>
      </c>
      <c r="I155" s="217">
        <v>0</v>
      </c>
      <c r="J155" s="218">
        <f t="shared" si="2"/>
        <v>0</v>
      </c>
      <c r="K155" s="613"/>
    </row>
    <row r="156" spans="1:11" ht="12.75" hidden="1">
      <c r="A156" s="214"/>
      <c r="B156" s="214"/>
      <c r="C156" s="216"/>
      <c r="D156" s="216" t="s">
        <v>163</v>
      </c>
      <c r="E156" s="216" t="s">
        <v>550</v>
      </c>
      <c r="F156" s="226">
        <v>0</v>
      </c>
      <c r="G156" s="217">
        <v>0</v>
      </c>
      <c r="H156" s="217">
        <v>0</v>
      </c>
      <c r="I156" s="217">
        <v>0</v>
      </c>
      <c r="J156" s="218">
        <f t="shared" si="2"/>
        <v>0</v>
      </c>
      <c r="K156" s="613"/>
    </row>
    <row r="157" spans="1:11" ht="12.75" hidden="1">
      <c r="A157" s="214"/>
      <c r="B157" s="214"/>
      <c r="C157" s="216"/>
      <c r="D157" s="216" t="s">
        <v>165</v>
      </c>
      <c r="E157" s="216" t="s">
        <v>184</v>
      </c>
      <c r="F157" s="217">
        <v>0</v>
      </c>
      <c r="G157" s="217">
        <v>0</v>
      </c>
      <c r="H157" s="217">
        <v>0</v>
      </c>
      <c r="I157" s="217">
        <v>0</v>
      </c>
      <c r="J157" s="218">
        <f t="shared" si="2"/>
        <v>0</v>
      </c>
      <c r="K157" s="613"/>
    </row>
    <row r="158" spans="1:11" ht="12.75" hidden="1">
      <c r="A158" s="214"/>
      <c r="B158" s="214"/>
      <c r="C158" s="216"/>
      <c r="D158" s="216" t="s">
        <v>167</v>
      </c>
      <c r="E158" s="216" t="s">
        <v>592</v>
      </c>
      <c r="F158" s="217">
        <v>0</v>
      </c>
      <c r="G158" s="217">
        <v>0</v>
      </c>
      <c r="H158" s="217">
        <v>0</v>
      </c>
      <c r="I158" s="217">
        <v>0</v>
      </c>
      <c r="J158" s="218">
        <f t="shared" si="2"/>
        <v>0</v>
      </c>
      <c r="K158" s="613"/>
    </row>
    <row r="159" spans="1:11" ht="12" customHeight="1">
      <c r="A159" s="214"/>
      <c r="B159" s="207" t="s">
        <v>572</v>
      </c>
      <c r="C159" s="920" t="s">
        <v>660</v>
      </c>
      <c r="D159" s="920"/>
      <c r="E159" s="920"/>
      <c r="F159" s="208">
        <f>SUM(F160:F170)</f>
        <v>0</v>
      </c>
      <c r="G159" s="208">
        <f>SUM(G160:G170)</f>
        <v>0</v>
      </c>
      <c r="H159" s="208">
        <f>SUM(H160:H170)</f>
        <v>0</v>
      </c>
      <c r="I159" s="208">
        <f>SUM(I160:I170)</f>
        <v>0</v>
      </c>
      <c r="J159" s="209">
        <f t="shared" si="2"/>
        <v>0</v>
      </c>
      <c r="K159" s="611"/>
    </row>
    <row r="160" spans="1:11" ht="12" customHeight="1" hidden="1">
      <c r="A160" s="214"/>
      <c r="B160" s="214"/>
      <c r="C160" s="216" t="s">
        <v>2</v>
      </c>
      <c r="D160" s="216" t="s">
        <v>151</v>
      </c>
      <c r="E160" s="216" t="s">
        <v>178</v>
      </c>
      <c r="F160" s="217">
        <v>0</v>
      </c>
      <c r="G160" s="217">
        <v>0</v>
      </c>
      <c r="H160" s="217">
        <v>0</v>
      </c>
      <c r="I160" s="217">
        <v>0</v>
      </c>
      <c r="J160" s="218">
        <f t="shared" si="2"/>
        <v>0</v>
      </c>
      <c r="K160" s="613"/>
    </row>
    <row r="161" spans="1:11" ht="12.75" hidden="1">
      <c r="A161" s="214"/>
      <c r="B161" s="214"/>
      <c r="C161" s="216"/>
      <c r="D161" s="216" t="s">
        <v>153</v>
      </c>
      <c r="E161" s="216" t="s">
        <v>591</v>
      </c>
      <c r="F161" s="217">
        <v>0</v>
      </c>
      <c r="G161" s="217">
        <v>0</v>
      </c>
      <c r="H161" s="217">
        <v>0</v>
      </c>
      <c r="I161" s="217">
        <v>0</v>
      </c>
      <c r="J161" s="218">
        <f t="shared" si="2"/>
        <v>0</v>
      </c>
      <c r="K161" s="613"/>
    </row>
    <row r="162" spans="1:11" ht="12.75" hidden="1">
      <c r="A162" s="214"/>
      <c r="B162" s="214"/>
      <c r="C162" s="216"/>
      <c r="D162" s="216" t="s">
        <v>155</v>
      </c>
      <c r="E162" s="216" t="s">
        <v>179</v>
      </c>
      <c r="F162" s="217">
        <v>0</v>
      </c>
      <c r="G162" s="217">
        <v>0</v>
      </c>
      <c r="H162" s="217">
        <v>0</v>
      </c>
      <c r="I162" s="217">
        <v>0</v>
      </c>
      <c r="J162" s="218">
        <f t="shared" si="2"/>
        <v>0</v>
      </c>
      <c r="K162" s="613"/>
    </row>
    <row r="163" spans="1:11" ht="12.75" hidden="1">
      <c r="A163" s="214"/>
      <c r="B163" s="214"/>
      <c r="C163" s="216"/>
      <c r="D163" s="216" t="s">
        <v>157</v>
      </c>
      <c r="E163" s="216" t="s">
        <v>180</v>
      </c>
      <c r="F163" s="217">
        <v>0</v>
      </c>
      <c r="G163" s="217">
        <v>0</v>
      </c>
      <c r="H163" s="217">
        <v>0</v>
      </c>
      <c r="I163" s="217">
        <v>0</v>
      </c>
      <c r="J163" s="218">
        <f t="shared" si="2"/>
        <v>0</v>
      </c>
      <c r="K163" s="613"/>
    </row>
    <row r="164" spans="1:11" ht="12.75" hidden="1">
      <c r="A164" s="214"/>
      <c r="B164" s="214"/>
      <c r="C164" s="216"/>
      <c r="D164" s="216" t="s">
        <v>159</v>
      </c>
      <c r="E164" s="216" t="s">
        <v>181</v>
      </c>
      <c r="F164" s="217">
        <v>0</v>
      </c>
      <c r="G164" s="217">
        <v>0</v>
      </c>
      <c r="H164" s="217">
        <v>0</v>
      </c>
      <c r="I164" s="217">
        <v>0</v>
      </c>
      <c r="J164" s="218">
        <f t="shared" si="2"/>
        <v>0</v>
      </c>
      <c r="K164" s="613"/>
    </row>
    <row r="165" spans="1:11" ht="12.75" hidden="1">
      <c r="A165" s="214"/>
      <c r="B165" s="214"/>
      <c r="C165" s="216"/>
      <c r="D165" s="216" t="s">
        <v>161</v>
      </c>
      <c r="E165" s="216" t="s">
        <v>551</v>
      </c>
      <c r="F165" s="217">
        <v>0</v>
      </c>
      <c r="G165" s="217">
        <v>0</v>
      </c>
      <c r="H165" s="217">
        <v>0</v>
      </c>
      <c r="I165" s="217">
        <v>0</v>
      </c>
      <c r="J165" s="218">
        <f t="shared" si="2"/>
        <v>0</v>
      </c>
      <c r="K165" s="613"/>
    </row>
    <row r="166" spans="1:11" ht="12.75" hidden="1">
      <c r="A166" s="214"/>
      <c r="B166" s="214"/>
      <c r="C166" s="216"/>
      <c r="D166" s="216" t="s">
        <v>163</v>
      </c>
      <c r="E166" s="216" t="s">
        <v>550</v>
      </c>
      <c r="F166" s="226">
        <v>0</v>
      </c>
      <c r="G166" s="217">
        <v>0</v>
      </c>
      <c r="H166" s="217">
        <v>0</v>
      </c>
      <c r="I166" s="217">
        <v>0</v>
      </c>
      <c r="J166" s="218">
        <f t="shared" si="2"/>
        <v>0</v>
      </c>
      <c r="K166" s="613"/>
    </row>
    <row r="167" spans="1:11" ht="12.75" hidden="1">
      <c r="A167" s="214"/>
      <c r="B167" s="214"/>
      <c r="C167" s="216"/>
      <c r="D167" s="216" t="s">
        <v>165</v>
      </c>
      <c r="E167" s="216" t="s">
        <v>184</v>
      </c>
      <c r="F167" s="217">
        <v>0</v>
      </c>
      <c r="G167" s="217">
        <v>0</v>
      </c>
      <c r="H167" s="217">
        <v>0</v>
      </c>
      <c r="I167" s="217">
        <v>0</v>
      </c>
      <c r="J167" s="218">
        <f t="shared" si="2"/>
        <v>0</v>
      </c>
      <c r="K167" s="613"/>
    </row>
    <row r="168" spans="1:11" ht="12.75" hidden="1">
      <c r="A168" s="214"/>
      <c r="B168" s="214"/>
      <c r="C168" s="216"/>
      <c r="D168" s="216" t="s">
        <v>167</v>
      </c>
      <c r="E168" s="216" t="s">
        <v>185</v>
      </c>
      <c r="F168" s="217">
        <v>0</v>
      </c>
      <c r="G168" s="217">
        <v>0</v>
      </c>
      <c r="H168" s="217">
        <v>0</v>
      </c>
      <c r="I168" s="217">
        <v>0</v>
      </c>
      <c r="J168" s="218">
        <f t="shared" si="2"/>
        <v>0</v>
      </c>
      <c r="K168" s="613"/>
    </row>
    <row r="169" spans="1:11" ht="12.75" hidden="1">
      <c r="A169" s="214"/>
      <c r="B169" s="214"/>
      <c r="C169" s="216"/>
      <c r="D169" s="216" t="s">
        <v>169</v>
      </c>
      <c r="E169" s="216" t="s">
        <v>186</v>
      </c>
      <c r="F169" s="217">
        <v>0</v>
      </c>
      <c r="G169" s="217">
        <v>0</v>
      </c>
      <c r="H169" s="217">
        <v>0</v>
      </c>
      <c r="I169" s="217">
        <v>0</v>
      </c>
      <c r="J169" s="218">
        <f t="shared" si="2"/>
        <v>0</v>
      </c>
      <c r="K169" s="613"/>
    </row>
    <row r="170" spans="1:11" ht="12.75" hidden="1">
      <c r="A170" s="214"/>
      <c r="B170" s="214"/>
      <c r="C170" s="216"/>
      <c r="D170" s="216" t="s">
        <v>593</v>
      </c>
      <c r="E170" s="216" t="s">
        <v>187</v>
      </c>
      <c r="F170" s="217">
        <v>0</v>
      </c>
      <c r="G170" s="217">
        <v>0</v>
      </c>
      <c r="H170" s="217">
        <v>0</v>
      </c>
      <c r="I170" s="217">
        <v>0</v>
      </c>
      <c r="J170" s="218">
        <f t="shared" si="2"/>
        <v>0</v>
      </c>
      <c r="K170" s="613"/>
    </row>
    <row r="171" spans="1:11" s="206" customFormat="1" ht="12.75">
      <c r="A171" s="204" t="s">
        <v>312</v>
      </c>
      <c r="B171" s="928" t="s">
        <v>313</v>
      </c>
      <c r="C171" s="928"/>
      <c r="D171" s="928"/>
      <c r="E171" s="928"/>
      <c r="F171" s="205">
        <f>SUM(F172+F195+F196+F197)</f>
        <v>312591275</v>
      </c>
      <c r="G171" s="205">
        <f>SUM(G172+G195+G196+G197)</f>
        <v>0</v>
      </c>
      <c r="H171" s="205">
        <f>SUM(H172+H195+H196+H197)</f>
        <v>34138565</v>
      </c>
      <c r="I171" s="205">
        <f>SUM(I172+I195+I196+I197)</f>
        <v>0</v>
      </c>
      <c r="J171" s="205">
        <f t="shared" si="2"/>
        <v>346729840</v>
      </c>
      <c r="K171" s="610"/>
    </row>
    <row r="172" spans="1:11" ht="12.75">
      <c r="A172" s="214"/>
      <c r="B172" s="207" t="s">
        <v>314</v>
      </c>
      <c r="C172" s="920" t="s">
        <v>315</v>
      </c>
      <c r="D172" s="920"/>
      <c r="E172" s="920"/>
      <c r="F172" s="208">
        <f>SUM(F173+F177+F182+F187+F188+F189+F190+F191+F192)</f>
        <v>312591275</v>
      </c>
      <c r="G172" s="208">
        <f>SUM(G173+G177+G182+G187+G188+G189+G190+G191+G192)</f>
        <v>0</v>
      </c>
      <c r="H172" s="208">
        <f>SUM(H173+H177+H182+H187+H188+H189+H190+H191+H192)</f>
        <v>34138565</v>
      </c>
      <c r="I172" s="208">
        <f>SUM(I173+I177+I182+I187+I188+I189+I190+I191+I192)</f>
        <v>0</v>
      </c>
      <c r="J172" s="209">
        <f t="shared" si="2"/>
        <v>346729840</v>
      </c>
      <c r="K172" s="611"/>
    </row>
    <row r="173" spans="1:11" ht="11.25" customHeight="1">
      <c r="A173" s="210"/>
      <c r="B173" s="210"/>
      <c r="C173" s="210" t="s">
        <v>316</v>
      </c>
      <c r="D173" s="210" t="s">
        <v>619</v>
      </c>
      <c r="E173" s="210"/>
      <c r="F173" s="211">
        <f>SUM(F174:F176)</f>
        <v>0</v>
      </c>
      <c r="G173" s="211">
        <f>SUM(G174:G176)</f>
        <v>0</v>
      </c>
      <c r="H173" s="211">
        <f>SUM(H174:H176)</f>
        <v>0</v>
      </c>
      <c r="I173" s="211">
        <f>SUM(I174:I176)</f>
        <v>0</v>
      </c>
      <c r="J173" s="212">
        <f t="shared" si="2"/>
        <v>0</v>
      </c>
      <c r="K173" s="612"/>
    </row>
    <row r="174" spans="1:11" ht="12.75" hidden="1">
      <c r="A174" s="227"/>
      <c r="B174" s="227"/>
      <c r="C174" s="227"/>
      <c r="D174" s="227" t="s">
        <v>317</v>
      </c>
      <c r="E174" s="227" t="s">
        <v>715</v>
      </c>
      <c r="F174" s="228">
        <v>0</v>
      </c>
      <c r="G174" s="228">
        <v>0</v>
      </c>
      <c r="H174" s="228">
        <v>0</v>
      </c>
      <c r="I174" s="228">
        <v>0</v>
      </c>
      <c r="J174" s="229">
        <f t="shared" si="2"/>
        <v>0</v>
      </c>
      <c r="K174" s="614"/>
    </row>
    <row r="175" spans="1:11" ht="12.75" hidden="1">
      <c r="A175" s="227"/>
      <c r="B175" s="227"/>
      <c r="C175" s="227"/>
      <c r="D175" s="227" t="s">
        <v>318</v>
      </c>
      <c r="E175" s="227" t="s">
        <v>716</v>
      </c>
      <c r="F175" s="228">
        <v>0</v>
      </c>
      <c r="G175" s="228">
        <v>0</v>
      </c>
      <c r="H175" s="228">
        <v>0</v>
      </c>
      <c r="I175" s="228">
        <v>0</v>
      </c>
      <c r="J175" s="229">
        <f t="shared" si="2"/>
        <v>0</v>
      </c>
      <c r="K175" s="614"/>
    </row>
    <row r="176" spans="1:11" ht="12.75" hidden="1">
      <c r="A176" s="227"/>
      <c r="B176" s="227"/>
      <c r="C176" s="227"/>
      <c r="D176" s="227" t="s">
        <v>319</v>
      </c>
      <c r="E176" s="227" t="s">
        <v>717</v>
      </c>
      <c r="F176" s="228">
        <v>0</v>
      </c>
      <c r="G176" s="228">
        <v>0</v>
      </c>
      <c r="H176" s="228">
        <v>0</v>
      </c>
      <c r="I176" s="228">
        <v>0</v>
      </c>
      <c r="J176" s="229">
        <f t="shared" si="2"/>
        <v>0</v>
      </c>
      <c r="K176" s="614"/>
    </row>
    <row r="177" spans="1:11" ht="12.75">
      <c r="A177" s="210"/>
      <c r="B177" s="210"/>
      <c r="C177" s="210" t="s">
        <v>320</v>
      </c>
      <c r="D177" s="210" t="s">
        <v>321</v>
      </c>
      <c r="E177" s="210"/>
      <c r="F177" s="211">
        <f>SUM(F178:F181)</f>
        <v>0</v>
      </c>
      <c r="G177" s="211">
        <f>SUM(G178:G181)</f>
        <v>0</v>
      </c>
      <c r="H177" s="211">
        <f>SUM(H178:H181)</f>
        <v>0</v>
      </c>
      <c r="I177" s="211">
        <f>SUM(I178:I181)</f>
        <v>0</v>
      </c>
      <c r="J177" s="212">
        <f t="shared" si="2"/>
        <v>0</v>
      </c>
      <c r="K177" s="612"/>
    </row>
    <row r="178" spans="1:11" ht="12.75" hidden="1">
      <c r="A178" s="210"/>
      <c r="B178" s="210"/>
      <c r="C178" s="210"/>
      <c r="D178" s="227" t="s">
        <v>573</v>
      </c>
      <c r="E178" s="227" t="s">
        <v>574</v>
      </c>
      <c r="F178" s="211">
        <v>0</v>
      </c>
      <c r="G178" s="211">
        <v>0</v>
      </c>
      <c r="H178" s="211">
        <v>0</v>
      </c>
      <c r="I178" s="211">
        <v>0</v>
      </c>
      <c r="J178" s="212">
        <f t="shared" si="2"/>
        <v>0</v>
      </c>
      <c r="K178" s="612"/>
    </row>
    <row r="179" spans="1:11" ht="12.75" hidden="1">
      <c r="A179" s="210"/>
      <c r="B179" s="210"/>
      <c r="C179" s="210"/>
      <c r="D179" s="227" t="s">
        <v>575</v>
      </c>
      <c r="E179" s="227" t="s">
        <v>576</v>
      </c>
      <c r="F179" s="211">
        <v>0</v>
      </c>
      <c r="G179" s="211">
        <v>0</v>
      </c>
      <c r="H179" s="211">
        <v>0</v>
      </c>
      <c r="I179" s="211">
        <v>0</v>
      </c>
      <c r="J179" s="212">
        <f t="shared" si="2"/>
        <v>0</v>
      </c>
      <c r="K179" s="612"/>
    </row>
    <row r="180" spans="1:11" ht="12.75" hidden="1">
      <c r="A180" s="210"/>
      <c r="B180" s="210"/>
      <c r="C180" s="210"/>
      <c r="D180" s="227" t="s">
        <v>577</v>
      </c>
      <c r="E180" s="227" t="s">
        <v>578</v>
      </c>
      <c r="F180" s="211">
        <v>0</v>
      </c>
      <c r="G180" s="211">
        <v>0</v>
      </c>
      <c r="H180" s="211">
        <v>0</v>
      </c>
      <c r="I180" s="211">
        <v>0</v>
      </c>
      <c r="J180" s="212">
        <f t="shared" si="2"/>
        <v>0</v>
      </c>
      <c r="K180" s="612"/>
    </row>
    <row r="181" spans="1:11" ht="12.75" hidden="1">
      <c r="A181" s="210"/>
      <c r="B181" s="210"/>
      <c r="C181" s="210"/>
      <c r="D181" s="227" t="s">
        <v>579</v>
      </c>
      <c r="E181" s="227" t="s">
        <v>580</v>
      </c>
      <c r="F181" s="211">
        <v>0</v>
      </c>
      <c r="G181" s="211">
        <v>0</v>
      </c>
      <c r="H181" s="211">
        <v>0</v>
      </c>
      <c r="I181" s="211">
        <v>0</v>
      </c>
      <c r="J181" s="212">
        <f t="shared" si="2"/>
        <v>0</v>
      </c>
      <c r="K181" s="612"/>
    </row>
    <row r="182" spans="1:11" ht="12.75">
      <c r="A182" s="210"/>
      <c r="B182" s="210"/>
      <c r="C182" s="210" t="s">
        <v>322</v>
      </c>
      <c r="D182" s="210" t="s">
        <v>323</v>
      </c>
      <c r="E182" s="210"/>
      <c r="F182" s="211">
        <f>SUM(F183,F186)</f>
        <v>312591275</v>
      </c>
      <c r="G182" s="211">
        <f>SUM(G183,G186)</f>
        <v>0</v>
      </c>
      <c r="H182" s="211">
        <f>SUM(H183,H186)</f>
        <v>34138565</v>
      </c>
      <c r="I182" s="211">
        <f>SUM(I183,I186)</f>
        <v>0</v>
      </c>
      <c r="J182" s="212">
        <f t="shared" si="2"/>
        <v>346729840</v>
      </c>
      <c r="K182" s="612"/>
    </row>
    <row r="183" spans="1:11" ht="12.75">
      <c r="A183" s="227"/>
      <c r="B183" s="227"/>
      <c r="C183" s="227"/>
      <c r="D183" s="227" t="s">
        <v>324</v>
      </c>
      <c r="E183" s="227" t="s">
        <v>325</v>
      </c>
      <c r="F183" s="228">
        <f>SUM(F184:F185)</f>
        <v>312591275</v>
      </c>
      <c r="G183" s="228">
        <f>SUM(G184:G185)</f>
        <v>0</v>
      </c>
      <c r="H183" s="228">
        <f>SUM(H184:H185)</f>
        <v>34138565</v>
      </c>
      <c r="I183" s="228">
        <f>SUM(I184:I185)</f>
        <v>0</v>
      </c>
      <c r="J183" s="229">
        <f t="shared" si="2"/>
        <v>346729840</v>
      </c>
      <c r="K183" s="614"/>
    </row>
    <row r="184" spans="1:11" s="234" customFormat="1" ht="12.75">
      <c r="A184" s="230"/>
      <c r="B184" s="230"/>
      <c r="C184" s="230"/>
      <c r="D184" s="230"/>
      <c r="E184" s="231" t="s">
        <v>36</v>
      </c>
      <c r="F184" s="232">
        <v>22840902</v>
      </c>
      <c r="G184" s="232">
        <v>0</v>
      </c>
      <c r="H184" s="232">
        <f>626145+31099867</f>
        <v>31726012</v>
      </c>
      <c r="I184" s="232"/>
      <c r="J184" s="233">
        <f t="shared" si="2"/>
        <v>54566914</v>
      </c>
      <c r="K184" s="615"/>
    </row>
    <row r="185" spans="1:11" s="234" customFormat="1" ht="12.75">
      <c r="A185" s="230"/>
      <c r="B185" s="230"/>
      <c r="C185" s="230"/>
      <c r="D185" s="230"/>
      <c r="E185" s="231" t="s">
        <v>37</v>
      </c>
      <c r="F185" s="232">
        <f>297951773-8201400</f>
        <v>289750373</v>
      </c>
      <c r="G185" s="232">
        <v>0</v>
      </c>
      <c r="H185" s="232">
        <v>2412553</v>
      </c>
      <c r="I185" s="232">
        <v>0</v>
      </c>
      <c r="J185" s="233">
        <f t="shared" si="2"/>
        <v>292162926</v>
      </c>
      <c r="K185" s="615"/>
    </row>
    <row r="186" spans="1:11" ht="12.75">
      <c r="A186" s="227"/>
      <c r="B186" s="227"/>
      <c r="C186" s="227"/>
      <c r="D186" s="227" t="s">
        <v>326</v>
      </c>
      <c r="E186" s="227" t="s">
        <v>327</v>
      </c>
      <c r="F186" s="228">
        <v>0</v>
      </c>
      <c r="G186" s="228">
        <v>0</v>
      </c>
      <c r="H186" s="228">
        <v>0</v>
      </c>
      <c r="I186" s="228">
        <v>0</v>
      </c>
      <c r="J186" s="229">
        <f t="shared" si="2"/>
        <v>0</v>
      </c>
      <c r="K186" s="614"/>
    </row>
    <row r="187" spans="1:11" ht="11.25" customHeight="1">
      <c r="A187" s="210"/>
      <c r="B187" s="210"/>
      <c r="C187" s="210" t="s">
        <v>328</v>
      </c>
      <c r="D187" s="210" t="s">
        <v>966</v>
      </c>
      <c r="E187" s="210"/>
      <c r="F187" s="211">
        <v>0</v>
      </c>
      <c r="G187" s="211">
        <v>0</v>
      </c>
      <c r="H187" s="211">
        <v>0</v>
      </c>
      <c r="I187" s="211">
        <v>0</v>
      </c>
      <c r="J187" s="212">
        <f t="shared" si="2"/>
        <v>0</v>
      </c>
      <c r="K187" s="612"/>
    </row>
    <row r="188" spans="1:11" ht="12.75" hidden="1">
      <c r="A188" s="210"/>
      <c r="B188" s="210"/>
      <c r="C188" s="210" t="s">
        <v>329</v>
      </c>
      <c r="D188" s="210" t="s">
        <v>620</v>
      </c>
      <c r="E188" s="210"/>
      <c r="F188" s="211">
        <v>0</v>
      </c>
      <c r="G188" s="211">
        <v>0</v>
      </c>
      <c r="H188" s="211">
        <v>0</v>
      </c>
      <c r="I188" s="211">
        <v>0</v>
      </c>
      <c r="J188" s="212">
        <f t="shared" si="2"/>
        <v>0</v>
      </c>
      <c r="K188" s="612"/>
    </row>
    <row r="189" spans="1:11" ht="12.75" hidden="1">
      <c r="A189" s="210"/>
      <c r="B189" s="210"/>
      <c r="C189" s="210" t="s">
        <v>330</v>
      </c>
      <c r="D189" s="210" t="s">
        <v>331</v>
      </c>
      <c r="E189" s="210"/>
      <c r="F189" s="211">
        <v>0</v>
      </c>
      <c r="G189" s="211">
        <v>0</v>
      </c>
      <c r="H189" s="211">
        <v>0</v>
      </c>
      <c r="I189" s="211">
        <v>0</v>
      </c>
      <c r="J189" s="212">
        <f t="shared" si="2"/>
        <v>0</v>
      </c>
      <c r="K189" s="612"/>
    </row>
    <row r="190" spans="1:11" ht="12.75" hidden="1">
      <c r="A190" s="210"/>
      <c r="B190" s="210"/>
      <c r="C190" s="210" t="s">
        <v>332</v>
      </c>
      <c r="D190" s="210" t="s">
        <v>581</v>
      </c>
      <c r="E190" s="210"/>
      <c r="F190" s="211">
        <v>0</v>
      </c>
      <c r="G190" s="211">
        <v>0</v>
      </c>
      <c r="H190" s="211">
        <v>0</v>
      </c>
      <c r="I190" s="211">
        <v>0</v>
      </c>
      <c r="J190" s="212">
        <f t="shared" si="2"/>
        <v>0</v>
      </c>
      <c r="K190" s="612"/>
    </row>
    <row r="191" spans="1:11" ht="12.75" hidden="1">
      <c r="A191" s="210"/>
      <c r="B191" s="210"/>
      <c r="C191" s="210" t="s">
        <v>333</v>
      </c>
      <c r="D191" s="210" t="s">
        <v>334</v>
      </c>
      <c r="E191" s="210"/>
      <c r="F191" s="211">
        <v>0</v>
      </c>
      <c r="G191" s="211">
        <v>0</v>
      </c>
      <c r="H191" s="211">
        <v>0</v>
      </c>
      <c r="I191" s="211">
        <v>0</v>
      </c>
      <c r="J191" s="212">
        <f t="shared" si="2"/>
        <v>0</v>
      </c>
      <c r="K191" s="612"/>
    </row>
    <row r="192" spans="1:11" ht="12.75" hidden="1">
      <c r="A192" s="210"/>
      <c r="B192" s="210"/>
      <c r="C192" s="210" t="s">
        <v>582</v>
      </c>
      <c r="D192" s="210" t="s">
        <v>583</v>
      </c>
      <c r="E192" s="210"/>
      <c r="F192" s="211">
        <v>0</v>
      </c>
      <c r="G192" s="211">
        <v>0</v>
      </c>
      <c r="H192" s="211">
        <v>0</v>
      </c>
      <c r="I192" s="211">
        <v>0</v>
      </c>
      <c r="J192" s="212">
        <f t="shared" si="2"/>
        <v>0</v>
      </c>
      <c r="K192" s="612"/>
    </row>
    <row r="193" spans="1:11" ht="12.75" hidden="1">
      <c r="A193" s="210"/>
      <c r="B193" s="210"/>
      <c r="C193" s="210"/>
      <c r="D193" s="227" t="s">
        <v>584</v>
      </c>
      <c r="E193" s="227" t="s">
        <v>585</v>
      </c>
      <c r="F193" s="232">
        <v>0</v>
      </c>
      <c r="G193" s="232">
        <v>0</v>
      </c>
      <c r="H193" s="232">
        <v>0</v>
      </c>
      <c r="I193" s="232">
        <v>0</v>
      </c>
      <c r="J193" s="212">
        <f t="shared" si="2"/>
        <v>0</v>
      </c>
      <c r="K193" s="612"/>
    </row>
    <row r="194" spans="1:11" ht="12.75" hidden="1">
      <c r="A194" s="210"/>
      <c r="B194" s="210"/>
      <c r="C194" s="210"/>
      <c r="D194" s="227" t="s">
        <v>586</v>
      </c>
      <c r="E194" s="227" t="s">
        <v>587</v>
      </c>
      <c r="F194" s="232">
        <v>0</v>
      </c>
      <c r="G194" s="232">
        <v>0</v>
      </c>
      <c r="H194" s="232">
        <v>0</v>
      </c>
      <c r="I194" s="232">
        <v>0</v>
      </c>
      <c r="J194" s="212">
        <f t="shared" si="2"/>
        <v>0</v>
      </c>
      <c r="K194" s="612"/>
    </row>
    <row r="195" spans="1:11" ht="12.75" hidden="1">
      <c r="A195" s="214"/>
      <c r="B195" s="207" t="s">
        <v>335</v>
      </c>
      <c r="C195" s="920" t="s">
        <v>336</v>
      </c>
      <c r="D195" s="920"/>
      <c r="E195" s="920"/>
      <c r="F195" s="208">
        <v>0</v>
      </c>
      <c r="G195" s="208">
        <v>0</v>
      </c>
      <c r="H195" s="208">
        <v>0</v>
      </c>
      <c r="I195" s="208">
        <v>0</v>
      </c>
      <c r="J195" s="209">
        <f t="shared" si="2"/>
        <v>0</v>
      </c>
      <c r="K195" s="611"/>
    </row>
    <row r="196" spans="1:11" ht="12.75" hidden="1">
      <c r="A196" s="214"/>
      <c r="B196" s="207" t="s">
        <v>337</v>
      </c>
      <c r="C196" s="920" t="s">
        <v>338</v>
      </c>
      <c r="D196" s="920"/>
      <c r="E196" s="920"/>
      <c r="F196" s="208">
        <v>0</v>
      </c>
      <c r="G196" s="208">
        <v>0</v>
      </c>
      <c r="H196" s="208">
        <v>0</v>
      </c>
      <c r="I196" s="208">
        <v>0</v>
      </c>
      <c r="J196" s="209">
        <f t="shared" si="2"/>
        <v>0</v>
      </c>
      <c r="K196" s="611"/>
    </row>
    <row r="197" spans="1:11" ht="12.75" hidden="1">
      <c r="A197" s="214"/>
      <c r="B197" s="207" t="s">
        <v>588</v>
      </c>
      <c r="C197" s="920" t="s">
        <v>589</v>
      </c>
      <c r="D197" s="920"/>
      <c r="E197" s="920"/>
      <c r="F197" s="208">
        <v>0</v>
      </c>
      <c r="G197" s="208">
        <v>0</v>
      </c>
      <c r="H197" s="208">
        <v>0</v>
      </c>
      <c r="I197" s="208">
        <v>0</v>
      </c>
      <c r="J197" s="209">
        <f t="shared" si="2"/>
        <v>0</v>
      </c>
      <c r="K197" s="611"/>
    </row>
    <row r="198" spans="1:11" ht="12.75" hidden="1">
      <c r="A198" s="214"/>
      <c r="B198" s="214"/>
      <c r="C198" s="214"/>
      <c r="D198" s="214"/>
      <c r="E198" s="214"/>
      <c r="F198" s="235"/>
      <c r="G198" s="236"/>
      <c r="H198" s="236"/>
      <c r="I198" s="236"/>
      <c r="J198" s="235">
        <f t="shared" si="2"/>
        <v>0</v>
      </c>
      <c r="K198" s="616"/>
    </row>
    <row r="199" spans="1:11" s="238" customFormat="1" ht="15.75">
      <c r="A199" s="927" t="s">
        <v>447</v>
      </c>
      <c r="B199" s="927"/>
      <c r="C199" s="927"/>
      <c r="D199" s="927"/>
      <c r="E199" s="927"/>
      <c r="F199" s="237">
        <f>SUM(F171+F145+F129+F121+F85+F56+F40+F7)</f>
        <v>1610061279</v>
      </c>
      <c r="G199" s="237">
        <f>SUM(G171+G145+G129+G121+G85+G56+G40+G7)</f>
        <v>7727474</v>
      </c>
      <c r="H199" s="237">
        <f>SUM(H171+H145+H129+H121+H85+H56+H40+H7)</f>
        <v>80456081</v>
      </c>
      <c r="I199" s="237">
        <f>SUM(I171+I145+I129+I121+I85+I56+I40+I7)</f>
        <v>4044435</v>
      </c>
      <c r="J199" s="237">
        <f t="shared" si="2"/>
        <v>1702289269</v>
      </c>
      <c r="K199" s="617"/>
    </row>
    <row r="201" spans="1:2" ht="12.75">
      <c r="A201" s="876">
        <v>7</v>
      </c>
      <c r="B201" s="876" t="s">
        <v>1041</v>
      </c>
    </row>
  </sheetData>
  <sheetProtection/>
  <mergeCells count="54">
    <mergeCell ref="C16:E16"/>
    <mergeCell ref="C17:E17"/>
    <mergeCell ref="C28:E28"/>
    <mergeCell ref="C45:E45"/>
    <mergeCell ref="A5:E5"/>
    <mergeCell ref="B7:E7"/>
    <mergeCell ref="C8:E8"/>
    <mergeCell ref="C15:E15"/>
    <mergeCell ref="B40:E40"/>
    <mergeCell ref="C29:E29"/>
    <mergeCell ref="B129:E129"/>
    <mergeCell ref="C124:E124"/>
    <mergeCell ref="C126:E126"/>
    <mergeCell ref="D110:E110"/>
    <mergeCell ref="C128:E128"/>
    <mergeCell ref="C122:E122"/>
    <mergeCell ref="B56:E56"/>
    <mergeCell ref="D106:E106"/>
    <mergeCell ref="C59:E59"/>
    <mergeCell ref="D103:E103"/>
    <mergeCell ref="C57:E57"/>
    <mergeCell ref="C74:E74"/>
    <mergeCell ref="B85:E85"/>
    <mergeCell ref="C58:E58"/>
    <mergeCell ref="C146:E146"/>
    <mergeCell ref="C195:E195"/>
    <mergeCell ref="C131:E131"/>
    <mergeCell ref="C132:E132"/>
    <mergeCell ref="C43:E43"/>
    <mergeCell ref="C41:E41"/>
    <mergeCell ref="D118:E118"/>
    <mergeCell ref="B121:E121"/>
    <mergeCell ref="C44:E44"/>
    <mergeCell ref="D111:E111"/>
    <mergeCell ref="A199:E199"/>
    <mergeCell ref="C130:E130"/>
    <mergeCell ref="C133:E133"/>
    <mergeCell ref="C143:E143"/>
    <mergeCell ref="B145:E145"/>
    <mergeCell ref="C197:E197"/>
    <mergeCell ref="B171:E171"/>
    <mergeCell ref="C148:E148"/>
    <mergeCell ref="C149:E149"/>
    <mergeCell ref="C147:E147"/>
    <mergeCell ref="C196:E196"/>
    <mergeCell ref="C172:E172"/>
    <mergeCell ref="F1:J1"/>
    <mergeCell ref="B6:E6"/>
    <mergeCell ref="A2:J2"/>
    <mergeCell ref="C127:E127"/>
    <mergeCell ref="C42:E42"/>
    <mergeCell ref="C60:E60"/>
    <mergeCell ref="C63:E63"/>
    <mergeCell ref="C159:E159"/>
  </mergeCells>
  <printOptions horizontalCentered="1"/>
  <pageMargins left="0.5118110236220472" right="0.5118110236220472" top="0.8661417322834646" bottom="0.8661417322834646" header="0.31496062992125984" footer="0.31496062992125984"/>
  <pageSetup horizontalDpi="600" verticalDpi="600" orientation="portrait" paperSize="9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D29"/>
  <sheetViews>
    <sheetView zoomScalePageLayoutView="0" workbookViewId="0" topLeftCell="A1">
      <selection activeCell="I25" sqref="I25"/>
    </sheetView>
  </sheetViews>
  <sheetFormatPr defaultColWidth="9.00390625" defaultRowHeight="12.75"/>
  <cols>
    <col min="1" max="1" width="5.25390625" style="0" customWidth="1"/>
    <col min="2" max="2" width="3.625" style="0" customWidth="1"/>
    <col min="3" max="3" width="75.25390625" style="0" customWidth="1"/>
    <col min="4" max="4" width="23.00390625" style="0" customWidth="1"/>
  </cols>
  <sheetData>
    <row r="1" spans="1:4" ht="15">
      <c r="A1" s="87"/>
      <c r="B1" s="884"/>
      <c r="C1" s="964" t="s">
        <v>1052</v>
      </c>
      <c r="D1" s="1229"/>
    </row>
    <row r="2" spans="1:4" ht="15">
      <c r="A2" s="87"/>
      <c r="B2" s="884"/>
      <c r="C2" s="2"/>
      <c r="D2" s="82"/>
    </row>
    <row r="3" spans="1:4" ht="14.25">
      <c r="A3" s="87"/>
      <c r="B3" s="1234" t="s">
        <v>1053</v>
      </c>
      <c r="C3" s="1234"/>
      <c r="D3" s="1234"/>
    </row>
    <row r="4" spans="1:4" ht="14.25">
      <c r="A4" s="87"/>
      <c r="B4" s="1234" t="s">
        <v>451</v>
      </c>
      <c r="C4" s="1234"/>
      <c r="D4" s="1234"/>
    </row>
    <row r="5" spans="1:4" ht="14.25">
      <c r="A5" s="87"/>
      <c r="B5" s="885"/>
      <c r="C5" s="885"/>
      <c r="D5" s="885"/>
    </row>
    <row r="6" spans="1:4" ht="15">
      <c r="A6" s="87"/>
      <c r="B6" s="884"/>
      <c r="C6" s="884"/>
      <c r="D6" s="886"/>
    </row>
    <row r="7" spans="1:4" ht="14.25">
      <c r="A7" s="1235" t="s">
        <v>440</v>
      </c>
      <c r="B7" s="1237" t="s">
        <v>369</v>
      </c>
      <c r="C7" s="1237"/>
      <c r="D7" s="887" t="s">
        <v>381</v>
      </c>
    </row>
    <row r="8" spans="1:4" ht="12.75">
      <c r="A8" s="1236"/>
      <c r="B8" s="1238" t="s">
        <v>434</v>
      </c>
      <c r="C8" s="1239"/>
      <c r="D8" s="888" t="s">
        <v>435</v>
      </c>
    </row>
    <row r="9" spans="1:4" ht="14.25">
      <c r="A9" s="888">
        <v>1</v>
      </c>
      <c r="B9" s="889" t="s">
        <v>1054</v>
      </c>
      <c r="C9" s="890"/>
      <c r="D9" s="891"/>
    </row>
    <row r="10" spans="1:4" ht="15">
      <c r="A10" s="888">
        <v>2</v>
      </c>
      <c r="B10" s="892"/>
      <c r="C10" s="86" t="s">
        <v>433</v>
      </c>
      <c r="D10" s="893">
        <v>1000000</v>
      </c>
    </row>
    <row r="11" spans="1:4" ht="14.25">
      <c r="A11" s="888">
        <v>3</v>
      </c>
      <c r="B11" s="889" t="s">
        <v>372</v>
      </c>
      <c r="C11" s="889"/>
      <c r="D11" s="894">
        <f>SUM(D10:D10)</f>
        <v>1000000</v>
      </c>
    </row>
    <row r="12" spans="1:4" ht="14.25">
      <c r="A12" s="895"/>
      <c r="B12" s="896"/>
      <c r="C12" s="896"/>
      <c r="D12" s="891"/>
    </row>
    <row r="13" spans="1:4" ht="14.25">
      <c r="A13" s="888">
        <v>4</v>
      </c>
      <c r="B13" s="1233" t="s">
        <v>1055</v>
      </c>
      <c r="C13" s="1233"/>
      <c r="D13" s="1233"/>
    </row>
    <row r="14" spans="1:4" ht="15">
      <c r="A14" s="888">
        <v>5</v>
      </c>
      <c r="B14" s="892"/>
      <c r="C14" s="86" t="s">
        <v>1056</v>
      </c>
      <c r="D14" s="893">
        <v>495000</v>
      </c>
    </row>
    <row r="15" spans="1:4" ht="15">
      <c r="A15" s="888">
        <v>6</v>
      </c>
      <c r="B15" s="892"/>
      <c r="C15" s="86" t="s">
        <v>1057</v>
      </c>
      <c r="D15" s="893">
        <f>23433000-20000000</f>
        <v>3433000</v>
      </c>
    </row>
    <row r="16" spans="1:4" ht="14.25">
      <c r="A16" s="888">
        <v>7</v>
      </c>
      <c r="B16" s="889" t="s">
        <v>372</v>
      </c>
      <c r="C16" s="889"/>
      <c r="D16" s="894">
        <f>SUM(D14:D15)</f>
        <v>3928000</v>
      </c>
    </row>
    <row r="17" spans="1:4" ht="14.25">
      <c r="A17" s="895"/>
      <c r="B17" s="896"/>
      <c r="C17" s="896"/>
      <c r="D17" s="891"/>
    </row>
    <row r="18" spans="1:4" ht="14.25">
      <c r="A18" s="888">
        <v>8</v>
      </c>
      <c r="B18" s="889" t="s">
        <v>1058</v>
      </c>
      <c r="C18" s="890"/>
      <c r="D18" s="891"/>
    </row>
    <row r="19" spans="1:4" ht="15">
      <c r="A19" s="888">
        <v>9</v>
      </c>
      <c r="B19" s="892"/>
      <c r="C19" s="86" t="s">
        <v>1059</v>
      </c>
      <c r="D19" s="893">
        <v>1000000</v>
      </c>
    </row>
    <row r="20" spans="1:4" ht="14.25">
      <c r="A20" s="888">
        <v>10</v>
      </c>
      <c r="B20" s="889" t="s">
        <v>372</v>
      </c>
      <c r="C20" s="889"/>
      <c r="D20" s="894">
        <f>SUM(D19:D19)</f>
        <v>1000000</v>
      </c>
    </row>
    <row r="21" spans="1:4" ht="14.25">
      <c r="A21" s="895"/>
      <c r="B21" s="896"/>
      <c r="C21" s="896"/>
      <c r="D21" s="891"/>
    </row>
    <row r="22" spans="1:4" ht="14.25">
      <c r="A22" s="888">
        <v>11</v>
      </c>
      <c r="B22" s="889" t="s">
        <v>1060</v>
      </c>
      <c r="C22" s="889"/>
      <c r="D22" s="894">
        <f>SUM(D11,D16,D20)</f>
        <v>5928000</v>
      </c>
    </row>
    <row r="23" spans="1:4" ht="14.25">
      <c r="A23" s="895"/>
      <c r="B23" s="896"/>
      <c r="C23" s="896"/>
      <c r="D23" s="891"/>
    </row>
    <row r="24" spans="1:4" ht="14.25">
      <c r="A24" s="888">
        <v>12</v>
      </c>
      <c r="B24" s="1233" t="s">
        <v>1061</v>
      </c>
      <c r="C24" s="1233"/>
      <c r="D24" s="1233"/>
    </row>
    <row r="25" spans="1:4" ht="30">
      <c r="A25" s="888">
        <v>13</v>
      </c>
      <c r="B25" s="897"/>
      <c r="C25" s="86" t="s">
        <v>1062</v>
      </c>
      <c r="D25" s="893">
        <v>5000000</v>
      </c>
    </row>
    <row r="26" spans="1:4" ht="15">
      <c r="A26" s="888"/>
      <c r="B26" s="892"/>
      <c r="C26" s="86"/>
      <c r="D26" s="898"/>
    </row>
    <row r="27" spans="1:4" ht="14.25">
      <c r="A27" s="888">
        <v>14</v>
      </c>
      <c r="B27" s="889" t="s">
        <v>1063</v>
      </c>
      <c r="C27" s="889"/>
      <c r="D27" s="894">
        <f>SUM(D25:D26)</f>
        <v>5000000</v>
      </c>
    </row>
    <row r="28" spans="1:4" ht="14.25">
      <c r="A28" s="895"/>
      <c r="B28" s="896"/>
      <c r="C28" s="896"/>
      <c r="D28" s="891"/>
    </row>
    <row r="29" spans="1:4" ht="14.25">
      <c r="A29" s="888">
        <v>15</v>
      </c>
      <c r="B29" s="889" t="s">
        <v>1064</v>
      </c>
      <c r="C29" s="889"/>
      <c r="D29" s="894">
        <f>SUM(D27,D22)</f>
        <v>10928000</v>
      </c>
    </row>
  </sheetData>
  <sheetProtection/>
  <mergeCells count="8">
    <mergeCell ref="B13:D13"/>
    <mergeCell ref="B24:D24"/>
    <mergeCell ref="C1:D1"/>
    <mergeCell ref="B3:D3"/>
    <mergeCell ref="B4:D4"/>
    <mergeCell ref="A7:A8"/>
    <mergeCell ref="B7:C7"/>
    <mergeCell ref="B8:C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I12"/>
  <sheetViews>
    <sheetView zoomScalePageLayoutView="0" workbookViewId="0" topLeftCell="A1">
      <selection activeCell="G16" sqref="G16"/>
    </sheetView>
  </sheetViews>
  <sheetFormatPr defaultColWidth="9.00390625" defaultRowHeight="12.75"/>
  <cols>
    <col min="1" max="1" width="5.375" style="0" customWidth="1"/>
    <col min="2" max="2" width="18.25390625" style="0" customWidth="1"/>
    <col min="3" max="3" width="18.75390625" style="0" customWidth="1"/>
    <col min="4" max="4" width="18.375" style="0" customWidth="1"/>
    <col min="5" max="5" width="16.00390625" style="0" customWidth="1"/>
    <col min="6" max="6" width="16.75390625" style="0" customWidth="1"/>
    <col min="7" max="7" width="17.25390625" style="0" customWidth="1"/>
    <col min="8" max="8" width="18.00390625" style="0" customWidth="1"/>
    <col min="9" max="9" width="16.375" style="0" customWidth="1"/>
  </cols>
  <sheetData>
    <row r="1" spans="1:9" ht="15.75">
      <c r="A1" s="899"/>
      <c r="B1" s="900"/>
      <c r="C1" s="900"/>
      <c r="D1" s="900"/>
      <c r="E1" s="900"/>
      <c r="F1" s="900"/>
      <c r="G1" s="900"/>
      <c r="H1" s="900"/>
      <c r="I1" s="901" t="s">
        <v>1065</v>
      </c>
    </row>
    <row r="2" spans="1:9" ht="15.75">
      <c r="A2" s="899"/>
      <c r="B2" s="900"/>
      <c r="C2" s="900"/>
      <c r="D2" s="900"/>
      <c r="E2" s="900"/>
      <c r="F2" s="900"/>
      <c r="G2" s="900"/>
      <c r="H2" s="900"/>
      <c r="I2" s="900"/>
    </row>
    <row r="3" spans="1:9" ht="12.75" customHeight="1">
      <c r="A3" s="1240" t="s">
        <v>1066</v>
      </c>
      <c r="B3" s="1241"/>
      <c r="C3" s="1241"/>
      <c r="D3" s="1241"/>
      <c r="E3" s="1241"/>
      <c r="F3" s="1241"/>
      <c r="G3" s="1241"/>
      <c r="H3" s="1241"/>
      <c r="I3" s="1241"/>
    </row>
    <row r="4" spans="1:9" ht="16.5" thickBot="1">
      <c r="A4" s="899"/>
      <c r="B4" s="902"/>
      <c r="C4" s="902"/>
      <c r="D4" s="902"/>
      <c r="E4" s="902"/>
      <c r="F4" s="902"/>
      <c r="G4" s="902"/>
      <c r="H4" s="902"/>
      <c r="I4" s="902"/>
    </row>
    <row r="5" spans="1:9" ht="15.75" customHeight="1">
      <c r="A5" s="1242" t="s">
        <v>440</v>
      </c>
      <c r="B5" s="1244" t="s">
        <v>1067</v>
      </c>
      <c r="C5" s="1244" t="s">
        <v>1068</v>
      </c>
      <c r="D5" s="1244"/>
      <c r="E5" s="1244"/>
      <c r="F5" s="1244"/>
      <c r="G5" s="1244"/>
      <c r="H5" s="1244"/>
      <c r="I5" s="1246" t="s">
        <v>429</v>
      </c>
    </row>
    <row r="6" spans="1:9" ht="105.75" customHeight="1">
      <c r="A6" s="1243"/>
      <c r="B6" s="1245"/>
      <c r="C6" s="904" t="s">
        <v>1069</v>
      </c>
      <c r="D6" s="904" t="s">
        <v>1070</v>
      </c>
      <c r="E6" s="904" t="s">
        <v>1071</v>
      </c>
      <c r="F6" s="904" t="s">
        <v>1072</v>
      </c>
      <c r="G6" s="904" t="s">
        <v>1073</v>
      </c>
      <c r="H6" s="904" t="s">
        <v>1074</v>
      </c>
      <c r="I6" s="1247"/>
    </row>
    <row r="7" spans="1:9" ht="12.75">
      <c r="A7" s="1243"/>
      <c r="B7" s="905" t="s">
        <v>434</v>
      </c>
      <c r="C7" s="906" t="s">
        <v>435</v>
      </c>
      <c r="D7" s="906" t="s">
        <v>436</v>
      </c>
      <c r="E7" s="906" t="s">
        <v>437</v>
      </c>
      <c r="F7" s="906" t="s">
        <v>438</v>
      </c>
      <c r="G7" s="906" t="s">
        <v>439</v>
      </c>
      <c r="H7" s="906" t="s">
        <v>441</v>
      </c>
      <c r="I7" s="907" t="s">
        <v>442</v>
      </c>
    </row>
    <row r="8" spans="1:9" ht="15.75">
      <c r="A8" s="903">
        <v>1</v>
      </c>
      <c r="B8" s="908" t="s">
        <v>451</v>
      </c>
      <c r="C8" s="909">
        <v>202400000</v>
      </c>
      <c r="D8" s="910">
        <v>58706347</v>
      </c>
      <c r="E8" s="910">
        <v>3000</v>
      </c>
      <c r="F8" s="910"/>
      <c r="G8" s="909">
        <v>1145000</v>
      </c>
      <c r="H8" s="910"/>
      <c r="I8" s="911">
        <f>SUM(C8:H8)</f>
        <v>262254347</v>
      </c>
    </row>
    <row r="9" spans="1:9" ht="15.75">
      <c r="A9" s="903">
        <v>2</v>
      </c>
      <c r="B9" s="908" t="s">
        <v>452</v>
      </c>
      <c r="C9" s="912">
        <v>202000000</v>
      </c>
      <c r="D9" s="913">
        <v>10000000</v>
      </c>
      <c r="E9" s="910">
        <v>3000</v>
      </c>
      <c r="F9" s="913"/>
      <c r="G9" s="912">
        <v>800000</v>
      </c>
      <c r="H9" s="910"/>
      <c r="I9" s="911">
        <f>SUM(C9:H9)</f>
        <v>212803000</v>
      </c>
    </row>
    <row r="10" spans="1:9" ht="15.75">
      <c r="A10" s="903">
        <v>3</v>
      </c>
      <c r="B10" s="908" t="s">
        <v>453</v>
      </c>
      <c r="C10" s="912">
        <v>204000000</v>
      </c>
      <c r="D10" s="913">
        <v>8000000</v>
      </c>
      <c r="E10" s="910">
        <v>3000</v>
      </c>
      <c r="F10" s="913"/>
      <c r="G10" s="912">
        <v>700000</v>
      </c>
      <c r="H10" s="910"/>
      <c r="I10" s="911">
        <f>SUM(C10:H10)</f>
        <v>212703000</v>
      </c>
    </row>
    <row r="11" spans="1:9" ht="15.75">
      <c r="A11" s="903">
        <v>4</v>
      </c>
      <c r="B11" s="908" t="s">
        <v>454</v>
      </c>
      <c r="C11" s="912">
        <v>208000000</v>
      </c>
      <c r="D11" s="913">
        <v>6000000</v>
      </c>
      <c r="E11" s="910">
        <v>3000</v>
      </c>
      <c r="F11" s="913">
        <v>100000</v>
      </c>
      <c r="G11" s="912">
        <v>350000</v>
      </c>
      <c r="H11" s="910"/>
      <c r="I11" s="911">
        <f>SUM(C11:H11)</f>
        <v>214453000</v>
      </c>
    </row>
    <row r="12" spans="1:9" ht="16.5" thickBot="1">
      <c r="A12" s="914">
        <v>5</v>
      </c>
      <c r="B12" s="915" t="s">
        <v>455</v>
      </c>
      <c r="C12" s="916">
        <v>210000000</v>
      </c>
      <c r="D12" s="917">
        <v>6000000</v>
      </c>
      <c r="E12" s="917">
        <v>3000</v>
      </c>
      <c r="F12" s="917">
        <v>100000</v>
      </c>
      <c r="G12" s="916">
        <v>340000</v>
      </c>
      <c r="H12" s="918"/>
      <c r="I12" s="919">
        <f>SUM(C12:H12)</f>
        <v>216443000</v>
      </c>
    </row>
  </sheetData>
  <sheetProtection/>
  <mergeCells count="5">
    <mergeCell ref="A3:I3"/>
    <mergeCell ref="A5:A7"/>
    <mergeCell ref="B5:B6"/>
    <mergeCell ref="C5:H5"/>
    <mergeCell ref="I5:I6"/>
  </mergeCells>
  <printOptions/>
  <pageMargins left="0.7" right="0.7" top="0.75" bottom="0.75" header="0.3" footer="0.3"/>
  <pageSetup horizontalDpi="600" verticalDpi="600" orientation="landscape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IV57"/>
  <sheetViews>
    <sheetView zoomScalePageLayoutView="0" workbookViewId="0" topLeftCell="A1">
      <selection activeCell="I1" sqref="I1"/>
    </sheetView>
  </sheetViews>
  <sheetFormatPr defaultColWidth="9.00390625" defaultRowHeight="12.75"/>
  <cols>
    <col min="1" max="1" width="5.125" style="36" bestFit="1" customWidth="1"/>
    <col min="2" max="2" width="8.875" style="32" customWidth="1"/>
    <col min="3" max="3" width="69.25390625" style="32" customWidth="1"/>
    <col min="4" max="4" width="9.75390625" style="32" bestFit="1" customWidth="1"/>
    <col min="5" max="5" width="10.375" style="32" bestFit="1" customWidth="1"/>
    <col min="6" max="6" width="16.125" style="32" bestFit="1" customWidth="1"/>
    <col min="7" max="7" width="9.75390625" style="32" bestFit="1" customWidth="1"/>
    <col min="8" max="8" width="11.25390625" style="32" customWidth="1"/>
    <col min="9" max="9" width="9.625" style="32" customWidth="1"/>
    <col min="10" max="10" width="11.25390625" style="32" customWidth="1"/>
    <col min="11" max="12" width="16.125" style="32" bestFit="1" customWidth="1"/>
    <col min="13" max="13" width="9.125" style="32" customWidth="1"/>
    <col min="14" max="14" width="12.375" style="32" bestFit="1" customWidth="1"/>
    <col min="15" max="16384" width="9.125" style="32" customWidth="1"/>
  </cols>
  <sheetData>
    <row r="1" spans="9:13" ht="15" customHeight="1">
      <c r="I1" s="560" t="s">
        <v>1045</v>
      </c>
      <c r="J1" s="166"/>
      <c r="K1" s="166"/>
      <c r="L1" s="559"/>
      <c r="M1" s="166"/>
    </row>
    <row r="2" spans="1:256" ht="15.75">
      <c r="A2" s="1257" t="s">
        <v>783</v>
      </c>
      <c r="B2" s="1257"/>
      <c r="C2" s="1257"/>
      <c r="D2" s="1257"/>
      <c r="E2" s="1257"/>
      <c r="F2" s="1257"/>
      <c r="G2" s="1257"/>
      <c r="H2" s="1257"/>
      <c r="I2" s="1257"/>
      <c r="J2" s="1257"/>
      <c r="K2" s="1257"/>
      <c r="L2" s="21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DX2" s="22"/>
      <c r="DY2" s="22"/>
      <c r="DZ2" s="22"/>
      <c r="EA2" s="22"/>
      <c r="EB2" s="22"/>
      <c r="EC2" s="22"/>
      <c r="ED2" s="22"/>
      <c r="EE2" s="22"/>
      <c r="EF2" s="22"/>
      <c r="EG2" s="22"/>
      <c r="EH2" s="22"/>
      <c r="EI2" s="22"/>
      <c r="EJ2" s="22"/>
      <c r="EK2" s="22"/>
      <c r="EL2" s="22"/>
      <c r="EM2" s="22"/>
      <c r="EN2" s="22"/>
      <c r="EO2" s="22"/>
      <c r="EP2" s="22"/>
      <c r="EQ2" s="22"/>
      <c r="ER2" s="22"/>
      <c r="ES2" s="22"/>
      <c r="ET2" s="22"/>
      <c r="EU2" s="22"/>
      <c r="EV2" s="22"/>
      <c r="EW2" s="22"/>
      <c r="EX2" s="22"/>
      <c r="EY2" s="22"/>
      <c r="EZ2" s="22"/>
      <c r="FA2" s="22"/>
      <c r="FB2" s="22"/>
      <c r="FC2" s="22"/>
      <c r="FD2" s="22"/>
      <c r="FE2" s="22"/>
      <c r="FF2" s="22"/>
      <c r="FG2" s="22"/>
      <c r="FH2" s="22"/>
      <c r="FI2" s="22"/>
      <c r="FJ2" s="22"/>
      <c r="FK2" s="22"/>
      <c r="FL2" s="22"/>
      <c r="FM2" s="22"/>
      <c r="FN2" s="22"/>
      <c r="FO2" s="22"/>
      <c r="FP2" s="22"/>
      <c r="FQ2" s="22"/>
      <c r="FR2" s="22"/>
      <c r="FS2" s="22"/>
      <c r="FT2" s="22"/>
      <c r="FU2" s="22"/>
      <c r="FV2" s="22"/>
      <c r="FW2" s="22"/>
      <c r="FX2" s="22"/>
      <c r="FY2" s="22"/>
      <c r="FZ2" s="22"/>
      <c r="GA2" s="22"/>
      <c r="GB2" s="22"/>
      <c r="GC2" s="22"/>
      <c r="GD2" s="22"/>
      <c r="GE2" s="22"/>
      <c r="GF2" s="22"/>
      <c r="GG2" s="22"/>
      <c r="GH2" s="22"/>
      <c r="GI2" s="22"/>
      <c r="GJ2" s="22"/>
      <c r="GK2" s="22"/>
      <c r="GL2" s="22"/>
      <c r="GM2" s="22"/>
      <c r="GN2" s="22"/>
      <c r="GO2" s="22"/>
      <c r="GP2" s="22"/>
      <c r="GQ2" s="22"/>
      <c r="GR2" s="22"/>
      <c r="GS2" s="22"/>
      <c r="GT2" s="22"/>
      <c r="GU2" s="22"/>
      <c r="GV2" s="22"/>
      <c r="GW2" s="22"/>
      <c r="GX2" s="22"/>
      <c r="GY2" s="22"/>
      <c r="GZ2" s="22"/>
      <c r="HA2" s="22"/>
      <c r="HB2" s="22"/>
      <c r="HC2" s="22"/>
      <c r="HD2" s="22"/>
      <c r="HE2" s="22"/>
      <c r="HF2" s="22"/>
      <c r="HG2" s="22"/>
      <c r="HH2" s="22"/>
      <c r="HI2" s="22"/>
      <c r="HJ2" s="22"/>
      <c r="HK2" s="22"/>
      <c r="HL2" s="22"/>
      <c r="HM2" s="22"/>
      <c r="HN2" s="22"/>
      <c r="HO2" s="22"/>
      <c r="HP2" s="22"/>
      <c r="HQ2" s="22"/>
      <c r="HR2" s="22"/>
      <c r="HS2" s="22"/>
      <c r="HT2" s="22"/>
      <c r="HU2" s="22"/>
      <c r="HV2" s="22"/>
      <c r="HW2" s="22"/>
      <c r="HX2" s="22"/>
      <c r="HY2" s="22"/>
      <c r="HZ2" s="22"/>
      <c r="IA2" s="22"/>
      <c r="IB2" s="22"/>
      <c r="IC2" s="22"/>
      <c r="ID2" s="22"/>
      <c r="IE2" s="22"/>
      <c r="IF2" s="22"/>
      <c r="IG2" s="22"/>
      <c r="IH2" s="22"/>
      <c r="II2" s="22"/>
      <c r="IJ2" s="22"/>
      <c r="IK2" s="22"/>
      <c r="IL2" s="22"/>
      <c r="IM2" s="22"/>
      <c r="IN2" s="22"/>
      <c r="IO2" s="22"/>
      <c r="IP2" s="22"/>
      <c r="IQ2" s="22"/>
      <c r="IR2" s="22"/>
      <c r="IS2" s="22"/>
      <c r="IT2" s="22"/>
      <c r="IU2" s="22"/>
      <c r="IV2" s="22"/>
    </row>
    <row r="3" spans="1:256" ht="15.75">
      <c r="A3" s="1258" t="s">
        <v>1023</v>
      </c>
      <c r="B3" s="1258"/>
      <c r="C3" s="1258"/>
      <c r="D3" s="1258"/>
      <c r="E3" s="1258"/>
      <c r="F3" s="1258"/>
      <c r="G3" s="1258"/>
      <c r="H3" s="1258"/>
      <c r="I3" s="1258"/>
      <c r="J3" s="1258"/>
      <c r="K3" s="1258"/>
      <c r="L3" s="23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2"/>
      <c r="IA3" s="22"/>
      <c r="IB3" s="22"/>
      <c r="IC3" s="22"/>
      <c r="ID3" s="22"/>
      <c r="IE3" s="22"/>
      <c r="IF3" s="22"/>
      <c r="IG3" s="22"/>
      <c r="IH3" s="22"/>
      <c r="II3" s="22"/>
      <c r="IJ3" s="22"/>
      <c r="IK3" s="22"/>
      <c r="IL3" s="22"/>
      <c r="IM3" s="22"/>
      <c r="IN3" s="22"/>
      <c r="IO3" s="22"/>
      <c r="IP3" s="22"/>
      <c r="IQ3" s="22"/>
      <c r="IR3" s="22"/>
      <c r="IS3" s="22"/>
      <c r="IT3" s="22"/>
      <c r="IU3" s="22"/>
      <c r="IV3" s="22"/>
    </row>
    <row r="4" ht="13.5" thickBot="1"/>
    <row r="5" spans="1:256" ht="12.75">
      <c r="A5" s="1259" t="s">
        <v>456</v>
      </c>
      <c r="B5" s="1259"/>
      <c r="C5" s="1260"/>
      <c r="D5" s="1261" t="s">
        <v>449</v>
      </c>
      <c r="E5" s="1259"/>
      <c r="F5" s="1262"/>
      <c r="G5" s="1263" t="s">
        <v>599</v>
      </c>
      <c r="H5" s="1264"/>
      <c r="I5" s="1264"/>
      <c r="J5" s="1265"/>
      <c r="K5" s="1266"/>
      <c r="L5" s="1252" t="s">
        <v>374</v>
      </c>
      <c r="M5" s="29"/>
      <c r="N5" s="29" t="s">
        <v>492</v>
      </c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  <c r="DT5" s="29"/>
      <c r="DU5" s="29"/>
      <c r="DV5" s="29"/>
      <c r="DW5" s="29"/>
      <c r="DX5" s="29"/>
      <c r="DY5" s="29"/>
      <c r="DZ5" s="29"/>
      <c r="EA5" s="29"/>
      <c r="EB5" s="29"/>
      <c r="EC5" s="29"/>
      <c r="ED5" s="29"/>
      <c r="EE5" s="29"/>
      <c r="EF5" s="29"/>
      <c r="EG5" s="29"/>
      <c r="EH5" s="29"/>
      <c r="EI5" s="29"/>
      <c r="EJ5" s="29"/>
      <c r="EK5" s="29"/>
      <c r="EL5" s="29"/>
      <c r="EM5" s="29"/>
      <c r="EN5" s="29"/>
      <c r="EO5" s="29"/>
      <c r="EP5" s="29"/>
      <c r="EQ5" s="29"/>
      <c r="ER5" s="29"/>
      <c r="ES5" s="29"/>
      <c r="ET5" s="29"/>
      <c r="EU5" s="29"/>
      <c r="EV5" s="29"/>
      <c r="EW5" s="29"/>
      <c r="EX5" s="29"/>
      <c r="EY5" s="29"/>
      <c r="EZ5" s="29"/>
      <c r="FA5" s="29"/>
      <c r="FB5" s="29"/>
      <c r="FC5" s="29"/>
      <c r="FD5" s="29"/>
      <c r="FE5" s="29"/>
      <c r="FF5" s="29"/>
      <c r="FG5" s="29"/>
      <c r="FH5" s="29"/>
      <c r="FI5" s="29"/>
      <c r="FJ5" s="29"/>
      <c r="FK5" s="29"/>
      <c r="FL5" s="29"/>
      <c r="FM5" s="29"/>
      <c r="FN5" s="29"/>
      <c r="FO5" s="29"/>
      <c r="FP5" s="29"/>
      <c r="FQ5" s="29"/>
      <c r="FR5" s="29"/>
      <c r="FS5" s="29"/>
      <c r="FT5" s="29"/>
      <c r="FU5" s="29"/>
      <c r="FV5" s="29"/>
      <c r="FW5" s="29"/>
      <c r="FX5" s="29"/>
      <c r="FY5" s="29"/>
      <c r="FZ5" s="29"/>
      <c r="GA5" s="29"/>
      <c r="GB5" s="29"/>
      <c r="GC5" s="29"/>
      <c r="GD5" s="29"/>
      <c r="GE5" s="29"/>
      <c r="GF5" s="29"/>
      <c r="GG5" s="29"/>
      <c r="GH5" s="29"/>
      <c r="GI5" s="29"/>
      <c r="GJ5" s="29"/>
      <c r="GK5" s="29"/>
      <c r="GL5" s="29"/>
      <c r="GM5" s="29"/>
      <c r="GN5" s="29"/>
      <c r="GO5" s="29"/>
      <c r="GP5" s="29"/>
      <c r="GQ5" s="29"/>
      <c r="GR5" s="29"/>
      <c r="GS5" s="29"/>
      <c r="GT5" s="29"/>
      <c r="GU5" s="29"/>
      <c r="GV5" s="29"/>
      <c r="GW5" s="29"/>
      <c r="GX5" s="29"/>
      <c r="GY5" s="29"/>
      <c r="GZ5" s="29"/>
      <c r="HA5" s="29"/>
      <c r="HB5" s="29"/>
      <c r="HC5" s="29"/>
      <c r="HD5" s="29"/>
      <c r="HE5" s="29"/>
      <c r="HF5" s="29"/>
      <c r="HG5" s="29"/>
      <c r="HH5" s="29"/>
      <c r="HI5" s="29"/>
      <c r="HJ5" s="29"/>
      <c r="HK5" s="29"/>
      <c r="HL5" s="29"/>
      <c r="HM5" s="29"/>
      <c r="HN5" s="29"/>
      <c r="HO5" s="29"/>
      <c r="HP5" s="29"/>
      <c r="HQ5" s="29"/>
      <c r="HR5" s="29"/>
      <c r="HS5" s="29"/>
      <c r="HT5" s="29"/>
      <c r="HU5" s="29"/>
      <c r="HV5" s="29"/>
      <c r="HW5" s="29"/>
      <c r="HX5" s="29"/>
      <c r="HY5" s="29"/>
      <c r="HZ5" s="29"/>
      <c r="IA5" s="29"/>
      <c r="IB5" s="29"/>
      <c r="IC5" s="29"/>
      <c r="ID5" s="29"/>
      <c r="IE5" s="29"/>
      <c r="IF5" s="29"/>
      <c r="IG5" s="29"/>
      <c r="IH5" s="29"/>
      <c r="II5" s="29"/>
      <c r="IJ5" s="29"/>
      <c r="IK5" s="29"/>
      <c r="IL5" s="29"/>
      <c r="IM5" s="29"/>
      <c r="IN5" s="29"/>
      <c r="IO5" s="29"/>
      <c r="IP5" s="29"/>
      <c r="IQ5" s="29"/>
      <c r="IR5" s="29"/>
      <c r="IS5" s="29"/>
      <c r="IT5" s="29"/>
      <c r="IU5" s="29"/>
      <c r="IV5" s="29"/>
    </row>
    <row r="6" spans="1:256" ht="25.5">
      <c r="A6" s="1254" t="s">
        <v>457</v>
      </c>
      <c r="B6" s="1255"/>
      <c r="C6" s="24" t="s">
        <v>458</v>
      </c>
      <c r="D6" s="25" t="s">
        <v>459</v>
      </c>
      <c r="E6" s="27" t="s">
        <v>460</v>
      </c>
      <c r="F6" s="28" t="s">
        <v>491</v>
      </c>
      <c r="G6" s="25" t="s">
        <v>461</v>
      </c>
      <c r="H6" s="26" t="s">
        <v>472</v>
      </c>
      <c r="I6" s="26" t="s">
        <v>462</v>
      </c>
      <c r="J6" s="26" t="s">
        <v>472</v>
      </c>
      <c r="K6" s="28" t="s">
        <v>651</v>
      </c>
      <c r="L6" s="1253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  <c r="DN6" s="29"/>
      <c r="DO6" s="29"/>
      <c r="DP6" s="29"/>
      <c r="DQ6" s="29"/>
      <c r="DR6" s="29"/>
      <c r="DS6" s="29"/>
      <c r="DT6" s="29"/>
      <c r="DU6" s="29"/>
      <c r="DV6" s="29"/>
      <c r="DW6" s="29"/>
      <c r="DX6" s="29"/>
      <c r="DY6" s="29"/>
      <c r="DZ6" s="29"/>
      <c r="EA6" s="29"/>
      <c r="EB6" s="29"/>
      <c r="EC6" s="29"/>
      <c r="ED6" s="29"/>
      <c r="EE6" s="29"/>
      <c r="EF6" s="29"/>
      <c r="EG6" s="29"/>
      <c r="EH6" s="29"/>
      <c r="EI6" s="29"/>
      <c r="EJ6" s="29"/>
      <c r="EK6" s="29"/>
      <c r="EL6" s="29"/>
      <c r="EM6" s="29"/>
      <c r="EN6" s="29"/>
      <c r="EO6" s="29"/>
      <c r="EP6" s="29"/>
      <c r="EQ6" s="29"/>
      <c r="ER6" s="29"/>
      <c r="ES6" s="29"/>
      <c r="ET6" s="29"/>
      <c r="EU6" s="29"/>
      <c r="EV6" s="29"/>
      <c r="EW6" s="29"/>
      <c r="EX6" s="29"/>
      <c r="EY6" s="29"/>
      <c r="EZ6" s="29"/>
      <c r="FA6" s="29"/>
      <c r="FB6" s="29"/>
      <c r="FC6" s="29"/>
      <c r="FD6" s="29"/>
      <c r="FE6" s="29"/>
      <c r="FF6" s="29"/>
      <c r="FG6" s="29"/>
      <c r="FH6" s="29"/>
      <c r="FI6" s="29"/>
      <c r="FJ6" s="29"/>
      <c r="FK6" s="29"/>
      <c r="FL6" s="29"/>
      <c r="FM6" s="29"/>
      <c r="FN6" s="29"/>
      <c r="FO6" s="29"/>
      <c r="FP6" s="29"/>
      <c r="FQ6" s="29"/>
      <c r="FR6" s="29"/>
      <c r="FS6" s="29"/>
      <c r="FT6" s="29"/>
      <c r="FU6" s="29"/>
      <c r="FV6" s="29"/>
      <c r="FW6" s="29"/>
      <c r="FX6" s="29"/>
      <c r="FY6" s="29"/>
      <c r="FZ6" s="29"/>
      <c r="GA6" s="29"/>
      <c r="GB6" s="29"/>
      <c r="GC6" s="29"/>
      <c r="GD6" s="29"/>
      <c r="GE6" s="29"/>
      <c r="GF6" s="29"/>
      <c r="GG6" s="29"/>
      <c r="GH6" s="29"/>
      <c r="GI6" s="29"/>
      <c r="GJ6" s="29"/>
      <c r="GK6" s="29"/>
      <c r="GL6" s="29"/>
      <c r="GM6" s="29"/>
      <c r="GN6" s="29"/>
      <c r="GO6" s="29"/>
      <c r="GP6" s="29"/>
      <c r="GQ6" s="29"/>
      <c r="GR6" s="29"/>
      <c r="GS6" s="29"/>
      <c r="GT6" s="29"/>
      <c r="GU6" s="29"/>
      <c r="GV6" s="29"/>
      <c r="GW6" s="29"/>
      <c r="GX6" s="29"/>
      <c r="GY6" s="29"/>
      <c r="GZ6" s="29"/>
      <c r="HA6" s="29"/>
      <c r="HB6" s="29"/>
      <c r="HC6" s="29"/>
      <c r="HD6" s="29"/>
      <c r="HE6" s="29"/>
      <c r="HF6" s="29"/>
      <c r="HG6" s="29"/>
      <c r="HH6" s="29"/>
      <c r="HI6" s="29"/>
      <c r="HJ6" s="29"/>
      <c r="HK6" s="29"/>
      <c r="HL6" s="29"/>
      <c r="HM6" s="29"/>
      <c r="HN6" s="29"/>
      <c r="HO6" s="29"/>
      <c r="HP6" s="29"/>
      <c r="HQ6" s="29"/>
      <c r="HR6" s="29"/>
      <c r="HS6" s="29"/>
      <c r="HT6" s="29"/>
      <c r="HU6" s="29"/>
      <c r="HV6" s="29"/>
      <c r="HW6" s="29"/>
      <c r="HX6" s="29"/>
      <c r="HY6" s="29"/>
      <c r="HZ6" s="29"/>
      <c r="IA6" s="29"/>
      <c r="IB6" s="29"/>
      <c r="IC6" s="29"/>
      <c r="ID6" s="29"/>
      <c r="IE6" s="29"/>
      <c r="IF6" s="29"/>
      <c r="IG6" s="29"/>
      <c r="IH6" s="29"/>
      <c r="II6" s="29"/>
      <c r="IJ6" s="29"/>
      <c r="IK6" s="29"/>
      <c r="IL6" s="29"/>
      <c r="IM6" s="29"/>
      <c r="IN6" s="29"/>
      <c r="IO6" s="29"/>
      <c r="IP6" s="29"/>
      <c r="IQ6" s="29"/>
      <c r="IR6" s="29"/>
      <c r="IS6" s="29"/>
      <c r="IT6" s="29"/>
      <c r="IU6" s="29"/>
      <c r="IV6" s="29"/>
    </row>
    <row r="7" spans="1:256" ht="12.75">
      <c r="A7" s="1256" t="s">
        <v>434</v>
      </c>
      <c r="B7" s="1256"/>
      <c r="C7" s="103" t="s">
        <v>435</v>
      </c>
      <c r="D7" s="104" t="s">
        <v>436</v>
      </c>
      <c r="E7" s="105" t="s">
        <v>437</v>
      </c>
      <c r="F7" s="106" t="s">
        <v>438</v>
      </c>
      <c r="G7" s="104" t="s">
        <v>439</v>
      </c>
      <c r="H7" s="107" t="s">
        <v>441</v>
      </c>
      <c r="I7" s="107" t="s">
        <v>442</v>
      </c>
      <c r="J7" s="107" t="s">
        <v>393</v>
      </c>
      <c r="K7" s="106" t="s">
        <v>394</v>
      </c>
      <c r="L7" s="147" t="s">
        <v>395</v>
      </c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8"/>
      <c r="AT7" s="108"/>
      <c r="AU7" s="108"/>
      <c r="AV7" s="108"/>
      <c r="AW7" s="108"/>
      <c r="AX7" s="108"/>
      <c r="AY7" s="108"/>
      <c r="AZ7" s="108"/>
      <c r="BA7" s="108"/>
      <c r="BB7" s="108"/>
      <c r="BC7" s="108"/>
      <c r="BD7" s="108"/>
      <c r="BE7" s="108"/>
      <c r="BF7" s="108"/>
      <c r="BG7" s="108"/>
      <c r="BH7" s="108"/>
      <c r="BI7" s="108"/>
      <c r="BJ7" s="108"/>
      <c r="BK7" s="108"/>
      <c r="BL7" s="108"/>
      <c r="BM7" s="108"/>
      <c r="BN7" s="108"/>
      <c r="BO7" s="108"/>
      <c r="BP7" s="108"/>
      <c r="BQ7" s="108"/>
      <c r="BR7" s="108"/>
      <c r="BS7" s="108"/>
      <c r="BT7" s="108"/>
      <c r="BU7" s="108"/>
      <c r="BV7" s="108"/>
      <c r="BW7" s="108"/>
      <c r="BX7" s="108"/>
      <c r="BY7" s="108"/>
      <c r="BZ7" s="108"/>
      <c r="CA7" s="108"/>
      <c r="CB7" s="108"/>
      <c r="CC7" s="108"/>
      <c r="CD7" s="108"/>
      <c r="CE7" s="108"/>
      <c r="CF7" s="108"/>
      <c r="CG7" s="108"/>
      <c r="CH7" s="108"/>
      <c r="CI7" s="108"/>
      <c r="CJ7" s="108"/>
      <c r="CK7" s="108"/>
      <c r="CL7" s="108"/>
      <c r="CM7" s="108"/>
      <c r="CN7" s="108"/>
      <c r="CO7" s="108"/>
      <c r="CP7" s="108"/>
      <c r="CQ7" s="108"/>
      <c r="CR7" s="108"/>
      <c r="CS7" s="108"/>
      <c r="CT7" s="108"/>
      <c r="CU7" s="108"/>
      <c r="CV7" s="108"/>
      <c r="CW7" s="108"/>
      <c r="CX7" s="108"/>
      <c r="CY7" s="108"/>
      <c r="CZ7" s="108"/>
      <c r="DA7" s="108"/>
      <c r="DB7" s="108"/>
      <c r="DC7" s="108"/>
      <c r="DD7" s="108"/>
      <c r="DE7" s="108"/>
      <c r="DF7" s="108"/>
      <c r="DG7" s="108"/>
      <c r="DH7" s="108"/>
      <c r="DI7" s="108"/>
      <c r="DJ7" s="108"/>
      <c r="DK7" s="108"/>
      <c r="DL7" s="108"/>
      <c r="DM7" s="108"/>
      <c r="DN7" s="108"/>
      <c r="DO7" s="108"/>
      <c r="DP7" s="108"/>
      <c r="DQ7" s="108"/>
      <c r="DR7" s="108"/>
      <c r="DS7" s="108"/>
      <c r="DT7" s="108"/>
      <c r="DU7" s="108"/>
      <c r="DV7" s="108"/>
      <c r="DW7" s="108"/>
      <c r="DX7" s="108"/>
      <c r="DY7" s="108"/>
      <c r="DZ7" s="108"/>
      <c r="EA7" s="108"/>
      <c r="EB7" s="108"/>
      <c r="EC7" s="108"/>
      <c r="ED7" s="108"/>
      <c r="EE7" s="108"/>
      <c r="EF7" s="108"/>
      <c r="EG7" s="108"/>
      <c r="EH7" s="108"/>
      <c r="EI7" s="108"/>
      <c r="EJ7" s="108"/>
      <c r="EK7" s="108"/>
      <c r="EL7" s="108"/>
      <c r="EM7" s="108"/>
      <c r="EN7" s="108"/>
      <c r="EO7" s="108"/>
      <c r="EP7" s="108"/>
      <c r="EQ7" s="108"/>
      <c r="ER7" s="108"/>
      <c r="ES7" s="108"/>
      <c r="ET7" s="108"/>
      <c r="EU7" s="108"/>
      <c r="EV7" s="108"/>
      <c r="EW7" s="108"/>
      <c r="EX7" s="108"/>
      <c r="EY7" s="108"/>
      <c r="EZ7" s="108"/>
      <c r="FA7" s="108"/>
      <c r="FB7" s="108"/>
      <c r="FC7" s="108"/>
      <c r="FD7" s="108"/>
      <c r="FE7" s="108"/>
      <c r="FF7" s="108"/>
      <c r="FG7" s="108"/>
      <c r="FH7" s="108"/>
      <c r="FI7" s="108"/>
      <c r="FJ7" s="108"/>
      <c r="FK7" s="108"/>
      <c r="FL7" s="108"/>
      <c r="FM7" s="108"/>
      <c r="FN7" s="108"/>
      <c r="FO7" s="108"/>
      <c r="FP7" s="108"/>
      <c r="FQ7" s="108"/>
      <c r="FR7" s="108"/>
      <c r="FS7" s="108"/>
      <c r="FT7" s="108"/>
      <c r="FU7" s="108"/>
      <c r="FV7" s="108"/>
      <c r="FW7" s="108"/>
      <c r="FX7" s="108"/>
      <c r="FY7" s="108"/>
      <c r="FZ7" s="108"/>
      <c r="GA7" s="108"/>
      <c r="GB7" s="108"/>
      <c r="GC7" s="108"/>
      <c r="GD7" s="108"/>
      <c r="GE7" s="108"/>
      <c r="GF7" s="108"/>
      <c r="GG7" s="108"/>
      <c r="GH7" s="108"/>
      <c r="GI7" s="108"/>
      <c r="GJ7" s="108"/>
      <c r="GK7" s="108"/>
      <c r="GL7" s="108"/>
      <c r="GM7" s="108"/>
      <c r="GN7" s="108"/>
      <c r="GO7" s="108"/>
      <c r="GP7" s="108"/>
      <c r="GQ7" s="108"/>
      <c r="GR7" s="108"/>
      <c r="GS7" s="108"/>
      <c r="GT7" s="108"/>
      <c r="GU7" s="108"/>
      <c r="GV7" s="108"/>
      <c r="GW7" s="108"/>
      <c r="GX7" s="108"/>
      <c r="GY7" s="108"/>
      <c r="GZ7" s="108"/>
      <c r="HA7" s="108"/>
      <c r="HB7" s="108"/>
      <c r="HC7" s="108"/>
      <c r="HD7" s="108"/>
      <c r="HE7" s="108"/>
      <c r="HF7" s="108"/>
      <c r="HG7" s="108"/>
      <c r="HH7" s="108"/>
      <c r="HI7" s="108"/>
      <c r="HJ7" s="108"/>
      <c r="HK7" s="108"/>
      <c r="HL7" s="108"/>
      <c r="HM7" s="108"/>
      <c r="HN7" s="108"/>
      <c r="HO7" s="108"/>
      <c r="HP7" s="108"/>
      <c r="HQ7" s="108"/>
      <c r="HR7" s="108"/>
      <c r="HS7" s="108"/>
      <c r="HT7" s="108"/>
      <c r="HU7" s="108"/>
      <c r="HV7" s="108"/>
      <c r="HW7" s="108"/>
      <c r="HX7" s="108"/>
      <c r="HY7" s="108"/>
      <c r="HZ7" s="108"/>
      <c r="IA7" s="108"/>
      <c r="IB7" s="108"/>
      <c r="IC7" s="108"/>
      <c r="ID7" s="108"/>
      <c r="IE7" s="108"/>
      <c r="IF7" s="108"/>
      <c r="IG7" s="108"/>
      <c r="IH7" s="108"/>
      <c r="II7" s="108"/>
      <c r="IJ7" s="108"/>
      <c r="IK7" s="108"/>
      <c r="IL7" s="108"/>
      <c r="IM7" s="108"/>
      <c r="IN7" s="108"/>
      <c r="IO7" s="108"/>
      <c r="IP7" s="108"/>
      <c r="IQ7" s="108"/>
      <c r="IR7" s="108"/>
      <c r="IS7" s="108"/>
      <c r="IT7" s="108"/>
      <c r="IU7" s="108"/>
      <c r="IV7" s="108"/>
    </row>
    <row r="8" spans="1:256" ht="12.75">
      <c r="A8" s="126" t="s">
        <v>479</v>
      </c>
      <c r="B8" s="127"/>
      <c r="C8" s="128" t="s">
        <v>489</v>
      </c>
      <c r="D8" s="129"/>
      <c r="E8" s="130"/>
      <c r="F8" s="131">
        <f>F9+F10+F15+F16+F17+F18</f>
        <v>200194231</v>
      </c>
      <c r="G8" s="129"/>
      <c r="H8" s="132"/>
      <c r="I8" s="132"/>
      <c r="J8" s="130"/>
      <c r="K8" s="131"/>
      <c r="L8" s="148">
        <f aca="true" t="shared" si="0" ref="L8:L14">F8+K8</f>
        <v>200194231</v>
      </c>
      <c r="M8" s="123"/>
      <c r="N8" s="150">
        <f>SUM(N9:N18)</f>
        <v>200194231</v>
      </c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N8" s="124"/>
      <c r="AO8" s="124"/>
      <c r="AP8" s="124"/>
      <c r="AQ8" s="124"/>
      <c r="AR8" s="124"/>
      <c r="AS8" s="124"/>
      <c r="AT8" s="124"/>
      <c r="AU8" s="124"/>
      <c r="AV8" s="124"/>
      <c r="AW8" s="124"/>
      <c r="AX8" s="124"/>
      <c r="AY8" s="124"/>
      <c r="AZ8" s="124"/>
      <c r="BA8" s="124"/>
      <c r="BB8" s="124"/>
      <c r="BC8" s="124"/>
      <c r="BD8" s="124"/>
      <c r="BE8" s="124"/>
      <c r="BF8" s="124"/>
      <c r="BG8" s="124"/>
      <c r="BH8" s="124"/>
      <c r="BI8" s="124"/>
      <c r="BJ8" s="124"/>
      <c r="BK8" s="124"/>
      <c r="BL8" s="124"/>
      <c r="BM8" s="124"/>
      <c r="BN8" s="124"/>
      <c r="BO8" s="124"/>
      <c r="BP8" s="124"/>
      <c r="BQ8" s="124"/>
      <c r="BR8" s="124"/>
      <c r="BS8" s="124"/>
      <c r="BT8" s="124"/>
      <c r="BU8" s="124"/>
      <c r="BV8" s="124"/>
      <c r="BW8" s="124"/>
      <c r="BX8" s="124"/>
      <c r="BY8" s="124"/>
      <c r="BZ8" s="124"/>
      <c r="CA8" s="124"/>
      <c r="CB8" s="124"/>
      <c r="CC8" s="124"/>
      <c r="CD8" s="124"/>
      <c r="CE8" s="124"/>
      <c r="CF8" s="124"/>
      <c r="CG8" s="124"/>
      <c r="CH8" s="124"/>
      <c r="CI8" s="124"/>
      <c r="CJ8" s="124"/>
      <c r="CK8" s="124"/>
      <c r="CL8" s="124"/>
      <c r="CM8" s="124"/>
      <c r="CN8" s="124"/>
      <c r="CO8" s="124"/>
      <c r="CP8" s="124"/>
      <c r="CQ8" s="124"/>
      <c r="CR8" s="124"/>
      <c r="CS8" s="124"/>
      <c r="CT8" s="124"/>
      <c r="CU8" s="124"/>
      <c r="CV8" s="124"/>
      <c r="CW8" s="124"/>
      <c r="CX8" s="124"/>
      <c r="CY8" s="124"/>
      <c r="CZ8" s="124"/>
      <c r="DA8" s="124"/>
      <c r="DB8" s="124"/>
      <c r="DC8" s="124"/>
      <c r="DD8" s="124"/>
      <c r="DE8" s="124"/>
      <c r="DF8" s="124"/>
      <c r="DG8" s="124"/>
      <c r="DH8" s="124"/>
      <c r="DI8" s="124"/>
      <c r="DJ8" s="124"/>
      <c r="DK8" s="124"/>
      <c r="DL8" s="124"/>
      <c r="DM8" s="124"/>
      <c r="DN8" s="124"/>
      <c r="DO8" s="124"/>
      <c r="DP8" s="124"/>
      <c r="DQ8" s="124"/>
      <c r="DR8" s="124"/>
      <c r="DS8" s="124"/>
      <c r="DT8" s="124"/>
      <c r="DU8" s="124"/>
      <c r="DV8" s="124"/>
      <c r="DW8" s="124"/>
      <c r="DX8" s="124"/>
      <c r="DY8" s="124"/>
      <c r="DZ8" s="124"/>
      <c r="EA8" s="124"/>
      <c r="EB8" s="124"/>
      <c r="EC8" s="124"/>
      <c r="ED8" s="124"/>
      <c r="EE8" s="124"/>
      <c r="EF8" s="124"/>
      <c r="EG8" s="124"/>
      <c r="EH8" s="124"/>
      <c r="EI8" s="124"/>
      <c r="EJ8" s="124"/>
      <c r="EK8" s="124"/>
      <c r="EL8" s="124"/>
      <c r="EM8" s="124"/>
      <c r="EN8" s="124"/>
      <c r="EO8" s="124"/>
      <c r="EP8" s="124"/>
      <c r="EQ8" s="124"/>
      <c r="ER8" s="124"/>
      <c r="ES8" s="124"/>
      <c r="ET8" s="124"/>
      <c r="EU8" s="124"/>
      <c r="EV8" s="124"/>
      <c r="EW8" s="124"/>
      <c r="EX8" s="124"/>
      <c r="EY8" s="124"/>
      <c r="EZ8" s="124"/>
      <c r="FA8" s="124"/>
      <c r="FB8" s="124"/>
      <c r="FC8" s="124"/>
      <c r="FD8" s="124"/>
      <c r="FE8" s="124"/>
      <c r="FF8" s="124"/>
      <c r="FG8" s="124"/>
      <c r="FH8" s="124"/>
      <c r="FI8" s="124"/>
      <c r="FJ8" s="124"/>
      <c r="FK8" s="124"/>
      <c r="FL8" s="124"/>
      <c r="FM8" s="124"/>
      <c r="FN8" s="124"/>
      <c r="FO8" s="124"/>
      <c r="FP8" s="124"/>
      <c r="FQ8" s="124"/>
      <c r="FR8" s="124"/>
      <c r="FS8" s="124"/>
      <c r="FT8" s="124"/>
      <c r="FU8" s="124"/>
      <c r="FV8" s="124"/>
      <c r="FW8" s="124"/>
      <c r="FX8" s="124"/>
      <c r="FY8" s="124"/>
      <c r="FZ8" s="124"/>
      <c r="GA8" s="124"/>
      <c r="GB8" s="124"/>
      <c r="GC8" s="124"/>
      <c r="GD8" s="124"/>
      <c r="GE8" s="124"/>
      <c r="GF8" s="124"/>
      <c r="GG8" s="124"/>
      <c r="GH8" s="124"/>
      <c r="GI8" s="124"/>
      <c r="GJ8" s="124"/>
      <c r="GK8" s="124"/>
      <c r="GL8" s="124"/>
      <c r="GM8" s="124"/>
      <c r="GN8" s="124"/>
      <c r="GO8" s="124"/>
      <c r="GP8" s="124"/>
      <c r="GQ8" s="124"/>
      <c r="GR8" s="124"/>
      <c r="GS8" s="124"/>
      <c r="GT8" s="124"/>
      <c r="GU8" s="124"/>
      <c r="GV8" s="124"/>
      <c r="GW8" s="124"/>
      <c r="GX8" s="124"/>
      <c r="GY8" s="124"/>
      <c r="GZ8" s="124"/>
      <c r="HA8" s="124"/>
      <c r="HB8" s="124"/>
      <c r="HC8" s="124"/>
      <c r="HD8" s="124"/>
      <c r="HE8" s="124"/>
      <c r="HF8" s="124"/>
      <c r="HG8" s="124"/>
      <c r="HH8" s="124"/>
      <c r="HI8" s="124"/>
      <c r="HJ8" s="124"/>
      <c r="HK8" s="124"/>
      <c r="HL8" s="124"/>
      <c r="HM8" s="124"/>
      <c r="HN8" s="124"/>
      <c r="HO8" s="124"/>
      <c r="HP8" s="124"/>
      <c r="HQ8" s="124"/>
      <c r="HR8" s="124"/>
      <c r="HS8" s="124"/>
      <c r="HT8" s="124"/>
      <c r="HU8" s="124"/>
      <c r="HV8" s="124"/>
      <c r="HW8" s="124"/>
      <c r="HX8" s="124"/>
      <c r="HY8" s="124"/>
      <c r="HZ8" s="124"/>
      <c r="IA8" s="124"/>
      <c r="IB8" s="124"/>
      <c r="IC8" s="124"/>
      <c r="ID8" s="124"/>
      <c r="IE8" s="124"/>
      <c r="IF8" s="124"/>
      <c r="IG8" s="124"/>
      <c r="IH8" s="124"/>
      <c r="II8" s="124"/>
      <c r="IJ8" s="124"/>
      <c r="IK8" s="124"/>
      <c r="IL8" s="124"/>
      <c r="IM8" s="124"/>
      <c r="IN8" s="124"/>
      <c r="IO8" s="124"/>
      <c r="IP8" s="124"/>
      <c r="IQ8" s="124"/>
      <c r="IR8" s="124"/>
      <c r="IS8" s="124"/>
      <c r="IT8" s="124"/>
      <c r="IU8" s="124"/>
      <c r="IV8" s="124"/>
    </row>
    <row r="9" spans="1:256" ht="12.75">
      <c r="A9" s="117"/>
      <c r="B9" s="118" t="s">
        <v>534</v>
      </c>
      <c r="C9" s="119" t="s">
        <v>473</v>
      </c>
      <c r="D9" s="562">
        <v>26.34</v>
      </c>
      <c r="E9" s="563">
        <v>4580000</v>
      </c>
      <c r="F9" s="564">
        <f>D9*E9</f>
        <v>120637200</v>
      </c>
      <c r="G9" s="565"/>
      <c r="H9" s="566"/>
      <c r="I9" s="566"/>
      <c r="J9" s="563"/>
      <c r="K9" s="564"/>
      <c r="L9" s="567">
        <f t="shared" si="0"/>
        <v>120637200</v>
      </c>
      <c r="M9" s="120"/>
      <c r="N9" s="165">
        <f>SUM(L9)</f>
        <v>120637200</v>
      </c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1"/>
      <c r="AL9" s="121"/>
      <c r="AM9" s="121"/>
      <c r="AN9" s="121"/>
      <c r="AO9" s="121"/>
      <c r="AP9" s="121"/>
      <c r="AQ9" s="121"/>
      <c r="AR9" s="121"/>
      <c r="AS9" s="121"/>
      <c r="AT9" s="121"/>
      <c r="AU9" s="121"/>
      <c r="AV9" s="121"/>
      <c r="AW9" s="121"/>
      <c r="AX9" s="121"/>
      <c r="AY9" s="121"/>
      <c r="AZ9" s="121"/>
      <c r="BA9" s="121"/>
      <c r="BB9" s="121"/>
      <c r="BC9" s="121"/>
      <c r="BD9" s="121"/>
      <c r="BE9" s="121"/>
      <c r="BF9" s="121"/>
      <c r="BG9" s="121"/>
      <c r="BH9" s="121"/>
      <c r="BI9" s="121"/>
      <c r="BJ9" s="121"/>
      <c r="BK9" s="121"/>
      <c r="BL9" s="121"/>
      <c r="BM9" s="121"/>
      <c r="BN9" s="121"/>
      <c r="BO9" s="121"/>
      <c r="BP9" s="121"/>
      <c r="BQ9" s="121"/>
      <c r="BR9" s="121"/>
      <c r="BS9" s="121"/>
      <c r="BT9" s="121"/>
      <c r="BU9" s="121"/>
      <c r="BV9" s="121"/>
      <c r="BW9" s="121"/>
      <c r="BX9" s="121"/>
      <c r="BY9" s="121"/>
      <c r="BZ9" s="121"/>
      <c r="CA9" s="121"/>
      <c r="CB9" s="121"/>
      <c r="CC9" s="121"/>
      <c r="CD9" s="121"/>
      <c r="CE9" s="121"/>
      <c r="CF9" s="121"/>
      <c r="CG9" s="121"/>
      <c r="CH9" s="121"/>
      <c r="CI9" s="121"/>
      <c r="CJ9" s="121"/>
      <c r="CK9" s="121"/>
      <c r="CL9" s="121"/>
      <c r="CM9" s="121"/>
      <c r="CN9" s="121"/>
      <c r="CO9" s="121"/>
      <c r="CP9" s="121"/>
      <c r="CQ9" s="121"/>
      <c r="CR9" s="121"/>
      <c r="CS9" s="121"/>
      <c r="CT9" s="121"/>
      <c r="CU9" s="121"/>
      <c r="CV9" s="121"/>
      <c r="CW9" s="121"/>
      <c r="CX9" s="121"/>
      <c r="CY9" s="121"/>
      <c r="CZ9" s="121"/>
      <c r="DA9" s="121"/>
      <c r="DB9" s="121"/>
      <c r="DC9" s="121"/>
      <c r="DD9" s="121"/>
      <c r="DE9" s="121"/>
      <c r="DF9" s="121"/>
      <c r="DG9" s="121"/>
      <c r="DH9" s="121"/>
      <c r="DI9" s="121"/>
      <c r="DJ9" s="121"/>
      <c r="DK9" s="121"/>
      <c r="DL9" s="121"/>
      <c r="DM9" s="121"/>
      <c r="DN9" s="121"/>
      <c r="DO9" s="121"/>
      <c r="DP9" s="121"/>
      <c r="DQ9" s="121"/>
      <c r="DR9" s="121"/>
      <c r="DS9" s="121"/>
      <c r="DT9" s="121"/>
      <c r="DU9" s="121"/>
      <c r="DV9" s="121"/>
      <c r="DW9" s="121"/>
      <c r="DX9" s="121"/>
      <c r="DY9" s="121"/>
      <c r="DZ9" s="121"/>
      <c r="EA9" s="121"/>
      <c r="EB9" s="121"/>
      <c r="EC9" s="121"/>
      <c r="ED9" s="121"/>
      <c r="EE9" s="121"/>
      <c r="EF9" s="121"/>
      <c r="EG9" s="121"/>
      <c r="EH9" s="121"/>
      <c r="EI9" s="121"/>
      <c r="EJ9" s="121"/>
      <c r="EK9" s="121"/>
      <c r="EL9" s="121"/>
      <c r="EM9" s="121"/>
      <c r="EN9" s="121"/>
      <c r="EO9" s="121"/>
      <c r="EP9" s="121"/>
      <c r="EQ9" s="121"/>
      <c r="ER9" s="121"/>
      <c r="ES9" s="121"/>
      <c r="ET9" s="121"/>
      <c r="EU9" s="121"/>
      <c r="EV9" s="121"/>
      <c r="EW9" s="121"/>
      <c r="EX9" s="121"/>
      <c r="EY9" s="121"/>
      <c r="EZ9" s="121"/>
      <c r="FA9" s="121"/>
      <c r="FB9" s="121"/>
      <c r="FC9" s="121"/>
      <c r="FD9" s="121"/>
      <c r="FE9" s="121"/>
      <c r="FF9" s="121"/>
      <c r="FG9" s="121"/>
      <c r="FH9" s="121"/>
      <c r="FI9" s="121"/>
      <c r="FJ9" s="121"/>
      <c r="FK9" s="121"/>
      <c r="FL9" s="121"/>
      <c r="FM9" s="121"/>
      <c r="FN9" s="121"/>
      <c r="FO9" s="121"/>
      <c r="FP9" s="121"/>
      <c r="FQ9" s="121"/>
      <c r="FR9" s="121"/>
      <c r="FS9" s="121"/>
      <c r="FT9" s="121"/>
      <c r="FU9" s="121"/>
      <c r="FV9" s="121"/>
      <c r="FW9" s="121"/>
      <c r="FX9" s="121"/>
      <c r="FY9" s="121"/>
      <c r="FZ9" s="121"/>
      <c r="GA9" s="121"/>
      <c r="GB9" s="121"/>
      <c r="GC9" s="121"/>
      <c r="GD9" s="121"/>
      <c r="GE9" s="121"/>
      <c r="GF9" s="121"/>
      <c r="GG9" s="121"/>
      <c r="GH9" s="121"/>
      <c r="GI9" s="121"/>
      <c r="GJ9" s="121"/>
      <c r="GK9" s="121"/>
      <c r="GL9" s="121"/>
      <c r="GM9" s="121"/>
      <c r="GN9" s="121"/>
      <c r="GO9" s="121"/>
      <c r="GP9" s="121"/>
      <c r="GQ9" s="121"/>
      <c r="GR9" s="121"/>
      <c r="GS9" s="121"/>
      <c r="GT9" s="121"/>
      <c r="GU9" s="121"/>
      <c r="GV9" s="121"/>
      <c r="GW9" s="121"/>
      <c r="GX9" s="121"/>
      <c r="GY9" s="121"/>
      <c r="GZ9" s="121"/>
      <c r="HA9" s="121"/>
      <c r="HB9" s="121"/>
      <c r="HC9" s="121"/>
      <c r="HD9" s="121"/>
      <c r="HE9" s="121"/>
      <c r="HF9" s="121"/>
      <c r="HG9" s="121"/>
      <c r="HH9" s="121"/>
      <c r="HI9" s="121"/>
      <c r="HJ9" s="121"/>
      <c r="HK9" s="121"/>
      <c r="HL9" s="121"/>
      <c r="HM9" s="121"/>
      <c r="HN9" s="121"/>
      <c r="HO9" s="121"/>
      <c r="HP9" s="121"/>
      <c r="HQ9" s="121"/>
      <c r="HR9" s="121"/>
      <c r="HS9" s="121"/>
      <c r="HT9" s="121"/>
      <c r="HU9" s="121"/>
      <c r="HV9" s="121"/>
      <c r="HW9" s="121"/>
      <c r="HX9" s="121"/>
      <c r="HY9" s="121"/>
      <c r="HZ9" s="121"/>
      <c r="IA9" s="121"/>
      <c r="IB9" s="121"/>
      <c r="IC9" s="121"/>
      <c r="ID9" s="121"/>
      <c r="IE9" s="121"/>
      <c r="IF9" s="121"/>
      <c r="IG9" s="121"/>
      <c r="IH9" s="121"/>
      <c r="II9" s="121"/>
      <c r="IJ9" s="121"/>
      <c r="IK9" s="121"/>
      <c r="IL9" s="121"/>
      <c r="IM9" s="121"/>
      <c r="IN9" s="121"/>
      <c r="IO9" s="121"/>
      <c r="IP9" s="121"/>
      <c r="IQ9" s="121"/>
      <c r="IR9" s="121"/>
      <c r="IS9" s="121"/>
      <c r="IT9" s="121"/>
      <c r="IU9" s="121"/>
      <c r="IV9" s="121"/>
    </row>
    <row r="10" spans="1:256" ht="12.75">
      <c r="A10" s="117"/>
      <c r="B10" s="118" t="s">
        <v>535</v>
      </c>
      <c r="C10" s="119" t="s">
        <v>112</v>
      </c>
      <c r="D10" s="565"/>
      <c r="E10" s="563"/>
      <c r="F10" s="564">
        <f>SUM(F11:F14)</f>
        <v>63436320</v>
      </c>
      <c r="G10" s="565"/>
      <c r="H10" s="566"/>
      <c r="I10" s="566"/>
      <c r="J10" s="563"/>
      <c r="K10" s="564"/>
      <c r="L10" s="567">
        <f t="shared" si="0"/>
        <v>63436320</v>
      </c>
      <c r="M10" s="120"/>
      <c r="N10" s="165">
        <f>SUM(L11:L14)</f>
        <v>63436320</v>
      </c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  <c r="BM10" s="121"/>
      <c r="BN10" s="121"/>
      <c r="BO10" s="121"/>
      <c r="BP10" s="121"/>
      <c r="BQ10" s="121"/>
      <c r="BR10" s="121"/>
      <c r="BS10" s="121"/>
      <c r="BT10" s="121"/>
      <c r="BU10" s="121"/>
      <c r="BV10" s="121"/>
      <c r="BW10" s="121"/>
      <c r="BX10" s="121"/>
      <c r="BY10" s="121"/>
      <c r="BZ10" s="121"/>
      <c r="CA10" s="121"/>
      <c r="CB10" s="121"/>
      <c r="CC10" s="121"/>
      <c r="CD10" s="121"/>
      <c r="CE10" s="121"/>
      <c r="CF10" s="121"/>
      <c r="CG10" s="121"/>
      <c r="CH10" s="121"/>
      <c r="CI10" s="121"/>
      <c r="CJ10" s="121"/>
      <c r="CK10" s="121"/>
      <c r="CL10" s="121"/>
      <c r="CM10" s="121"/>
      <c r="CN10" s="121"/>
      <c r="CO10" s="121"/>
      <c r="CP10" s="121"/>
      <c r="CQ10" s="121"/>
      <c r="CR10" s="121"/>
      <c r="CS10" s="121"/>
      <c r="CT10" s="121"/>
      <c r="CU10" s="121"/>
      <c r="CV10" s="121"/>
      <c r="CW10" s="121"/>
      <c r="CX10" s="121"/>
      <c r="CY10" s="121"/>
      <c r="CZ10" s="121"/>
      <c r="DA10" s="121"/>
      <c r="DB10" s="121"/>
      <c r="DC10" s="121"/>
      <c r="DD10" s="121"/>
      <c r="DE10" s="121"/>
      <c r="DF10" s="121"/>
      <c r="DG10" s="121"/>
      <c r="DH10" s="121"/>
      <c r="DI10" s="121"/>
      <c r="DJ10" s="121"/>
      <c r="DK10" s="121"/>
      <c r="DL10" s="121"/>
      <c r="DM10" s="121"/>
      <c r="DN10" s="121"/>
      <c r="DO10" s="121"/>
      <c r="DP10" s="121"/>
      <c r="DQ10" s="121"/>
      <c r="DR10" s="121"/>
      <c r="DS10" s="121"/>
      <c r="DT10" s="121"/>
      <c r="DU10" s="121"/>
      <c r="DV10" s="121"/>
      <c r="DW10" s="121"/>
      <c r="DX10" s="121"/>
      <c r="DY10" s="121"/>
      <c r="DZ10" s="121"/>
      <c r="EA10" s="121"/>
      <c r="EB10" s="121"/>
      <c r="EC10" s="121"/>
      <c r="ED10" s="121"/>
      <c r="EE10" s="121"/>
      <c r="EF10" s="121"/>
      <c r="EG10" s="121"/>
      <c r="EH10" s="121"/>
      <c r="EI10" s="121"/>
      <c r="EJ10" s="121"/>
      <c r="EK10" s="121"/>
      <c r="EL10" s="121"/>
      <c r="EM10" s="121"/>
      <c r="EN10" s="121"/>
      <c r="EO10" s="121"/>
      <c r="EP10" s="121"/>
      <c r="EQ10" s="121"/>
      <c r="ER10" s="121"/>
      <c r="ES10" s="121"/>
      <c r="ET10" s="121"/>
      <c r="EU10" s="121"/>
      <c r="EV10" s="121"/>
      <c r="EW10" s="121"/>
      <c r="EX10" s="121"/>
      <c r="EY10" s="121"/>
      <c r="EZ10" s="121"/>
      <c r="FA10" s="121"/>
      <c r="FB10" s="121"/>
      <c r="FC10" s="121"/>
      <c r="FD10" s="121"/>
      <c r="FE10" s="121"/>
      <c r="FF10" s="121"/>
      <c r="FG10" s="121"/>
      <c r="FH10" s="121"/>
      <c r="FI10" s="121"/>
      <c r="FJ10" s="121"/>
      <c r="FK10" s="121"/>
      <c r="FL10" s="121"/>
      <c r="FM10" s="121"/>
      <c r="FN10" s="121"/>
      <c r="FO10" s="121"/>
      <c r="FP10" s="121"/>
      <c r="FQ10" s="121"/>
      <c r="FR10" s="121"/>
      <c r="FS10" s="121"/>
      <c r="FT10" s="121"/>
      <c r="FU10" s="121"/>
      <c r="FV10" s="121"/>
      <c r="FW10" s="121"/>
      <c r="FX10" s="121"/>
      <c r="FY10" s="121"/>
      <c r="FZ10" s="121"/>
      <c r="GA10" s="121"/>
      <c r="GB10" s="121"/>
      <c r="GC10" s="121"/>
      <c r="GD10" s="121"/>
      <c r="GE10" s="121"/>
      <c r="GF10" s="121"/>
      <c r="GG10" s="121"/>
      <c r="GH10" s="121"/>
      <c r="GI10" s="121"/>
      <c r="GJ10" s="121"/>
      <c r="GK10" s="121"/>
      <c r="GL10" s="121"/>
      <c r="GM10" s="121"/>
      <c r="GN10" s="121"/>
      <c r="GO10" s="121"/>
      <c r="GP10" s="121"/>
      <c r="GQ10" s="121"/>
      <c r="GR10" s="121"/>
      <c r="GS10" s="121"/>
      <c r="GT10" s="121"/>
      <c r="GU10" s="121"/>
      <c r="GV10" s="121"/>
      <c r="GW10" s="121"/>
      <c r="GX10" s="121"/>
      <c r="GY10" s="121"/>
      <c r="GZ10" s="121"/>
      <c r="HA10" s="121"/>
      <c r="HB10" s="121"/>
      <c r="HC10" s="121"/>
      <c r="HD10" s="121"/>
      <c r="HE10" s="121"/>
      <c r="HF10" s="121"/>
      <c r="HG10" s="121"/>
      <c r="HH10" s="121"/>
      <c r="HI10" s="121"/>
      <c r="HJ10" s="121"/>
      <c r="HK10" s="121"/>
      <c r="HL10" s="121"/>
      <c r="HM10" s="121"/>
      <c r="HN10" s="121"/>
      <c r="HO10" s="121"/>
      <c r="HP10" s="121"/>
      <c r="HQ10" s="121"/>
      <c r="HR10" s="121"/>
      <c r="HS10" s="121"/>
      <c r="HT10" s="121"/>
      <c r="HU10" s="121"/>
      <c r="HV10" s="121"/>
      <c r="HW10" s="121"/>
      <c r="HX10" s="121"/>
      <c r="HY10" s="121"/>
      <c r="HZ10" s="121"/>
      <c r="IA10" s="121"/>
      <c r="IB10" s="121"/>
      <c r="IC10" s="121"/>
      <c r="ID10" s="121"/>
      <c r="IE10" s="121"/>
      <c r="IF10" s="121"/>
      <c r="IG10" s="121"/>
      <c r="IH10" s="121"/>
      <c r="II10" s="121"/>
      <c r="IJ10" s="121"/>
      <c r="IK10" s="121"/>
      <c r="IL10" s="121"/>
      <c r="IM10" s="121"/>
      <c r="IN10" s="121"/>
      <c r="IO10" s="121"/>
      <c r="IP10" s="121"/>
      <c r="IQ10" s="121"/>
      <c r="IR10" s="121"/>
      <c r="IS10" s="121"/>
      <c r="IT10" s="121"/>
      <c r="IU10" s="121"/>
      <c r="IV10" s="121"/>
    </row>
    <row r="11" spans="1:14" ht="12.75">
      <c r="A11" s="30"/>
      <c r="B11" s="115" t="s">
        <v>536</v>
      </c>
      <c r="C11" s="116" t="s">
        <v>474</v>
      </c>
      <c r="D11" s="568"/>
      <c r="E11" s="569"/>
      <c r="F11" s="570">
        <v>18207950</v>
      </c>
      <c r="G11" s="568"/>
      <c r="H11" s="571"/>
      <c r="I11" s="571"/>
      <c r="J11" s="569"/>
      <c r="K11" s="570"/>
      <c r="L11" s="572">
        <f t="shared" si="0"/>
        <v>18207950</v>
      </c>
      <c r="M11" s="31"/>
      <c r="N11" s="165"/>
    </row>
    <row r="12" spans="1:14" ht="12.75">
      <c r="A12" s="30"/>
      <c r="B12" s="115" t="s">
        <v>537</v>
      </c>
      <c r="C12" s="116" t="s">
        <v>475</v>
      </c>
      <c r="D12" s="568"/>
      <c r="E12" s="569"/>
      <c r="F12" s="570">
        <v>30176000</v>
      </c>
      <c r="G12" s="568"/>
      <c r="H12" s="571"/>
      <c r="I12" s="571"/>
      <c r="J12" s="569"/>
      <c r="K12" s="570"/>
      <c r="L12" s="572">
        <f t="shared" si="0"/>
        <v>30176000</v>
      </c>
      <c r="M12" s="31"/>
      <c r="N12" s="165"/>
    </row>
    <row r="13" spans="1:14" ht="12.75">
      <c r="A13" s="30"/>
      <c r="B13" s="115" t="s">
        <v>538</v>
      </c>
      <c r="C13" s="116" t="s">
        <v>476</v>
      </c>
      <c r="D13" s="568"/>
      <c r="E13" s="569"/>
      <c r="F13" s="570">
        <v>0</v>
      </c>
      <c r="G13" s="568"/>
      <c r="H13" s="571"/>
      <c r="I13" s="571"/>
      <c r="J13" s="569"/>
      <c r="K13" s="570"/>
      <c r="L13" s="572">
        <f t="shared" si="0"/>
        <v>0</v>
      </c>
      <c r="M13" s="31"/>
      <c r="N13" s="165"/>
    </row>
    <row r="14" spans="1:14" ht="12.75">
      <c r="A14" s="30"/>
      <c r="B14" s="115" t="s">
        <v>539</v>
      </c>
      <c r="C14" s="116" t="s">
        <v>477</v>
      </c>
      <c r="D14" s="568"/>
      <c r="E14" s="569"/>
      <c r="F14" s="570">
        <v>15052370</v>
      </c>
      <c r="G14" s="568"/>
      <c r="H14" s="571"/>
      <c r="I14" s="571"/>
      <c r="J14" s="569"/>
      <c r="K14" s="570"/>
      <c r="L14" s="572">
        <f t="shared" si="0"/>
        <v>15052370</v>
      </c>
      <c r="M14" s="31"/>
      <c r="N14" s="165"/>
    </row>
    <row r="15" spans="1:256" ht="12.75">
      <c r="A15" s="117"/>
      <c r="B15" s="118" t="s">
        <v>540</v>
      </c>
      <c r="C15" s="122" t="s">
        <v>113</v>
      </c>
      <c r="D15" s="565"/>
      <c r="E15" s="563">
        <v>2700</v>
      </c>
      <c r="F15" s="564">
        <v>13441039</v>
      </c>
      <c r="G15" s="565"/>
      <c r="H15" s="566"/>
      <c r="I15" s="566"/>
      <c r="J15" s="563"/>
      <c r="K15" s="564"/>
      <c r="L15" s="567">
        <f>F15+K15</f>
        <v>13441039</v>
      </c>
      <c r="M15" s="120"/>
      <c r="N15" s="165">
        <f>SUM(L15)</f>
        <v>13441039</v>
      </c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1"/>
      <c r="AU15" s="121"/>
      <c r="AV15" s="121"/>
      <c r="AW15" s="121"/>
      <c r="AX15" s="121"/>
      <c r="AY15" s="121"/>
      <c r="AZ15" s="121"/>
      <c r="BA15" s="121"/>
      <c r="BB15" s="121"/>
      <c r="BC15" s="121"/>
      <c r="BD15" s="121"/>
      <c r="BE15" s="121"/>
      <c r="BF15" s="121"/>
      <c r="BG15" s="121"/>
      <c r="BH15" s="121"/>
      <c r="BI15" s="121"/>
      <c r="BJ15" s="121"/>
      <c r="BK15" s="121"/>
      <c r="BL15" s="121"/>
      <c r="BM15" s="121"/>
      <c r="BN15" s="121"/>
      <c r="BO15" s="121"/>
      <c r="BP15" s="121"/>
      <c r="BQ15" s="121"/>
      <c r="BR15" s="121"/>
      <c r="BS15" s="121"/>
      <c r="BT15" s="121"/>
      <c r="BU15" s="121"/>
      <c r="BV15" s="121"/>
      <c r="BW15" s="121"/>
      <c r="BX15" s="121"/>
      <c r="BY15" s="121"/>
      <c r="BZ15" s="121"/>
      <c r="CA15" s="121"/>
      <c r="CB15" s="121"/>
      <c r="CC15" s="121"/>
      <c r="CD15" s="121"/>
      <c r="CE15" s="121"/>
      <c r="CF15" s="121"/>
      <c r="CG15" s="121"/>
      <c r="CH15" s="121"/>
      <c r="CI15" s="121"/>
      <c r="CJ15" s="121"/>
      <c r="CK15" s="121"/>
      <c r="CL15" s="121"/>
      <c r="CM15" s="121"/>
      <c r="CN15" s="121"/>
      <c r="CO15" s="121"/>
      <c r="CP15" s="121"/>
      <c r="CQ15" s="121"/>
      <c r="CR15" s="121"/>
      <c r="CS15" s="121"/>
      <c r="CT15" s="121"/>
      <c r="CU15" s="121"/>
      <c r="CV15" s="121"/>
      <c r="CW15" s="121"/>
      <c r="CX15" s="121"/>
      <c r="CY15" s="121"/>
      <c r="CZ15" s="121"/>
      <c r="DA15" s="121"/>
      <c r="DB15" s="121"/>
      <c r="DC15" s="121"/>
      <c r="DD15" s="121"/>
      <c r="DE15" s="121"/>
      <c r="DF15" s="121"/>
      <c r="DG15" s="121"/>
      <c r="DH15" s="121"/>
      <c r="DI15" s="121"/>
      <c r="DJ15" s="121"/>
      <c r="DK15" s="121"/>
      <c r="DL15" s="121"/>
      <c r="DM15" s="121"/>
      <c r="DN15" s="121"/>
      <c r="DO15" s="121"/>
      <c r="DP15" s="121"/>
      <c r="DQ15" s="121"/>
      <c r="DR15" s="121"/>
      <c r="DS15" s="121"/>
      <c r="DT15" s="121"/>
      <c r="DU15" s="121"/>
      <c r="DV15" s="121"/>
      <c r="DW15" s="121"/>
      <c r="DX15" s="121"/>
      <c r="DY15" s="121"/>
      <c r="DZ15" s="121"/>
      <c r="EA15" s="121"/>
      <c r="EB15" s="121"/>
      <c r="EC15" s="121"/>
      <c r="ED15" s="121"/>
      <c r="EE15" s="121"/>
      <c r="EF15" s="121"/>
      <c r="EG15" s="121"/>
      <c r="EH15" s="121"/>
      <c r="EI15" s="121"/>
      <c r="EJ15" s="121"/>
      <c r="EK15" s="121"/>
      <c r="EL15" s="121"/>
      <c r="EM15" s="121"/>
      <c r="EN15" s="121"/>
      <c r="EO15" s="121"/>
      <c r="EP15" s="121"/>
      <c r="EQ15" s="121"/>
      <c r="ER15" s="121"/>
      <c r="ES15" s="121"/>
      <c r="ET15" s="121"/>
      <c r="EU15" s="121"/>
      <c r="EV15" s="121"/>
      <c r="EW15" s="121"/>
      <c r="EX15" s="121"/>
      <c r="EY15" s="121"/>
      <c r="EZ15" s="121"/>
      <c r="FA15" s="121"/>
      <c r="FB15" s="121"/>
      <c r="FC15" s="121"/>
      <c r="FD15" s="121"/>
      <c r="FE15" s="121"/>
      <c r="FF15" s="121"/>
      <c r="FG15" s="121"/>
      <c r="FH15" s="121"/>
      <c r="FI15" s="121"/>
      <c r="FJ15" s="121"/>
      <c r="FK15" s="121"/>
      <c r="FL15" s="121"/>
      <c r="FM15" s="121"/>
      <c r="FN15" s="121"/>
      <c r="FO15" s="121"/>
      <c r="FP15" s="121"/>
      <c r="FQ15" s="121"/>
      <c r="FR15" s="121"/>
      <c r="FS15" s="121"/>
      <c r="FT15" s="121"/>
      <c r="FU15" s="121"/>
      <c r="FV15" s="121"/>
      <c r="FW15" s="121"/>
      <c r="FX15" s="121"/>
      <c r="FY15" s="121"/>
      <c r="FZ15" s="121"/>
      <c r="GA15" s="121"/>
      <c r="GB15" s="121"/>
      <c r="GC15" s="121"/>
      <c r="GD15" s="121"/>
      <c r="GE15" s="121"/>
      <c r="GF15" s="121"/>
      <c r="GG15" s="121"/>
      <c r="GH15" s="121"/>
      <c r="GI15" s="121"/>
      <c r="GJ15" s="121"/>
      <c r="GK15" s="121"/>
      <c r="GL15" s="121"/>
      <c r="GM15" s="121"/>
      <c r="GN15" s="121"/>
      <c r="GO15" s="121"/>
      <c r="GP15" s="121"/>
      <c r="GQ15" s="121"/>
      <c r="GR15" s="121"/>
      <c r="GS15" s="121"/>
      <c r="GT15" s="121"/>
      <c r="GU15" s="121"/>
      <c r="GV15" s="121"/>
      <c r="GW15" s="121"/>
      <c r="GX15" s="121"/>
      <c r="GY15" s="121"/>
      <c r="GZ15" s="121"/>
      <c r="HA15" s="121"/>
      <c r="HB15" s="121"/>
      <c r="HC15" s="121"/>
      <c r="HD15" s="121"/>
      <c r="HE15" s="121"/>
      <c r="HF15" s="121"/>
      <c r="HG15" s="121"/>
      <c r="HH15" s="121"/>
      <c r="HI15" s="121"/>
      <c r="HJ15" s="121"/>
      <c r="HK15" s="121"/>
      <c r="HL15" s="121"/>
      <c r="HM15" s="121"/>
      <c r="HN15" s="121"/>
      <c r="HO15" s="121"/>
      <c r="HP15" s="121"/>
      <c r="HQ15" s="121"/>
      <c r="HR15" s="121"/>
      <c r="HS15" s="121"/>
      <c r="HT15" s="121"/>
      <c r="HU15" s="121"/>
      <c r="HV15" s="121"/>
      <c r="HW15" s="121"/>
      <c r="HX15" s="121"/>
      <c r="HY15" s="121"/>
      <c r="HZ15" s="121"/>
      <c r="IA15" s="121"/>
      <c r="IB15" s="121"/>
      <c r="IC15" s="121"/>
      <c r="ID15" s="121"/>
      <c r="IE15" s="121"/>
      <c r="IF15" s="121"/>
      <c r="IG15" s="121"/>
      <c r="IH15" s="121"/>
      <c r="II15" s="121"/>
      <c r="IJ15" s="121"/>
      <c r="IK15" s="121"/>
      <c r="IL15" s="121"/>
      <c r="IM15" s="121"/>
      <c r="IN15" s="121"/>
      <c r="IO15" s="121"/>
      <c r="IP15" s="121"/>
      <c r="IQ15" s="121"/>
      <c r="IR15" s="121"/>
      <c r="IS15" s="121"/>
      <c r="IT15" s="121"/>
      <c r="IU15" s="121"/>
      <c r="IV15" s="121"/>
    </row>
    <row r="16" spans="1:256" ht="12.75">
      <c r="A16" s="117"/>
      <c r="B16" s="118" t="s">
        <v>541</v>
      </c>
      <c r="C16" s="122" t="s">
        <v>95</v>
      </c>
      <c r="D16" s="565">
        <v>307</v>
      </c>
      <c r="E16" s="563">
        <v>2550</v>
      </c>
      <c r="F16" s="564">
        <f>D16*E16</f>
        <v>782850</v>
      </c>
      <c r="G16" s="565"/>
      <c r="H16" s="566"/>
      <c r="I16" s="566"/>
      <c r="J16" s="563"/>
      <c r="K16" s="564"/>
      <c r="L16" s="567">
        <f>F16+K16</f>
        <v>782850</v>
      </c>
      <c r="M16" s="120"/>
      <c r="N16" s="165">
        <f>SUM(L16)</f>
        <v>782850</v>
      </c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1"/>
      <c r="AS16" s="121"/>
      <c r="AT16" s="121"/>
      <c r="AU16" s="121"/>
      <c r="AV16" s="121"/>
      <c r="AW16" s="121"/>
      <c r="AX16" s="121"/>
      <c r="AY16" s="121"/>
      <c r="AZ16" s="121"/>
      <c r="BA16" s="121"/>
      <c r="BB16" s="121"/>
      <c r="BC16" s="121"/>
      <c r="BD16" s="121"/>
      <c r="BE16" s="121"/>
      <c r="BF16" s="121"/>
      <c r="BG16" s="121"/>
      <c r="BH16" s="121"/>
      <c r="BI16" s="121"/>
      <c r="BJ16" s="121"/>
      <c r="BK16" s="121"/>
      <c r="BL16" s="121"/>
      <c r="BM16" s="121"/>
      <c r="BN16" s="121"/>
      <c r="BO16" s="121"/>
      <c r="BP16" s="121"/>
      <c r="BQ16" s="121"/>
      <c r="BR16" s="121"/>
      <c r="BS16" s="121"/>
      <c r="BT16" s="121"/>
      <c r="BU16" s="121"/>
      <c r="BV16" s="121"/>
      <c r="BW16" s="121"/>
      <c r="BX16" s="121"/>
      <c r="BY16" s="121"/>
      <c r="BZ16" s="121"/>
      <c r="CA16" s="121"/>
      <c r="CB16" s="121"/>
      <c r="CC16" s="121"/>
      <c r="CD16" s="121"/>
      <c r="CE16" s="121"/>
      <c r="CF16" s="121"/>
      <c r="CG16" s="121"/>
      <c r="CH16" s="121"/>
      <c r="CI16" s="121"/>
      <c r="CJ16" s="121"/>
      <c r="CK16" s="121"/>
      <c r="CL16" s="121"/>
      <c r="CM16" s="121"/>
      <c r="CN16" s="121"/>
      <c r="CO16" s="121"/>
      <c r="CP16" s="121"/>
      <c r="CQ16" s="121"/>
      <c r="CR16" s="121"/>
      <c r="CS16" s="121"/>
      <c r="CT16" s="121"/>
      <c r="CU16" s="121"/>
      <c r="CV16" s="121"/>
      <c r="CW16" s="121"/>
      <c r="CX16" s="121"/>
      <c r="CY16" s="121"/>
      <c r="CZ16" s="121"/>
      <c r="DA16" s="121"/>
      <c r="DB16" s="121"/>
      <c r="DC16" s="121"/>
      <c r="DD16" s="121"/>
      <c r="DE16" s="121"/>
      <c r="DF16" s="121"/>
      <c r="DG16" s="121"/>
      <c r="DH16" s="121"/>
      <c r="DI16" s="121"/>
      <c r="DJ16" s="121"/>
      <c r="DK16" s="121"/>
      <c r="DL16" s="121"/>
      <c r="DM16" s="121"/>
      <c r="DN16" s="121"/>
      <c r="DO16" s="121"/>
      <c r="DP16" s="121"/>
      <c r="DQ16" s="121"/>
      <c r="DR16" s="121"/>
      <c r="DS16" s="121"/>
      <c r="DT16" s="121"/>
      <c r="DU16" s="121"/>
      <c r="DV16" s="121"/>
      <c r="DW16" s="121"/>
      <c r="DX16" s="121"/>
      <c r="DY16" s="121"/>
      <c r="DZ16" s="121"/>
      <c r="EA16" s="121"/>
      <c r="EB16" s="121"/>
      <c r="EC16" s="121"/>
      <c r="ED16" s="121"/>
      <c r="EE16" s="121"/>
      <c r="EF16" s="121"/>
      <c r="EG16" s="121"/>
      <c r="EH16" s="121"/>
      <c r="EI16" s="121"/>
      <c r="EJ16" s="121"/>
      <c r="EK16" s="121"/>
      <c r="EL16" s="121"/>
      <c r="EM16" s="121"/>
      <c r="EN16" s="121"/>
      <c r="EO16" s="121"/>
      <c r="EP16" s="121"/>
      <c r="EQ16" s="121"/>
      <c r="ER16" s="121"/>
      <c r="ES16" s="121"/>
      <c r="ET16" s="121"/>
      <c r="EU16" s="121"/>
      <c r="EV16" s="121"/>
      <c r="EW16" s="121"/>
      <c r="EX16" s="121"/>
      <c r="EY16" s="121"/>
      <c r="EZ16" s="121"/>
      <c r="FA16" s="121"/>
      <c r="FB16" s="121"/>
      <c r="FC16" s="121"/>
      <c r="FD16" s="121"/>
      <c r="FE16" s="121"/>
      <c r="FF16" s="121"/>
      <c r="FG16" s="121"/>
      <c r="FH16" s="121"/>
      <c r="FI16" s="121"/>
      <c r="FJ16" s="121"/>
      <c r="FK16" s="121"/>
      <c r="FL16" s="121"/>
      <c r="FM16" s="121"/>
      <c r="FN16" s="121"/>
      <c r="FO16" s="121"/>
      <c r="FP16" s="121"/>
      <c r="FQ16" s="121"/>
      <c r="FR16" s="121"/>
      <c r="FS16" s="121"/>
      <c r="FT16" s="121"/>
      <c r="FU16" s="121"/>
      <c r="FV16" s="121"/>
      <c r="FW16" s="121"/>
      <c r="FX16" s="121"/>
      <c r="FY16" s="121"/>
      <c r="FZ16" s="121"/>
      <c r="GA16" s="121"/>
      <c r="GB16" s="121"/>
      <c r="GC16" s="121"/>
      <c r="GD16" s="121"/>
      <c r="GE16" s="121"/>
      <c r="GF16" s="121"/>
      <c r="GG16" s="121"/>
      <c r="GH16" s="121"/>
      <c r="GI16" s="121"/>
      <c r="GJ16" s="121"/>
      <c r="GK16" s="121"/>
      <c r="GL16" s="121"/>
      <c r="GM16" s="121"/>
      <c r="GN16" s="121"/>
      <c r="GO16" s="121"/>
      <c r="GP16" s="121"/>
      <c r="GQ16" s="121"/>
      <c r="GR16" s="121"/>
      <c r="GS16" s="121"/>
      <c r="GT16" s="121"/>
      <c r="GU16" s="121"/>
      <c r="GV16" s="121"/>
      <c r="GW16" s="121"/>
      <c r="GX16" s="121"/>
      <c r="GY16" s="121"/>
      <c r="GZ16" s="121"/>
      <c r="HA16" s="121"/>
      <c r="HB16" s="121"/>
      <c r="HC16" s="121"/>
      <c r="HD16" s="121"/>
      <c r="HE16" s="121"/>
      <c r="HF16" s="121"/>
      <c r="HG16" s="121"/>
      <c r="HH16" s="121"/>
      <c r="HI16" s="121"/>
      <c r="HJ16" s="121"/>
      <c r="HK16" s="121"/>
      <c r="HL16" s="121"/>
      <c r="HM16" s="121"/>
      <c r="HN16" s="121"/>
      <c r="HO16" s="121"/>
      <c r="HP16" s="121"/>
      <c r="HQ16" s="121"/>
      <c r="HR16" s="121"/>
      <c r="HS16" s="121"/>
      <c r="HT16" s="121"/>
      <c r="HU16" s="121"/>
      <c r="HV16" s="121"/>
      <c r="HW16" s="121"/>
      <c r="HX16" s="121"/>
      <c r="HY16" s="121"/>
      <c r="HZ16" s="121"/>
      <c r="IA16" s="121"/>
      <c r="IB16" s="121"/>
      <c r="IC16" s="121"/>
      <c r="ID16" s="121"/>
      <c r="IE16" s="121"/>
      <c r="IF16" s="121"/>
      <c r="IG16" s="121"/>
      <c r="IH16" s="121"/>
      <c r="II16" s="121"/>
      <c r="IJ16" s="121"/>
      <c r="IK16" s="121"/>
      <c r="IL16" s="121"/>
      <c r="IM16" s="121"/>
      <c r="IN16" s="121"/>
      <c r="IO16" s="121"/>
      <c r="IP16" s="121"/>
      <c r="IQ16" s="121"/>
      <c r="IR16" s="121"/>
      <c r="IS16" s="121"/>
      <c r="IT16" s="121"/>
      <c r="IU16" s="121"/>
      <c r="IV16" s="121"/>
    </row>
    <row r="17" spans="1:256" ht="12.75">
      <c r="A17" s="117"/>
      <c r="B17" s="118" t="s">
        <v>781</v>
      </c>
      <c r="C17" s="122" t="s">
        <v>780</v>
      </c>
      <c r="D17" s="565"/>
      <c r="E17" s="563"/>
      <c r="F17" s="564">
        <v>140422</v>
      </c>
      <c r="G17" s="565"/>
      <c r="H17" s="566"/>
      <c r="I17" s="566"/>
      <c r="J17" s="563"/>
      <c r="K17" s="564"/>
      <c r="L17" s="567">
        <f>F17+K17</f>
        <v>140422</v>
      </c>
      <c r="M17" s="120"/>
      <c r="N17" s="165">
        <f>SUM(L17)</f>
        <v>140422</v>
      </c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121"/>
      <c r="AU17" s="121"/>
      <c r="AV17" s="121"/>
      <c r="AW17" s="121"/>
      <c r="AX17" s="121"/>
      <c r="AY17" s="121"/>
      <c r="AZ17" s="121"/>
      <c r="BA17" s="121"/>
      <c r="BB17" s="121"/>
      <c r="BC17" s="121"/>
      <c r="BD17" s="121"/>
      <c r="BE17" s="121"/>
      <c r="BF17" s="121"/>
      <c r="BG17" s="121"/>
      <c r="BH17" s="121"/>
      <c r="BI17" s="121"/>
      <c r="BJ17" s="121"/>
      <c r="BK17" s="121"/>
      <c r="BL17" s="121"/>
      <c r="BM17" s="121"/>
      <c r="BN17" s="121"/>
      <c r="BO17" s="121"/>
      <c r="BP17" s="121"/>
      <c r="BQ17" s="121"/>
      <c r="BR17" s="121"/>
      <c r="BS17" s="121"/>
      <c r="BT17" s="121"/>
      <c r="BU17" s="121"/>
      <c r="BV17" s="121"/>
      <c r="BW17" s="121"/>
      <c r="BX17" s="121"/>
      <c r="BY17" s="121"/>
      <c r="BZ17" s="121"/>
      <c r="CA17" s="121"/>
      <c r="CB17" s="121"/>
      <c r="CC17" s="121"/>
      <c r="CD17" s="121"/>
      <c r="CE17" s="121"/>
      <c r="CF17" s="121"/>
      <c r="CG17" s="121"/>
      <c r="CH17" s="121"/>
      <c r="CI17" s="121"/>
      <c r="CJ17" s="121"/>
      <c r="CK17" s="121"/>
      <c r="CL17" s="121"/>
      <c r="CM17" s="121"/>
      <c r="CN17" s="121"/>
      <c r="CO17" s="121"/>
      <c r="CP17" s="121"/>
      <c r="CQ17" s="121"/>
      <c r="CR17" s="121"/>
      <c r="CS17" s="121"/>
      <c r="CT17" s="121"/>
      <c r="CU17" s="121"/>
      <c r="CV17" s="121"/>
      <c r="CW17" s="121"/>
      <c r="CX17" s="121"/>
      <c r="CY17" s="121"/>
      <c r="CZ17" s="121"/>
      <c r="DA17" s="121"/>
      <c r="DB17" s="121"/>
      <c r="DC17" s="121"/>
      <c r="DD17" s="121"/>
      <c r="DE17" s="121"/>
      <c r="DF17" s="121"/>
      <c r="DG17" s="121"/>
      <c r="DH17" s="121"/>
      <c r="DI17" s="121"/>
      <c r="DJ17" s="121"/>
      <c r="DK17" s="121"/>
      <c r="DL17" s="121"/>
      <c r="DM17" s="121"/>
      <c r="DN17" s="121"/>
      <c r="DO17" s="121"/>
      <c r="DP17" s="121"/>
      <c r="DQ17" s="121"/>
      <c r="DR17" s="121"/>
      <c r="DS17" s="121"/>
      <c r="DT17" s="121"/>
      <c r="DU17" s="121"/>
      <c r="DV17" s="121"/>
      <c r="DW17" s="121"/>
      <c r="DX17" s="121"/>
      <c r="DY17" s="121"/>
      <c r="DZ17" s="121"/>
      <c r="EA17" s="121"/>
      <c r="EB17" s="121"/>
      <c r="EC17" s="121"/>
      <c r="ED17" s="121"/>
      <c r="EE17" s="121"/>
      <c r="EF17" s="121"/>
      <c r="EG17" s="121"/>
      <c r="EH17" s="121"/>
      <c r="EI17" s="121"/>
      <c r="EJ17" s="121"/>
      <c r="EK17" s="121"/>
      <c r="EL17" s="121"/>
      <c r="EM17" s="121"/>
      <c r="EN17" s="121"/>
      <c r="EO17" s="121"/>
      <c r="EP17" s="121"/>
      <c r="EQ17" s="121"/>
      <c r="ER17" s="121"/>
      <c r="ES17" s="121"/>
      <c r="ET17" s="121"/>
      <c r="EU17" s="121"/>
      <c r="EV17" s="121"/>
      <c r="EW17" s="121"/>
      <c r="EX17" s="121"/>
      <c r="EY17" s="121"/>
      <c r="EZ17" s="121"/>
      <c r="FA17" s="121"/>
      <c r="FB17" s="121"/>
      <c r="FC17" s="121"/>
      <c r="FD17" s="121"/>
      <c r="FE17" s="121"/>
      <c r="FF17" s="121"/>
      <c r="FG17" s="121"/>
      <c r="FH17" s="121"/>
      <c r="FI17" s="121"/>
      <c r="FJ17" s="121"/>
      <c r="FK17" s="121"/>
      <c r="FL17" s="121"/>
      <c r="FM17" s="121"/>
      <c r="FN17" s="121"/>
      <c r="FO17" s="121"/>
      <c r="FP17" s="121"/>
      <c r="FQ17" s="121"/>
      <c r="FR17" s="121"/>
      <c r="FS17" s="121"/>
      <c r="FT17" s="121"/>
      <c r="FU17" s="121"/>
      <c r="FV17" s="121"/>
      <c r="FW17" s="121"/>
      <c r="FX17" s="121"/>
      <c r="FY17" s="121"/>
      <c r="FZ17" s="121"/>
      <c r="GA17" s="121"/>
      <c r="GB17" s="121"/>
      <c r="GC17" s="121"/>
      <c r="GD17" s="121"/>
      <c r="GE17" s="121"/>
      <c r="GF17" s="121"/>
      <c r="GG17" s="121"/>
      <c r="GH17" s="121"/>
      <c r="GI17" s="121"/>
      <c r="GJ17" s="121"/>
      <c r="GK17" s="121"/>
      <c r="GL17" s="121"/>
      <c r="GM17" s="121"/>
      <c r="GN17" s="121"/>
      <c r="GO17" s="121"/>
      <c r="GP17" s="121"/>
      <c r="GQ17" s="121"/>
      <c r="GR17" s="121"/>
      <c r="GS17" s="121"/>
      <c r="GT17" s="121"/>
      <c r="GU17" s="121"/>
      <c r="GV17" s="121"/>
      <c r="GW17" s="121"/>
      <c r="GX17" s="121"/>
      <c r="GY17" s="121"/>
      <c r="GZ17" s="121"/>
      <c r="HA17" s="121"/>
      <c r="HB17" s="121"/>
      <c r="HC17" s="121"/>
      <c r="HD17" s="121"/>
      <c r="HE17" s="121"/>
      <c r="HF17" s="121"/>
      <c r="HG17" s="121"/>
      <c r="HH17" s="121"/>
      <c r="HI17" s="121"/>
      <c r="HJ17" s="121"/>
      <c r="HK17" s="121"/>
      <c r="HL17" s="121"/>
      <c r="HM17" s="121"/>
      <c r="HN17" s="121"/>
      <c r="HO17" s="121"/>
      <c r="HP17" s="121"/>
      <c r="HQ17" s="121"/>
      <c r="HR17" s="121"/>
      <c r="HS17" s="121"/>
      <c r="HT17" s="121"/>
      <c r="HU17" s="121"/>
      <c r="HV17" s="121"/>
      <c r="HW17" s="121"/>
      <c r="HX17" s="121"/>
      <c r="HY17" s="121"/>
      <c r="HZ17" s="121"/>
      <c r="IA17" s="121"/>
      <c r="IB17" s="121"/>
      <c r="IC17" s="121"/>
      <c r="ID17" s="121"/>
      <c r="IE17" s="121"/>
      <c r="IF17" s="121"/>
      <c r="IG17" s="121"/>
      <c r="IH17" s="121"/>
      <c r="II17" s="121"/>
      <c r="IJ17" s="121"/>
      <c r="IK17" s="121"/>
      <c r="IL17" s="121"/>
      <c r="IM17" s="121"/>
      <c r="IN17" s="121"/>
      <c r="IO17" s="121"/>
      <c r="IP17" s="121"/>
      <c r="IQ17" s="121"/>
      <c r="IR17" s="121"/>
      <c r="IS17" s="121"/>
      <c r="IT17" s="121"/>
      <c r="IU17" s="121"/>
      <c r="IV17" s="121"/>
    </row>
    <row r="18" spans="1:256" ht="12.75">
      <c r="A18" s="117"/>
      <c r="B18" s="118" t="s">
        <v>542</v>
      </c>
      <c r="C18" s="122" t="s">
        <v>782</v>
      </c>
      <c r="D18" s="565"/>
      <c r="E18" s="563"/>
      <c r="F18" s="564">
        <v>1756400</v>
      </c>
      <c r="G18" s="565"/>
      <c r="H18" s="566"/>
      <c r="I18" s="566"/>
      <c r="J18" s="563"/>
      <c r="K18" s="564"/>
      <c r="L18" s="567">
        <f>F18+K18</f>
        <v>1756400</v>
      </c>
      <c r="M18" s="120"/>
      <c r="N18" s="165">
        <f>SUM(L18)</f>
        <v>1756400</v>
      </c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1"/>
      <c r="BA18" s="121"/>
      <c r="BB18" s="121"/>
      <c r="BC18" s="121"/>
      <c r="BD18" s="121"/>
      <c r="BE18" s="121"/>
      <c r="BF18" s="121"/>
      <c r="BG18" s="121"/>
      <c r="BH18" s="121"/>
      <c r="BI18" s="121"/>
      <c r="BJ18" s="121"/>
      <c r="BK18" s="121"/>
      <c r="BL18" s="121"/>
      <c r="BM18" s="121"/>
      <c r="BN18" s="121"/>
      <c r="BO18" s="121"/>
      <c r="BP18" s="121"/>
      <c r="BQ18" s="121"/>
      <c r="BR18" s="121"/>
      <c r="BS18" s="121"/>
      <c r="BT18" s="121"/>
      <c r="BU18" s="121"/>
      <c r="BV18" s="121"/>
      <c r="BW18" s="121"/>
      <c r="BX18" s="121"/>
      <c r="BY18" s="121"/>
      <c r="BZ18" s="121"/>
      <c r="CA18" s="121"/>
      <c r="CB18" s="121"/>
      <c r="CC18" s="121"/>
      <c r="CD18" s="121"/>
      <c r="CE18" s="121"/>
      <c r="CF18" s="121"/>
      <c r="CG18" s="121"/>
      <c r="CH18" s="121"/>
      <c r="CI18" s="121"/>
      <c r="CJ18" s="121"/>
      <c r="CK18" s="121"/>
      <c r="CL18" s="121"/>
      <c r="CM18" s="121"/>
      <c r="CN18" s="121"/>
      <c r="CO18" s="121"/>
      <c r="CP18" s="121"/>
      <c r="CQ18" s="121"/>
      <c r="CR18" s="121"/>
      <c r="CS18" s="121"/>
      <c r="CT18" s="121"/>
      <c r="CU18" s="121"/>
      <c r="CV18" s="121"/>
      <c r="CW18" s="121"/>
      <c r="CX18" s="121"/>
      <c r="CY18" s="121"/>
      <c r="CZ18" s="121"/>
      <c r="DA18" s="121"/>
      <c r="DB18" s="121"/>
      <c r="DC18" s="121"/>
      <c r="DD18" s="121"/>
      <c r="DE18" s="121"/>
      <c r="DF18" s="121"/>
      <c r="DG18" s="121"/>
      <c r="DH18" s="121"/>
      <c r="DI18" s="121"/>
      <c r="DJ18" s="121"/>
      <c r="DK18" s="121"/>
      <c r="DL18" s="121"/>
      <c r="DM18" s="121"/>
      <c r="DN18" s="121"/>
      <c r="DO18" s="121"/>
      <c r="DP18" s="121"/>
      <c r="DQ18" s="121"/>
      <c r="DR18" s="121"/>
      <c r="DS18" s="121"/>
      <c r="DT18" s="121"/>
      <c r="DU18" s="121"/>
      <c r="DV18" s="121"/>
      <c r="DW18" s="121"/>
      <c r="DX18" s="121"/>
      <c r="DY18" s="121"/>
      <c r="DZ18" s="121"/>
      <c r="EA18" s="121"/>
      <c r="EB18" s="121"/>
      <c r="EC18" s="121"/>
      <c r="ED18" s="121"/>
      <c r="EE18" s="121"/>
      <c r="EF18" s="121"/>
      <c r="EG18" s="121"/>
      <c r="EH18" s="121"/>
      <c r="EI18" s="121"/>
      <c r="EJ18" s="121"/>
      <c r="EK18" s="121"/>
      <c r="EL18" s="121"/>
      <c r="EM18" s="121"/>
      <c r="EN18" s="121"/>
      <c r="EO18" s="121"/>
      <c r="EP18" s="121"/>
      <c r="EQ18" s="121"/>
      <c r="ER18" s="121"/>
      <c r="ES18" s="121"/>
      <c r="ET18" s="121"/>
      <c r="EU18" s="121"/>
      <c r="EV18" s="121"/>
      <c r="EW18" s="121"/>
      <c r="EX18" s="121"/>
      <c r="EY18" s="121"/>
      <c r="EZ18" s="121"/>
      <c r="FA18" s="121"/>
      <c r="FB18" s="121"/>
      <c r="FC18" s="121"/>
      <c r="FD18" s="121"/>
      <c r="FE18" s="121"/>
      <c r="FF18" s="121"/>
      <c r="FG18" s="121"/>
      <c r="FH18" s="121"/>
      <c r="FI18" s="121"/>
      <c r="FJ18" s="121"/>
      <c r="FK18" s="121"/>
      <c r="FL18" s="121"/>
      <c r="FM18" s="121"/>
      <c r="FN18" s="121"/>
      <c r="FO18" s="121"/>
      <c r="FP18" s="121"/>
      <c r="FQ18" s="121"/>
      <c r="FR18" s="121"/>
      <c r="FS18" s="121"/>
      <c r="FT18" s="121"/>
      <c r="FU18" s="121"/>
      <c r="FV18" s="121"/>
      <c r="FW18" s="121"/>
      <c r="FX18" s="121"/>
      <c r="FY18" s="121"/>
      <c r="FZ18" s="121"/>
      <c r="GA18" s="121"/>
      <c r="GB18" s="121"/>
      <c r="GC18" s="121"/>
      <c r="GD18" s="121"/>
      <c r="GE18" s="121"/>
      <c r="GF18" s="121"/>
      <c r="GG18" s="121"/>
      <c r="GH18" s="121"/>
      <c r="GI18" s="121"/>
      <c r="GJ18" s="121"/>
      <c r="GK18" s="121"/>
      <c r="GL18" s="121"/>
      <c r="GM18" s="121"/>
      <c r="GN18" s="121"/>
      <c r="GO18" s="121"/>
      <c r="GP18" s="121"/>
      <c r="GQ18" s="121"/>
      <c r="GR18" s="121"/>
      <c r="GS18" s="121"/>
      <c r="GT18" s="121"/>
      <c r="GU18" s="121"/>
      <c r="GV18" s="121"/>
      <c r="GW18" s="121"/>
      <c r="GX18" s="121"/>
      <c r="GY18" s="121"/>
      <c r="GZ18" s="121"/>
      <c r="HA18" s="121"/>
      <c r="HB18" s="121"/>
      <c r="HC18" s="121"/>
      <c r="HD18" s="121"/>
      <c r="HE18" s="121"/>
      <c r="HF18" s="121"/>
      <c r="HG18" s="121"/>
      <c r="HH18" s="121"/>
      <c r="HI18" s="121"/>
      <c r="HJ18" s="121"/>
      <c r="HK18" s="121"/>
      <c r="HL18" s="121"/>
      <c r="HM18" s="121"/>
      <c r="HN18" s="121"/>
      <c r="HO18" s="121"/>
      <c r="HP18" s="121"/>
      <c r="HQ18" s="121"/>
      <c r="HR18" s="121"/>
      <c r="HS18" s="121"/>
      <c r="HT18" s="121"/>
      <c r="HU18" s="121"/>
      <c r="HV18" s="121"/>
      <c r="HW18" s="121"/>
      <c r="HX18" s="121"/>
      <c r="HY18" s="121"/>
      <c r="HZ18" s="121"/>
      <c r="IA18" s="121"/>
      <c r="IB18" s="121"/>
      <c r="IC18" s="121"/>
      <c r="ID18" s="121"/>
      <c r="IE18" s="121"/>
      <c r="IF18" s="121"/>
      <c r="IG18" s="121"/>
      <c r="IH18" s="121"/>
      <c r="II18" s="121"/>
      <c r="IJ18" s="121"/>
      <c r="IK18" s="121"/>
      <c r="IL18" s="121"/>
      <c r="IM18" s="121"/>
      <c r="IN18" s="121"/>
      <c r="IO18" s="121"/>
      <c r="IP18" s="121"/>
      <c r="IQ18" s="121"/>
      <c r="IR18" s="121"/>
      <c r="IS18" s="121"/>
      <c r="IT18" s="121"/>
      <c r="IU18" s="121"/>
      <c r="IV18" s="121"/>
    </row>
    <row r="19" spans="1:14" ht="25.5">
      <c r="A19" s="126" t="s">
        <v>478</v>
      </c>
      <c r="B19" s="133"/>
      <c r="C19" s="128" t="s">
        <v>114</v>
      </c>
      <c r="D19" s="573"/>
      <c r="E19" s="574"/>
      <c r="F19" s="131"/>
      <c r="G19" s="573"/>
      <c r="H19" s="575"/>
      <c r="I19" s="575"/>
      <c r="J19" s="574"/>
      <c r="K19" s="131">
        <f>K20+K23+K24+K25</f>
        <v>114317568</v>
      </c>
      <c r="L19" s="148">
        <f>F19+K19</f>
        <v>114317568</v>
      </c>
      <c r="M19" s="31"/>
      <c r="N19" s="150">
        <f>SUM(N20:N29)</f>
        <v>114317568</v>
      </c>
    </row>
    <row r="20" spans="1:256" ht="25.5">
      <c r="A20" s="125"/>
      <c r="B20" s="118" t="s">
        <v>480</v>
      </c>
      <c r="C20" s="119" t="s">
        <v>115</v>
      </c>
      <c r="D20" s="565"/>
      <c r="E20" s="563"/>
      <c r="F20" s="564"/>
      <c r="G20" s="565"/>
      <c r="H20" s="566"/>
      <c r="I20" s="566"/>
      <c r="J20" s="563"/>
      <c r="K20" s="564">
        <f>SUM(K21:K22)</f>
        <v>93484500</v>
      </c>
      <c r="L20" s="567">
        <f>SUM(K20,F20)</f>
        <v>93484500</v>
      </c>
      <c r="M20" s="120"/>
      <c r="N20" s="165">
        <f>SUM(L21:L22)</f>
        <v>93484500</v>
      </c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1"/>
      <c r="BD20" s="121"/>
      <c r="BE20" s="121"/>
      <c r="BF20" s="121"/>
      <c r="BG20" s="121"/>
      <c r="BH20" s="121"/>
      <c r="BI20" s="121"/>
      <c r="BJ20" s="121"/>
      <c r="BK20" s="121"/>
      <c r="BL20" s="121"/>
      <c r="BM20" s="121"/>
      <c r="BN20" s="121"/>
      <c r="BO20" s="121"/>
      <c r="BP20" s="121"/>
      <c r="BQ20" s="121"/>
      <c r="BR20" s="121"/>
      <c r="BS20" s="121"/>
      <c r="BT20" s="121"/>
      <c r="BU20" s="121"/>
      <c r="BV20" s="121"/>
      <c r="BW20" s="121"/>
      <c r="BX20" s="121"/>
      <c r="BY20" s="121"/>
      <c r="BZ20" s="121"/>
      <c r="CA20" s="121"/>
      <c r="CB20" s="121"/>
      <c r="CC20" s="121"/>
      <c r="CD20" s="121"/>
      <c r="CE20" s="121"/>
      <c r="CF20" s="121"/>
      <c r="CG20" s="121"/>
      <c r="CH20" s="121"/>
      <c r="CI20" s="121"/>
      <c r="CJ20" s="121"/>
      <c r="CK20" s="121"/>
      <c r="CL20" s="121"/>
      <c r="CM20" s="121"/>
      <c r="CN20" s="121"/>
      <c r="CO20" s="121"/>
      <c r="CP20" s="121"/>
      <c r="CQ20" s="121"/>
      <c r="CR20" s="121"/>
      <c r="CS20" s="121"/>
      <c r="CT20" s="121"/>
      <c r="CU20" s="121"/>
      <c r="CV20" s="121"/>
      <c r="CW20" s="121"/>
      <c r="CX20" s="121"/>
      <c r="CY20" s="121"/>
      <c r="CZ20" s="121"/>
      <c r="DA20" s="121"/>
      <c r="DB20" s="121"/>
      <c r="DC20" s="121"/>
      <c r="DD20" s="121"/>
      <c r="DE20" s="121"/>
      <c r="DF20" s="121"/>
      <c r="DG20" s="121"/>
      <c r="DH20" s="121"/>
      <c r="DI20" s="121"/>
      <c r="DJ20" s="121"/>
      <c r="DK20" s="121"/>
      <c r="DL20" s="121"/>
      <c r="DM20" s="121"/>
      <c r="DN20" s="121"/>
      <c r="DO20" s="121"/>
      <c r="DP20" s="121"/>
      <c r="DQ20" s="121"/>
      <c r="DR20" s="121"/>
      <c r="DS20" s="121"/>
      <c r="DT20" s="121"/>
      <c r="DU20" s="121"/>
      <c r="DV20" s="121"/>
      <c r="DW20" s="121"/>
      <c r="DX20" s="121"/>
      <c r="DY20" s="121"/>
      <c r="DZ20" s="121"/>
      <c r="EA20" s="121"/>
      <c r="EB20" s="121"/>
      <c r="EC20" s="121"/>
      <c r="ED20" s="121"/>
      <c r="EE20" s="121"/>
      <c r="EF20" s="121"/>
      <c r="EG20" s="121"/>
      <c r="EH20" s="121"/>
      <c r="EI20" s="121"/>
      <c r="EJ20" s="121"/>
      <c r="EK20" s="121"/>
      <c r="EL20" s="121"/>
      <c r="EM20" s="121"/>
      <c r="EN20" s="121"/>
      <c r="EO20" s="121"/>
      <c r="EP20" s="121"/>
      <c r="EQ20" s="121"/>
      <c r="ER20" s="121"/>
      <c r="ES20" s="121"/>
      <c r="ET20" s="121"/>
      <c r="EU20" s="121"/>
      <c r="EV20" s="121"/>
      <c r="EW20" s="121"/>
      <c r="EX20" s="121"/>
      <c r="EY20" s="121"/>
      <c r="EZ20" s="121"/>
      <c r="FA20" s="121"/>
      <c r="FB20" s="121"/>
      <c r="FC20" s="121"/>
      <c r="FD20" s="121"/>
      <c r="FE20" s="121"/>
      <c r="FF20" s="121"/>
      <c r="FG20" s="121"/>
      <c r="FH20" s="121"/>
      <c r="FI20" s="121"/>
      <c r="FJ20" s="121"/>
      <c r="FK20" s="121"/>
      <c r="FL20" s="121"/>
      <c r="FM20" s="121"/>
      <c r="FN20" s="121"/>
      <c r="FO20" s="121"/>
      <c r="FP20" s="121"/>
      <c r="FQ20" s="121"/>
      <c r="FR20" s="121"/>
      <c r="FS20" s="121"/>
      <c r="FT20" s="121"/>
      <c r="FU20" s="121"/>
      <c r="FV20" s="121"/>
      <c r="FW20" s="121"/>
      <c r="FX20" s="121"/>
      <c r="FY20" s="121"/>
      <c r="FZ20" s="121"/>
      <c r="GA20" s="121"/>
      <c r="GB20" s="121"/>
      <c r="GC20" s="121"/>
      <c r="GD20" s="121"/>
      <c r="GE20" s="121"/>
      <c r="GF20" s="121"/>
      <c r="GG20" s="121"/>
      <c r="GH20" s="121"/>
      <c r="GI20" s="121"/>
      <c r="GJ20" s="121"/>
      <c r="GK20" s="121"/>
      <c r="GL20" s="121"/>
      <c r="GM20" s="121"/>
      <c r="GN20" s="121"/>
      <c r="GO20" s="121"/>
      <c r="GP20" s="121"/>
      <c r="GQ20" s="121"/>
      <c r="GR20" s="121"/>
      <c r="GS20" s="121"/>
      <c r="GT20" s="121"/>
      <c r="GU20" s="121"/>
      <c r="GV20" s="121"/>
      <c r="GW20" s="121"/>
      <c r="GX20" s="121"/>
      <c r="GY20" s="121"/>
      <c r="GZ20" s="121"/>
      <c r="HA20" s="121"/>
      <c r="HB20" s="121"/>
      <c r="HC20" s="121"/>
      <c r="HD20" s="121"/>
      <c r="HE20" s="121"/>
      <c r="HF20" s="121"/>
      <c r="HG20" s="121"/>
      <c r="HH20" s="121"/>
      <c r="HI20" s="121"/>
      <c r="HJ20" s="121"/>
      <c r="HK20" s="121"/>
      <c r="HL20" s="121"/>
      <c r="HM20" s="121"/>
      <c r="HN20" s="121"/>
      <c r="HO20" s="121"/>
      <c r="HP20" s="121"/>
      <c r="HQ20" s="121"/>
      <c r="HR20" s="121"/>
      <c r="HS20" s="121"/>
      <c r="HT20" s="121"/>
      <c r="HU20" s="121"/>
      <c r="HV20" s="121"/>
      <c r="HW20" s="121"/>
      <c r="HX20" s="121"/>
      <c r="HY20" s="121"/>
      <c r="HZ20" s="121"/>
      <c r="IA20" s="121"/>
      <c r="IB20" s="121"/>
      <c r="IC20" s="121"/>
      <c r="ID20" s="121"/>
      <c r="IE20" s="121"/>
      <c r="IF20" s="121"/>
      <c r="IG20" s="121"/>
      <c r="IH20" s="121"/>
      <c r="II20" s="121"/>
      <c r="IJ20" s="121"/>
      <c r="IK20" s="121"/>
      <c r="IL20" s="121"/>
      <c r="IM20" s="121"/>
      <c r="IN20" s="121"/>
      <c r="IO20" s="121"/>
      <c r="IP20" s="121"/>
      <c r="IQ20" s="121"/>
      <c r="IR20" s="121"/>
      <c r="IS20" s="121"/>
      <c r="IT20" s="121"/>
      <c r="IU20" s="121"/>
      <c r="IV20" s="121"/>
    </row>
    <row r="21" spans="1:14" ht="12.75">
      <c r="A21" s="30"/>
      <c r="B21" s="115" t="s">
        <v>784</v>
      </c>
      <c r="C21" s="116" t="s">
        <v>481</v>
      </c>
      <c r="D21" s="568"/>
      <c r="E21" s="569"/>
      <c r="F21" s="570"/>
      <c r="G21" s="576">
        <v>16.1</v>
      </c>
      <c r="H21" s="571">
        <v>4419000</v>
      </c>
      <c r="I21" s="577">
        <v>14.3</v>
      </c>
      <c r="J21" s="571">
        <v>4419000</v>
      </c>
      <c r="K21" s="570">
        <f>47430600+21063900</f>
        <v>68494500</v>
      </c>
      <c r="L21" s="572">
        <f aca="true" t="shared" si="1" ref="L21:L48">F21+K21</f>
        <v>68494500</v>
      </c>
      <c r="M21" s="31"/>
      <c r="N21" s="165"/>
    </row>
    <row r="22" spans="1:14" ht="25.5">
      <c r="A22" s="30"/>
      <c r="B22" s="115" t="s">
        <v>785</v>
      </c>
      <c r="C22" s="153" t="s">
        <v>601</v>
      </c>
      <c r="D22" s="568"/>
      <c r="E22" s="569"/>
      <c r="F22" s="570"/>
      <c r="G22" s="568">
        <v>12</v>
      </c>
      <c r="H22" s="571">
        <v>2205000</v>
      </c>
      <c r="I22" s="571">
        <v>10</v>
      </c>
      <c r="J22" s="569">
        <v>2205000</v>
      </c>
      <c r="K22" s="570">
        <f>17640000+7350000</f>
        <v>24990000</v>
      </c>
      <c r="L22" s="572">
        <f t="shared" si="1"/>
        <v>24990000</v>
      </c>
      <c r="M22" s="31"/>
      <c r="N22" s="165"/>
    </row>
    <row r="23" spans="1:256" ht="12.75">
      <c r="A23" s="117"/>
      <c r="B23" s="118" t="s">
        <v>482</v>
      </c>
      <c r="C23" s="122" t="s">
        <v>483</v>
      </c>
      <c r="D23" s="578"/>
      <c r="E23" s="579"/>
      <c r="F23" s="564"/>
      <c r="G23" s="580">
        <v>178</v>
      </c>
      <c r="H23" s="566">
        <v>81700</v>
      </c>
      <c r="I23" s="581">
        <v>160</v>
      </c>
      <c r="J23" s="563">
        <v>81700</v>
      </c>
      <c r="K23" s="564">
        <f>9695067+4357333</f>
        <v>14052400</v>
      </c>
      <c r="L23" s="567">
        <f t="shared" si="1"/>
        <v>14052400</v>
      </c>
      <c r="M23" s="120"/>
      <c r="N23" s="165">
        <f>SUM(L23)</f>
        <v>14052400</v>
      </c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1"/>
      <c r="BB23" s="121"/>
      <c r="BC23" s="121"/>
      <c r="BD23" s="121"/>
      <c r="BE23" s="121"/>
      <c r="BF23" s="121"/>
      <c r="BG23" s="121"/>
      <c r="BH23" s="121"/>
      <c r="BI23" s="121"/>
      <c r="BJ23" s="121"/>
      <c r="BK23" s="121"/>
      <c r="BL23" s="121"/>
      <c r="BM23" s="121"/>
      <c r="BN23" s="121"/>
      <c r="BO23" s="121"/>
      <c r="BP23" s="121"/>
      <c r="BQ23" s="121"/>
      <c r="BR23" s="121"/>
      <c r="BS23" s="121"/>
      <c r="BT23" s="121"/>
      <c r="BU23" s="121"/>
      <c r="BV23" s="121"/>
      <c r="BW23" s="121"/>
      <c r="BX23" s="121"/>
      <c r="BY23" s="121"/>
      <c r="BZ23" s="121"/>
      <c r="CA23" s="121"/>
      <c r="CB23" s="121"/>
      <c r="CC23" s="121"/>
      <c r="CD23" s="121"/>
      <c r="CE23" s="121"/>
      <c r="CF23" s="121"/>
      <c r="CG23" s="121"/>
      <c r="CH23" s="121"/>
      <c r="CI23" s="121"/>
      <c r="CJ23" s="121"/>
      <c r="CK23" s="121"/>
      <c r="CL23" s="121"/>
      <c r="CM23" s="121"/>
      <c r="CN23" s="121"/>
      <c r="CO23" s="121"/>
      <c r="CP23" s="121"/>
      <c r="CQ23" s="121"/>
      <c r="CR23" s="121"/>
      <c r="CS23" s="121"/>
      <c r="CT23" s="121"/>
      <c r="CU23" s="121"/>
      <c r="CV23" s="121"/>
      <c r="CW23" s="121"/>
      <c r="CX23" s="121"/>
      <c r="CY23" s="121"/>
      <c r="CZ23" s="121"/>
      <c r="DA23" s="121"/>
      <c r="DB23" s="121"/>
      <c r="DC23" s="121"/>
      <c r="DD23" s="121"/>
      <c r="DE23" s="121"/>
      <c r="DF23" s="121"/>
      <c r="DG23" s="121"/>
      <c r="DH23" s="121"/>
      <c r="DI23" s="121"/>
      <c r="DJ23" s="121"/>
      <c r="DK23" s="121"/>
      <c r="DL23" s="121"/>
      <c r="DM23" s="121"/>
      <c r="DN23" s="121"/>
      <c r="DO23" s="121"/>
      <c r="DP23" s="121"/>
      <c r="DQ23" s="121"/>
      <c r="DR23" s="121"/>
      <c r="DS23" s="121"/>
      <c r="DT23" s="121"/>
      <c r="DU23" s="121"/>
      <c r="DV23" s="121"/>
      <c r="DW23" s="121"/>
      <c r="DX23" s="121"/>
      <c r="DY23" s="121"/>
      <c r="DZ23" s="121"/>
      <c r="EA23" s="121"/>
      <c r="EB23" s="121"/>
      <c r="EC23" s="121"/>
      <c r="ED23" s="121"/>
      <c r="EE23" s="121"/>
      <c r="EF23" s="121"/>
      <c r="EG23" s="121"/>
      <c r="EH23" s="121"/>
      <c r="EI23" s="121"/>
      <c r="EJ23" s="121"/>
      <c r="EK23" s="121"/>
      <c r="EL23" s="121"/>
      <c r="EM23" s="121"/>
      <c r="EN23" s="121"/>
      <c r="EO23" s="121"/>
      <c r="EP23" s="121"/>
      <c r="EQ23" s="121"/>
      <c r="ER23" s="121"/>
      <c r="ES23" s="121"/>
      <c r="ET23" s="121"/>
      <c r="EU23" s="121"/>
      <c r="EV23" s="121"/>
      <c r="EW23" s="121"/>
      <c r="EX23" s="121"/>
      <c r="EY23" s="121"/>
      <c r="EZ23" s="121"/>
      <c r="FA23" s="121"/>
      <c r="FB23" s="121"/>
      <c r="FC23" s="121"/>
      <c r="FD23" s="121"/>
      <c r="FE23" s="121"/>
      <c r="FF23" s="121"/>
      <c r="FG23" s="121"/>
      <c r="FH23" s="121"/>
      <c r="FI23" s="121"/>
      <c r="FJ23" s="121"/>
      <c r="FK23" s="121"/>
      <c r="FL23" s="121"/>
      <c r="FM23" s="121"/>
      <c r="FN23" s="121"/>
      <c r="FO23" s="121"/>
      <c r="FP23" s="121"/>
      <c r="FQ23" s="121"/>
      <c r="FR23" s="121"/>
      <c r="FS23" s="121"/>
      <c r="FT23" s="121"/>
      <c r="FU23" s="121"/>
      <c r="FV23" s="121"/>
      <c r="FW23" s="121"/>
      <c r="FX23" s="121"/>
      <c r="FY23" s="121"/>
      <c r="FZ23" s="121"/>
      <c r="GA23" s="121"/>
      <c r="GB23" s="121"/>
      <c r="GC23" s="121"/>
      <c r="GD23" s="121"/>
      <c r="GE23" s="121"/>
      <c r="GF23" s="121"/>
      <c r="GG23" s="121"/>
      <c r="GH23" s="121"/>
      <c r="GI23" s="121"/>
      <c r="GJ23" s="121"/>
      <c r="GK23" s="121"/>
      <c r="GL23" s="121"/>
      <c r="GM23" s="121"/>
      <c r="GN23" s="121"/>
      <c r="GO23" s="121"/>
      <c r="GP23" s="121"/>
      <c r="GQ23" s="121"/>
      <c r="GR23" s="121"/>
      <c r="GS23" s="121"/>
      <c r="GT23" s="121"/>
      <c r="GU23" s="121"/>
      <c r="GV23" s="121"/>
      <c r="GW23" s="121"/>
      <c r="GX23" s="121"/>
      <c r="GY23" s="121"/>
      <c r="GZ23" s="121"/>
      <c r="HA23" s="121"/>
      <c r="HB23" s="121"/>
      <c r="HC23" s="121"/>
      <c r="HD23" s="121"/>
      <c r="HE23" s="121"/>
      <c r="HF23" s="121"/>
      <c r="HG23" s="121"/>
      <c r="HH23" s="121"/>
      <c r="HI23" s="121"/>
      <c r="HJ23" s="121"/>
      <c r="HK23" s="121"/>
      <c r="HL23" s="121"/>
      <c r="HM23" s="121"/>
      <c r="HN23" s="121"/>
      <c r="HO23" s="121"/>
      <c r="HP23" s="121"/>
      <c r="HQ23" s="121"/>
      <c r="HR23" s="121"/>
      <c r="HS23" s="121"/>
      <c r="HT23" s="121"/>
      <c r="HU23" s="121"/>
      <c r="HV23" s="121"/>
      <c r="HW23" s="121"/>
      <c r="HX23" s="121"/>
      <c r="HY23" s="121"/>
      <c r="HZ23" s="121"/>
      <c r="IA23" s="121"/>
      <c r="IB23" s="121"/>
      <c r="IC23" s="121"/>
      <c r="ID23" s="121"/>
      <c r="IE23" s="121"/>
      <c r="IF23" s="121"/>
      <c r="IG23" s="121"/>
      <c r="IH23" s="121"/>
      <c r="II23" s="121"/>
      <c r="IJ23" s="121"/>
      <c r="IK23" s="121"/>
      <c r="IL23" s="121"/>
      <c r="IM23" s="121"/>
      <c r="IN23" s="121"/>
      <c r="IO23" s="121"/>
      <c r="IP23" s="121"/>
      <c r="IQ23" s="121"/>
      <c r="IR23" s="121"/>
      <c r="IS23" s="121"/>
      <c r="IT23" s="121"/>
      <c r="IU23" s="121"/>
      <c r="IV23" s="121"/>
    </row>
    <row r="24" spans="1:256" ht="12.75">
      <c r="A24" s="117"/>
      <c r="B24" s="118" t="s">
        <v>652</v>
      </c>
      <c r="C24" s="122" t="s">
        <v>653</v>
      </c>
      <c r="D24" s="582"/>
      <c r="E24" s="583"/>
      <c r="F24" s="564"/>
      <c r="G24" s="580"/>
      <c r="H24" s="566"/>
      <c r="I24" s="581"/>
      <c r="J24" s="563"/>
      <c r="K24" s="564">
        <v>0</v>
      </c>
      <c r="L24" s="567">
        <f>F24+K24</f>
        <v>0</v>
      </c>
      <c r="M24" s="120"/>
      <c r="N24" s="165">
        <f>SUM(L24)</f>
        <v>0</v>
      </c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1"/>
      <c r="BC24" s="121"/>
      <c r="BD24" s="121"/>
      <c r="BE24" s="121"/>
      <c r="BF24" s="121"/>
      <c r="BG24" s="121"/>
      <c r="BH24" s="121"/>
      <c r="BI24" s="121"/>
      <c r="BJ24" s="121"/>
      <c r="BK24" s="121"/>
      <c r="BL24" s="121"/>
      <c r="BM24" s="121"/>
      <c r="BN24" s="121"/>
      <c r="BO24" s="121"/>
      <c r="BP24" s="121"/>
      <c r="BQ24" s="121"/>
      <c r="BR24" s="121"/>
      <c r="BS24" s="121"/>
      <c r="BT24" s="121"/>
      <c r="BU24" s="121"/>
      <c r="BV24" s="121"/>
      <c r="BW24" s="121"/>
      <c r="BX24" s="121"/>
      <c r="BY24" s="121"/>
      <c r="BZ24" s="121"/>
      <c r="CA24" s="121"/>
      <c r="CB24" s="121"/>
      <c r="CC24" s="121"/>
      <c r="CD24" s="121"/>
      <c r="CE24" s="121"/>
      <c r="CF24" s="121"/>
      <c r="CG24" s="121"/>
      <c r="CH24" s="121"/>
      <c r="CI24" s="121"/>
      <c r="CJ24" s="121"/>
      <c r="CK24" s="121"/>
      <c r="CL24" s="121"/>
      <c r="CM24" s="121"/>
      <c r="CN24" s="121"/>
      <c r="CO24" s="121"/>
      <c r="CP24" s="121"/>
      <c r="CQ24" s="121"/>
      <c r="CR24" s="121"/>
      <c r="CS24" s="121"/>
      <c r="CT24" s="121"/>
      <c r="CU24" s="121"/>
      <c r="CV24" s="121"/>
      <c r="CW24" s="121"/>
      <c r="CX24" s="121"/>
      <c r="CY24" s="121"/>
      <c r="CZ24" s="121"/>
      <c r="DA24" s="121"/>
      <c r="DB24" s="121"/>
      <c r="DC24" s="121"/>
      <c r="DD24" s="121"/>
      <c r="DE24" s="121"/>
      <c r="DF24" s="121"/>
      <c r="DG24" s="121"/>
      <c r="DH24" s="121"/>
      <c r="DI24" s="121"/>
      <c r="DJ24" s="121"/>
      <c r="DK24" s="121"/>
      <c r="DL24" s="121"/>
      <c r="DM24" s="121"/>
      <c r="DN24" s="121"/>
      <c r="DO24" s="121"/>
      <c r="DP24" s="121"/>
      <c r="DQ24" s="121"/>
      <c r="DR24" s="121"/>
      <c r="DS24" s="121"/>
      <c r="DT24" s="121"/>
      <c r="DU24" s="121"/>
      <c r="DV24" s="121"/>
      <c r="DW24" s="121"/>
      <c r="DX24" s="121"/>
      <c r="DY24" s="121"/>
      <c r="DZ24" s="121"/>
      <c r="EA24" s="121"/>
      <c r="EB24" s="121"/>
      <c r="EC24" s="121"/>
      <c r="ED24" s="121"/>
      <c r="EE24" s="121"/>
      <c r="EF24" s="121"/>
      <c r="EG24" s="121"/>
      <c r="EH24" s="121"/>
      <c r="EI24" s="121"/>
      <c r="EJ24" s="121"/>
      <c r="EK24" s="121"/>
      <c r="EL24" s="121"/>
      <c r="EM24" s="121"/>
      <c r="EN24" s="121"/>
      <c r="EO24" s="121"/>
      <c r="EP24" s="121"/>
      <c r="EQ24" s="121"/>
      <c r="ER24" s="121"/>
      <c r="ES24" s="121"/>
      <c r="ET24" s="121"/>
      <c r="EU24" s="121"/>
      <c r="EV24" s="121"/>
      <c r="EW24" s="121"/>
      <c r="EX24" s="121"/>
      <c r="EY24" s="121"/>
      <c r="EZ24" s="121"/>
      <c r="FA24" s="121"/>
      <c r="FB24" s="121"/>
      <c r="FC24" s="121"/>
      <c r="FD24" s="121"/>
      <c r="FE24" s="121"/>
      <c r="FF24" s="121"/>
      <c r="FG24" s="121"/>
      <c r="FH24" s="121"/>
      <c r="FI24" s="121"/>
      <c r="FJ24" s="121"/>
      <c r="FK24" s="121"/>
      <c r="FL24" s="121"/>
      <c r="FM24" s="121"/>
      <c r="FN24" s="121"/>
      <c r="FO24" s="121"/>
      <c r="FP24" s="121"/>
      <c r="FQ24" s="121"/>
      <c r="FR24" s="121"/>
      <c r="FS24" s="121"/>
      <c r="FT24" s="121"/>
      <c r="FU24" s="121"/>
      <c r="FV24" s="121"/>
      <c r="FW24" s="121"/>
      <c r="FX24" s="121"/>
      <c r="FY24" s="121"/>
      <c r="FZ24" s="121"/>
      <c r="GA24" s="121"/>
      <c r="GB24" s="121"/>
      <c r="GC24" s="121"/>
      <c r="GD24" s="121"/>
      <c r="GE24" s="121"/>
      <c r="GF24" s="121"/>
      <c r="GG24" s="121"/>
      <c r="GH24" s="121"/>
      <c r="GI24" s="121"/>
      <c r="GJ24" s="121"/>
      <c r="GK24" s="121"/>
      <c r="GL24" s="121"/>
      <c r="GM24" s="121"/>
      <c r="GN24" s="121"/>
      <c r="GO24" s="121"/>
      <c r="GP24" s="121"/>
      <c r="GQ24" s="121"/>
      <c r="GR24" s="121"/>
      <c r="GS24" s="121"/>
      <c r="GT24" s="121"/>
      <c r="GU24" s="121"/>
      <c r="GV24" s="121"/>
      <c r="GW24" s="121"/>
      <c r="GX24" s="121"/>
      <c r="GY24" s="121"/>
      <c r="GZ24" s="121"/>
      <c r="HA24" s="121"/>
      <c r="HB24" s="121"/>
      <c r="HC24" s="121"/>
      <c r="HD24" s="121"/>
      <c r="HE24" s="121"/>
      <c r="HF24" s="121"/>
      <c r="HG24" s="121"/>
      <c r="HH24" s="121"/>
      <c r="HI24" s="121"/>
      <c r="HJ24" s="121"/>
      <c r="HK24" s="121"/>
      <c r="HL24" s="121"/>
      <c r="HM24" s="121"/>
      <c r="HN24" s="121"/>
      <c r="HO24" s="121"/>
      <c r="HP24" s="121"/>
      <c r="HQ24" s="121"/>
      <c r="HR24" s="121"/>
      <c r="HS24" s="121"/>
      <c r="HT24" s="121"/>
      <c r="HU24" s="121"/>
      <c r="HV24" s="121"/>
      <c r="HW24" s="121"/>
      <c r="HX24" s="121"/>
      <c r="HY24" s="121"/>
      <c r="HZ24" s="121"/>
      <c r="IA24" s="121"/>
      <c r="IB24" s="121"/>
      <c r="IC24" s="121"/>
      <c r="ID24" s="121"/>
      <c r="IE24" s="121"/>
      <c r="IF24" s="121"/>
      <c r="IG24" s="121"/>
      <c r="IH24" s="121"/>
      <c r="II24" s="121"/>
      <c r="IJ24" s="121"/>
      <c r="IK24" s="121"/>
      <c r="IL24" s="121"/>
      <c r="IM24" s="121"/>
      <c r="IN24" s="121"/>
      <c r="IO24" s="121"/>
      <c r="IP24" s="121"/>
      <c r="IQ24" s="121"/>
      <c r="IR24" s="121"/>
      <c r="IS24" s="121"/>
      <c r="IT24" s="121"/>
      <c r="IU24" s="121"/>
      <c r="IV24" s="121"/>
    </row>
    <row r="25" spans="1:256" ht="25.5">
      <c r="A25" s="117"/>
      <c r="B25" s="118" t="s">
        <v>543</v>
      </c>
      <c r="C25" s="119" t="s">
        <v>544</v>
      </c>
      <c r="D25" s="578"/>
      <c r="E25" s="579"/>
      <c r="F25" s="564"/>
      <c r="G25" s="580"/>
      <c r="H25" s="566"/>
      <c r="I25" s="581"/>
      <c r="J25" s="563"/>
      <c r="K25" s="564">
        <f>SUM(K26:K29)</f>
        <v>6780668</v>
      </c>
      <c r="L25" s="567">
        <f>F25+K25</f>
        <v>6780668</v>
      </c>
      <c r="M25" s="120"/>
      <c r="N25" s="860">
        <f>SUM(L26:L29)</f>
        <v>6780668</v>
      </c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21"/>
      <c r="BC25" s="121"/>
      <c r="BD25" s="121"/>
      <c r="BE25" s="121"/>
      <c r="BF25" s="121"/>
      <c r="BG25" s="121"/>
      <c r="BH25" s="121"/>
      <c r="BI25" s="121"/>
      <c r="BJ25" s="121"/>
      <c r="BK25" s="121"/>
      <c r="BL25" s="121"/>
      <c r="BM25" s="121"/>
      <c r="BN25" s="121"/>
      <c r="BO25" s="121"/>
      <c r="BP25" s="121"/>
      <c r="BQ25" s="121"/>
      <c r="BR25" s="121"/>
      <c r="BS25" s="121"/>
      <c r="BT25" s="121"/>
      <c r="BU25" s="121"/>
      <c r="BV25" s="121"/>
      <c r="BW25" s="121"/>
      <c r="BX25" s="121"/>
      <c r="BY25" s="121"/>
      <c r="BZ25" s="121"/>
      <c r="CA25" s="121"/>
      <c r="CB25" s="121"/>
      <c r="CC25" s="121"/>
      <c r="CD25" s="121"/>
      <c r="CE25" s="121"/>
      <c r="CF25" s="121"/>
      <c r="CG25" s="121"/>
      <c r="CH25" s="121"/>
      <c r="CI25" s="121"/>
      <c r="CJ25" s="121"/>
      <c r="CK25" s="121"/>
      <c r="CL25" s="121"/>
      <c r="CM25" s="121"/>
      <c r="CN25" s="121"/>
      <c r="CO25" s="121"/>
      <c r="CP25" s="121"/>
      <c r="CQ25" s="121"/>
      <c r="CR25" s="121"/>
      <c r="CS25" s="121"/>
      <c r="CT25" s="121"/>
      <c r="CU25" s="121"/>
      <c r="CV25" s="121"/>
      <c r="CW25" s="121"/>
      <c r="CX25" s="121"/>
      <c r="CY25" s="121"/>
      <c r="CZ25" s="121"/>
      <c r="DA25" s="121"/>
      <c r="DB25" s="121"/>
      <c r="DC25" s="121"/>
      <c r="DD25" s="121"/>
      <c r="DE25" s="121"/>
      <c r="DF25" s="121"/>
      <c r="DG25" s="121"/>
      <c r="DH25" s="121"/>
      <c r="DI25" s="121"/>
      <c r="DJ25" s="121"/>
      <c r="DK25" s="121"/>
      <c r="DL25" s="121"/>
      <c r="DM25" s="121"/>
      <c r="DN25" s="121"/>
      <c r="DO25" s="121"/>
      <c r="DP25" s="121"/>
      <c r="DQ25" s="121"/>
      <c r="DR25" s="121"/>
      <c r="DS25" s="121"/>
      <c r="DT25" s="121"/>
      <c r="DU25" s="121"/>
      <c r="DV25" s="121"/>
      <c r="DW25" s="121"/>
      <c r="DX25" s="121"/>
      <c r="DY25" s="121"/>
      <c r="DZ25" s="121"/>
      <c r="EA25" s="121"/>
      <c r="EB25" s="121"/>
      <c r="EC25" s="121"/>
      <c r="ED25" s="121"/>
      <c r="EE25" s="121"/>
      <c r="EF25" s="121"/>
      <c r="EG25" s="121"/>
      <c r="EH25" s="121"/>
      <c r="EI25" s="121"/>
      <c r="EJ25" s="121"/>
      <c r="EK25" s="121"/>
      <c r="EL25" s="121"/>
      <c r="EM25" s="121"/>
      <c r="EN25" s="121"/>
      <c r="EO25" s="121"/>
      <c r="EP25" s="121"/>
      <c r="EQ25" s="121"/>
      <c r="ER25" s="121"/>
      <c r="ES25" s="121"/>
      <c r="ET25" s="121"/>
      <c r="EU25" s="121"/>
      <c r="EV25" s="121"/>
      <c r="EW25" s="121"/>
      <c r="EX25" s="121"/>
      <c r="EY25" s="121"/>
      <c r="EZ25" s="121"/>
      <c r="FA25" s="121"/>
      <c r="FB25" s="121"/>
      <c r="FC25" s="121"/>
      <c r="FD25" s="121"/>
      <c r="FE25" s="121"/>
      <c r="FF25" s="121"/>
      <c r="FG25" s="121"/>
      <c r="FH25" s="121"/>
      <c r="FI25" s="121"/>
      <c r="FJ25" s="121"/>
      <c r="FK25" s="121"/>
      <c r="FL25" s="121"/>
      <c r="FM25" s="121"/>
      <c r="FN25" s="121"/>
      <c r="FO25" s="121"/>
      <c r="FP25" s="121"/>
      <c r="FQ25" s="121"/>
      <c r="FR25" s="121"/>
      <c r="FS25" s="121"/>
      <c r="FT25" s="121"/>
      <c r="FU25" s="121"/>
      <c r="FV25" s="121"/>
      <c r="FW25" s="121"/>
      <c r="FX25" s="121"/>
      <c r="FY25" s="121"/>
      <c r="FZ25" s="121"/>
      <c r="GA25" s="121"/>
      <c r="GB25" s="121"/>
      <c r="GC25" s="121"/>
      <c r="GD25" s="121"/>
      <c r="GE25" s="121"/>
      <c r="GF25" s="121"/>
      <c r="GG25" s="121"/>
      <c r="GH25" s="121"/>
      <c r="GI25" s="121"/>
      <c r="GJ25" s="121"/>
      <c r="GK25" s="121"/>
      <c r="GL25" s="121"/>
      <c r="GM25" s="121"/>
      <c r="GN25" s="121"/>
      <c r="GO25" s="121"/>
      <c r="GP25" s="121"/>
      <c r="GQ25" s="121"/>
      <c r="GR25" s="121"/>
      <c r="GS25" s="121"/>
      <c r="GT25" s="121"/>
      <c r="GU25" s="121"/>
      <c r="GV25" s="121"/>
      <c r="GW25" s="121"/>
      <c r="GX25" s="121"/>
      <c r="GY25" s="121"/>
      <c r="GZ25" s="121"/>
      <c r="HA25" s="121"/>
      <c r="HB25" s="121"/>
      <c r="HC25" s="121"/>
      <c r="HD25" s="121"/>
      <c r="HE25" s="121"/>
      <c r="HF25" s="121"/>
      <c r="HG25" s="121"/>
      <c r="HH25" s="121"/>
      <c r="HI25" s="121"/>
      <c r="HJ25" s="121"/>
      <c r="HK25" s="121"/>
      <c r="HL25" s="121"/>
      <c r="HM25" s="121"/>
      <c r="HN25" s="121"/>
      <c r="HO25" s="121"/>
      <c r="HP25" s="121"/>
      <c r="HQ25" s="121"/>
      <c r="HR25" s="121"/>
      <c r="HS25" s="121"/>
      <c r="HT25" s="121"/>
      <c r="HU25" s="121"/>
      <c r="HV25" s="121"/>
      <c r="HW25" s="121"/>
      <c r="HX25" s="121"/>
      <c r="HY25" s="121"/>
      <c r="HZ25" s="121"/>
      <c r="IA25" s="121"/>
      <c r="IB25" s="121"/>
      <c r="IC25" s="121"/>
      <c r="ID25" s="121"/>
      <c r="IE25" s="121"/>
      <c r="IF25" s="121"/>
      <c r="IG25" s="121"/>
      <c r="IH25" s="121"/>
      <c r="II25" s="121"/>
      <c r="IJ25" s="121"/>
      <c r="IK25" s="121"/>
      <c r="IL25" s="121"/>
      <c r="IM25" s="121"/>
      <c r="IN25" s="121"/>
      <c r="IO25" s="121"/>
      <c r="IP25" s="121"/>
      <c r="IQ25" s="121"/>
      <c r="IR25" s="121"/>
      <c r="IS25" s="121"/>
      <c r="IT25" s="121"/>
      <c r="IU25" s="121"/>
      <c r="IV25" s="121"/>
    </row>
    <row r="26" spans="1:14" ht="25.5">
      <c r="A26" s="30"/>
      <c r="B26" s="115" t="s">
        <v>654</v>
      </c>
      <c r="C26" s="153" t="s">
        <v>786</v>
      </c>
      <c r="D26" s="568"/>
      <c r="E26" s="569"/>
      <c r="F26" s="570"/>
      <c r="G26" s="568">
        <v>9</v>
      </c>
      <c r="H26" s="571">
        <v>401000</v>
      </c>
      <c r="I26" s="571"/>
      <c r="J26" s="569"/>
      <c r="K26" s="570">
        <f>G26*H26</f>
        <v>3609000</v>
      </c>
      <c r="L26" s="572">
        <f>SUM(K26)</f>
        <v>3609000</v>
      </c>
      <c r="M26" s="31"/>
      <c r="N26" s="165"/>
    </row>
    <row r="27" spans="1:14" ht="38.25">
      <c r="A27" s="30"/>
      <c r="B27" s="115"/>
      <c r="C27" s="153" t="s">
        <v>886</v>
      </c>
      <c r="D27" s="568"/>
      <c r="E27" s="569"/>
      <c r="F27" s="570"/>
      <c r="G27" s="568">
        <v>1</v>
      </c>
      <c r="H27" s="571">
        <v>367584</v>
      </c>
      <c r="I27" s="571"/>
      <c r="J27" s="569"/>
      <c r="K27" s="570">
        <f>G27*H27</f>
        <v>367584</v>
      </c>
      <c r="L27" s="572">
        <f>SUM(K27)</f>
        <v>367584</v>
      </c>
      <c r="M27" s="31"/>
      <c r="N27" s="165"/>
    </row>
    <row r="28" spans="1:14" ht="25.5">
      <c r="A28" s="30"/>
      <c r="B28" s="115" t="s">
        <v>655</v>
      </c>
      <c r="C28" s="153" t="s">
        <v>787</v>
      </c>
      <c r="D28" s="568"/>
      <c r="E28" s="569"/>
      <c r="F28" s="570"/>
      <c r="G28" s="568">
        <v>1</v>
      </c>
      <c r="H28" s="571">
        <v>1463000</v>
      </c>
      <c r="I28" s="571"/>
      <c r="J28" s="569"/>
      <c r="K28" s="570">
        <f>G28*H28</f>
        <v>1463000</v>
      </c>
      <c r="L28" s="572">
        <f>SUM(K28)</f>
        <v>1463000</v>
      </c>
      <c r="M28" s="31"/>
      <c r="N28" s="165"/>
    </row>
    <row r="29" spans="1:14" ht="38.25">
      <c r="A29" s="30"/>
      <c r="B29" s="115"/>
      <c r="C29" s="153" t="s">
        <v>887</v>
      </c>
      <c r="D29" s="568"/>
      <c r="E29" s="569"/>
      <c r="F29" s="570"/>
      <c r="G29" s="568">
        <v>1</v>
      </c>
      <c r="H29" s="571">
        <v>1341084</v>
      </c>
      <c r="I29" s="571"/>
      <c r="J29" s="569"/>
      <c r="K29" s="570">
        <f>G29*H29</f>
        <v>1341084</v>
      </c>
      <c r="L29" s="572">
        <f>SUM(K29)</f>
        <v>1341084</v>
      </c>
      <c r="M29" s="31"/>
      <c r="N29" s="165"/>
    </row>
    <row r="30" spans="1:256" ht="25.5">
      <c r="A30" s="126" t="s">
        <v>484</v>
      </c>
      <c r="B30" s="134"/>
      <c r="C30" s="128" t="s">
        <v>116</v>
      </c>
      <c r="D30" s="129"/>
      <c r="E30" s="130"/>
      <c r="F30" s="131">
        <f>SUM(F31:F33,F36,F39,F40)</f>
        <v>135673125</v>
      </c>
      <c r="G30" s="584"/>
      <c r="H30" s="132"/>
      <c r="I30" s="585"/>
      <c r="J30" s="130"/>
      <c r="K30" s="131">
        <f>SUM(K31:K33,K36,K39,K40)</f>
        <v>39261584</v>
      </c>
      <c r="L30" s="131">
        <f>SUM(L31:L33,L36,L39,L40)</f>
        <v>174934709</v>
      </c>
      <c r="M30" s="120"/>
      <c r="N30" s="150">
        <f>SUM(N31:N33)+N36+N39+N40</f>
        <v>174934709</v>
      </c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  <c r="AL30" s="121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  <c r="AX30" s="121"/>
      <c r="AY30" s="121"/>
      <c r="AZ30" s="121"/>
      <c r="BA30" s="121"/>
      <c r="BB30" s="121"/>
      <c r="BC30" s="121"/>
      <c r="BD30" s="121"/>
      <c r="BE30" s="121"/>
      <c r="BF30" s="121"/>
      <c r="BG30" s="121"/>
      <c r="BH30" s="121"/>
      <c r="BI30" s="121"/>
      <c r="BJ30" s="121"/>
      <c r="BK30" s="121"/>
      <c r="BL30" s="121"/>
      <c r="BM30" s="121"/>
      <c r="BN30" s="121"/>
      <c r="BO30" s="121"/>
      <c r="BP30" s="121"/>
      <c r="BQ30" s="121"/>
      <c r="BR30" s="121"/>
      <c r="BS30" s="121"/>
      <c r="BT30" s="121"/>
      <c r="BU30" s="121"/>
      <c r="BV30" s="121"/>
      <c r="BW30" s="121"/>
      <c r="BX30" s="121"/>
      <c r="BY30" s="121"/>
      <c r="BZ30" s="121"/>
      <c r="CA30" s="121"/>
      <c r="CB30" s="121"/>
      <c r="CC30" s="121"/>
      <c r="CD30" s="121"/>
      <c r="CE30" s="121"/>
      <c r="CF30" s="121"/>
      <c r="CG30" s="121"/>
      <c r="CH30" s="121"/>
      <c r="CI30" s="121"/>
      <c r="CJ30" s="121"/>
      <c r="CK30" s="121"/>
      <c r="CL30" s="121"/>
      <c r="CM30" s="121"/>
      <c r="CN30" s="121"/>
      <c r="CO30" s="121"/>
      <c r="CP30" s="121"/>
      <c r="CQ30" s="121"/>
      <c r="CR30" s="121"/>
      <c r="CS30" s="121"/>
      <c r="CT30" s="121"/>
      <c r="CU30" s="121"/>
      <c r="CV30" s="121"/>
      <c r="CW30" s="121"/>
      <c r="CX30" s="121"/>
      <c r="CY30" s="121"/>
      <c r="CZ30" s="121"/>
      <c r="DA30" s="121"/>
      <c r="DB30" s="121"/>
      <c r="DC30" s="121"/>
      <c r="DD30" s="121"/>
      <c r="DE30" s="121"/>
      <c r="DF30" s="121"/>
      <c r="DG30" s="121"/>
      <c r="DH30" s="121"/>
      <c r="DI30" s="121"/>
      <c r="DJ30" s="121"/>
      <c r="DK30" s="121"/>
      <c r="DL30" s="121"/>
      <c r="DM30" s="121"/>
      <c r="DN30" s="121"/>
      <c r="DO30" s="121"/>
      <c r="DP30" s="121"/>
      <c r="DQ30" s="121"/>
      <c r="DR30" s="121"/>
      <c r="DS30" s="121"/>
      <c r="DT30" s="121"/>
      <c r="DU30" s="121"/>
      <c r="DV30" s="121"/>
      <c r="DW30" s="121"/>
      <c r="DX30" s="121"/>
      <c r="DY30" s="121"/>
      <c r="DZ30" s="121"/>
      <c r="EA30" s="121"/>
      <c r="EB30" s="121"/>
      <c r="EC30" s="121"/>
      <c r="ED30" s="121"/>
      <c r="EE30" s="121"/>
      <c r="EF30" s="121"/>
      <c r="EG30" s="121"/>
      <c r="EH30" s="121"/>
      <c r="EI30" s="121"/>
      <c r="EJ30" s="121"/>
      <c r="EK30" s="121"/>
      <c r="EL30" s="121"/>
      <c r="EM30" s="121"/>
      <c r="EN30" s="121"/>
      <c r="EO30" s="121"/>
      <c r="EP30" s="121"/>
      <c r="EQ30" s="121"/>
      <c r="ER30" s="121"/>
      <c r="ES30" s="121"/>
      <c r="ET30" s="121"/>
      <c r="EU30" s="121"/>
      <c r="EV30" s="121"/>
      <c r="EW30" s="121"/>
      <c r="EX30" s="121"/>
      <c r="EY30" s="121"/>
      <c r="EZ30" s="121"/>
      <c r="FA30" s="121"/>
      <c r="FB30" s="121"/>
      <c r="FC30" s="121"/>
      <c r="FD30" s="121"/>
      <c r="FE30" s="121"/>
      <c r="FF30" s="121"/>
      <c r="FG30" s="121"/>
      <c r="FH30" s="121"/>
      <c r="FI30" s="121"/>
      <c r="FJ30" s="121"/>
      <c r="FK30" s="121"/>
      <c r="FL30" s="121"/>
      <c r="FM30" s="121"/>
      <c r="FN30" s="121"/>
      <c r="FO30" s="121"/>
      <c r="FP30" s="121"/>
      <c r="FQ30" s="121"/>
      <c r="FR30" s="121"/>
      <c r="FS30" s="121"/>
      <c r="FT30" s="121"/>
      <c r="FU30" s="121"/>
      <c r="FV30" s="121"/>
      <c r="FW30" s="121"/>
      <c r="FX30" s="121"/>
      <c r="FY30" s="121"/>
      <c r="FZ30" s="121"/>
      <c r="GA30" s="121"/>
      <c r="GB30" s="121"/>
      <c r="GC30" s="121"/>
      <c r="GD30" s="121"/>
      <c r="GE30" s="121"/>
      <c r="GF30" s="121"/>
      <c r="GG30" s="121"/>
      <c r="GH30" s="121"/>
      <c r="GI30" s="121"/>
      <c r="GJ30" s="121"/>
      <c r="GK30" s="121"/>
      <c r="GL30" s="121"/>
      <c r="GM30" s="121"/>
      <c r="GN30" s="121"/>
      <c r="GO30" s="121"/>
      <c r="GP30" s="121"/>
      <c r="GQ30" s="121"/>
      <c r="GR30" s="121"/>
      <c r="GS30" s="121"/>
      <c r="GT30" s="121"/>
      <c r="GU30" s="121"/>
      <c r="GV30" s="121"/>
      <c r="GW30" s="121"/>
      <c r="GX30" s="121"/>
      <c r="GY30" s="121"/>
      <c r="GZ30" s="121"/>
      <c r="HA30" s="121"/>
      <c r="HB30" s="121"/>
      <c r="HC30" s="121"/>
      <c r="HD30" s="121"/>
      <c r="HE30" s="121"/>
      <c r="HF30" s="121"/>
      <c r="HG30" s="121"/>
      <c r="HH30" s="121"/>
      <c r="HI30" s="121"/>
      <c r="HJ30" s="121"/>
      <c r="HK30" s="121"/>
      <c r="HL30" s="121"/>
      <c r="HM30" s="121"/>
      <c r="HN30" s="121"/>
      <c r="HO30" s="121"/>
      <c r="HP30" s="121"/>
      <c r="HQ30" s="121"/>
      <c r="HR30" s="121"/>
      <c r="HS30" s="121"/>
      <c r="HT30" s="121"/>
      <c r="HU30" s="121"/>
      <c r="HV30" s="121"/>
      <c r="HW30" s="121"/>
      <c r="HX30" s="121"/>
      <c r="HY30" s="121"/>
      <c r="HZ30" s="121"/>
      <c r="IA30" s="121"/>
      <c r="IB30" s="121"/>
      <c r="IC30" s="121"/>
      <c r="ID30" s="121"/>
      <c r="IE30" s="121"/>
      <c r="IF30" s="121"/>
      <c r="IG30" s="121"/>
      <c r="IH30" s="121"/>
      <c r="II30" s="121"/>
      <c r="IJ30" s="121"/>
      <c r="IK30" s="121"/>
      <c r="IL30" s="121"/>
      <c r="IM30" s="121"/>
      <c r="IN30" s="121"/>
      <c r="IO30" s="121"/>
      <c r="IP30" s="121"/>
      <c r="IQ30" s="121"/>
      <c r="IR30" s="121"/>
      <c r="IS30" s="121"/>
      <c r="IT30" s="121"/>
      <c r="IU30" s="121"/>
      <c r="IV30" s="121"/>
    </row>
    <row r="31" spans="1:256" ht="12.75">
      <c r="A31" s="117"/>
      <c r="B31" s="118" t="s">
        <v>485</v>
      </c>
      <c r="C31" s="122" t="s">
        <v>656</v>
      </c>
      <c r="D31" s="578"/>
      <c r="E31" s="579"/>
      <c r="F31" s="564"/>
      <c r="G31" s="580"/>
      <c r="H31" s="566"/>
      <c r="I31" s="581"/>
      <c r="J31" s="563"/>
      <c r="K31" s="564">
        <v>9189220</v>
      </c>
      <c r="L31" s="567">
        <f t="shared" si="1"/>
        <v>9189220</v>
      </c>
      <c r="M31" s="120"/>
      <c r="N31" s="165">
        <f>SUM(L31)</f>
        <v>9189220</v>
      </c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1"/>
      <c r="BC31" s="121"/>
      <c r="BD31" s="121"/>
      <c r="BE31" s="121"/>
      <c r="BF31" s="121"/>
      <c r="BG31" s="121"/>
      <c r="BH31" s="121"/>
      <c r="BI31" s="121"/>
      <c r="BJ31" s="121"/>
      <c r="BK31" s="121"/>
      <c r="BL31" s="121"/>
      <c r="BM31" s="121"/>
      <c r="BN31" s="121"/>
      <c r="BO31" s="121"/>
      <c r="BP31" s="121"/>
      <c r="BQ31" s="121"/>
      <c r="BR31" s="121"/>
      <c r="BS31" s="121"/>
      <c r="BT31" s="121"/>
      <c r="BU31" s="121"/>
      <c r="BV31" s="121"/>
      <c r="BW31" s="121"/>
      <c r="BX31" s="121"/>
      <c r="BY31" s="121"/>
      <c r="BZ31" s="121"/>
      <c r="CA31" s="121"/>
      <c r="CB31" s="121"/>
      <c r="CC31" s="121"/>
      <c r="CD31" s="121"/>
      <c r="CE31" s="121"/>
      <c r="CF31" s="121"/>
      <c r="CG31" s="121"/>
      <c r="CH31" s="121"/>
      <c r="CI31" s="121"/>
      <c r="CJ31" s="121"/>
      <c r="CK31" s="121"/>
      <c r="CL31" s="121"/>
      <c r="CM31" s="121"/>
      <c r="CN31" s="121"/>
      <c r="CO31" s="121"/>
      <c r="CP31" s="121"/>
      <c r="CQ31" s="121"/>
      <c r="CR31" s="121"/>
      <c r="CS31" s="121"/>
      <c r="CT31" s="121"/>
      <c r="CU31" s="121"/>
      <c r="CV31" s="121"/>
      <c r="CW31" s="121"/>
      <c r="CX31" s="121"/>
      <c r="CY31" s="121"/>
      <c r="CZ31" s="121"/>
      <c r="DA31" s="121"/>
      <c r="DB31" s="121"/>
      <c r="DC31" s="121"/>
      <c r="DD31" s="121"/>
      <c r="DE31" s="121"/>
      <c r="DF31" s="121"/>
      <c r="DG31" s="121"/>
      <c r="DH31" s="121"/>
      <c r="DI31" s="121"/>
      <c r="DJ31" s="121"/>
      <c r="DK31" s="121"/>
      <c r="DL31" s="121"/>
      <c r="DM31" s="121"/>
      <c r="DN31" s="121"/>
      <c r="DO31" s="121"/>
      <c r="DP31" s="121"/>
      <c r="DQ31" s="121"/>
      <c r="DR31" s="121"/>
      <c r="DS31" s="121"/>
      <c r="DT31" s="121"/>
      <c r="DU31" s="121"/>
      <c r="DV31" s="121"/>
      <c r="DW31" s="121"/>
      <c r="DX31" s="121"/>
      <c r="DY31" s="121"/>
      <c r="DZ31" s="121"/>
      <c r="EA31" s="121"/>
      <c r="EB31" s="121"/>
      <c r="EC31" s="121"/>
      <c r="ED31" s="121"/>
      <c r="EE31" s="121"/>
      <c r="EF31" s="121"/>
      <c r="EG31" s="121"/>
      <c r="EH31" s="121"/>
      <c r="EI31" s="121"/>
      <c r="EJ31" s="121"/>
      <c r="EK31" s="121"/>
      <c r="EL31" s="121"/>
      <c r="EM31" s="121"/>
      <c r="EN31" s="121"/>
      <c r="EO31" s="121"/>
      <c r="EP31" s="121"/>
      <c r="EQ31" s="121"/>
      <c r="ER31" s="121"/>
      <c r="ES31" s="121"/>
      <c r="ET31" s="121"/>
      <c r="EU31" s="121"/>
      <c r="EV31" s="121"/>
      <c r="EW31" s="121"/>
      <c r="EX31" s="121"/>
      <c r="EY31" s="121"/>
      <c r="EZ31" s="121"/>
      <c r="FA31" s="121"/>
      <c r="FB31" s="121"/>
      <c r="FC31" s="121"/>
      <c r="FD31" s="121"/>
      <c r="FE31" s="121"/>
      <c r="FF31" s="121"/>
      <c r="FG31" s="121"/>
      <c r="FH31" s="121"/>
      <c r="FI31" s="121"/>
      <c r="FJ31" s="121"/>
      <c r="FK31" s="121"/>
      <c r="FL31" s="121"/>
      <c r="FM31" s="121"/>
      <c r="FN31" s="121"/>
      <c r="FO31" s="121"/>
      <c r="FP31" s="121"/>
      <c r="FQ31" s="121"/>
      <c r="FR31" s="121"/>
      <c r="FS31" s="121"/>
      <c r="FT31" s="121"/>
      <c r="FU31" s="121"/>
      <c r="FV31" s="121"/>
      <c r="FW31" s="121"/>
      <c r="FX31" s="121"/>
      <c r="FY31" s="121"/>
      <c r="FZ31" s="121"/>
      <c r="GA31" s="121"/>
      <c r="GB31" s="121"/>
      <c r="GC31" s="121"/>
      <c r="GD31" s="121"/>
      <c r="GE31" s="121"/>
      <c r="GF31" s="121"/>
      <c r="GG31" s="121"/>
      <c r="GH31" s="121"/>
      <c r="GI31" s="121"/>
      <c r="GJ31" s="121"/>
      <c r="GK31" s="121"/>
      <c r="GL31" s="121"/>
      <c r="GM31" s="121"/>
      <c r="GN31" s="121"/>
      <c r="GO31" s="121"/>
      <c r="GP31" s="121"/>
      <c r="GQ31" s="121"/>
      <c r="GR31" s="121"/>
      <c r="GS31" s="121"/>
      <c r="GT31" s="121"/>
      <c r="GU31" s="121"/>
      <c r="GV31" s="121"/>
      <c r="GW31" s="121"/>
      <c r="GX31" s="121"/>
      <c r="GY31" s="121"/>
      <c r="GZ31" s="121"/>
      <c r="HA31" s="121"/>
      <c r="HB31" s="121"/>
      <c r="HC31" s="121"/>
      <c r="HD31" s="121"/>
      <c r="HE31" s="121"/>
      <c r="HF31" s="121"/>
      <c r="HG31" s="121"/>
      <c r="HH31" s="121"/>
      <c r="HI31" s="121"/>
      <c r="HJ31" s="121"/>
      <c r="HK31" s="121"/>
      <c r="HL31" s="121"/>
      <c r="HM31" s="121"/>
      <c r="HN31" s="121"/>
      <c r="HO31" s="121"/>
      <c r="HP31" s="121"/>
      <c r="HQ31" s="121"/>
      <c r="HR31" s="121"/>
      <c r="HS31" s="121"/>
      <c r="HT31" s="121"/>
      <c r="HU31" s="121"/>
      <c r="HV31" s="121"/>
      <c r="HW31" s="121"/>
      <c r="HX31" s="121"/>
      <c r="HY31" s="121"/>
      <c r="HZ31" s="121"/>
      <c r="IA31" s="121"/>
      <c r="IB31" s="121"/>
      <c r="IC31" s="121"/>
      <c r="ID31" s="121"/>
      <c r="IE31" s="121"/>
      <c r="IF31" s="121"/>
      <c r="IG31" s="121"/>
      <c r="IH31" s="121"/>
      <c r="II31" s="121"/>
      <c r="IJ31" s="121"/>
      <c r="IK31" s="121"/>
      <c r="IL31" s="121"/>
      <c r="IM31" s="121"/>
      <c r="IN31" s="121"/>
      <c r="IO31" s="121"/>
      <c r="IP31" s="121"/>
      <c r="IQ31" s="121"/>
      <c r="IR31" s="121"/>
      <c r="IS31" s="121"/>
      <c r="IT31" s="121"/>
      <c r="IU31" s="121"/>
      <c r="IV31" s="121"/>
    </row>
    <row r="32" spans="1:256" ht="12.75">
      <c r="A32" s="117"/>
      <c r="B32" s="118" t="s">
        <v>486</v>
      </c>
      <c r="C32" s="122" t="s">
        <v>545</v>
      </c>
      <c r="D32" s="578"/>
      <c r="E32" s="579"/>
      <c r="F32" s="564">
        <v>63778000</v>
      </c>
      <c r="G32" s="580"/>
      <c r="H32" s="566"/>
      <c r="I32" s="581"/>
      <c r="J32" s="563"/>
      <c r="K32" s="564"/>
      <c r="L32" s="567">
        <f t="shared" si="1"/>
        <v>63778000</v>
      </c>
      <c r="M32" s="120"/>
      <c r="N32" s="165">
        <f>SUM(L32)</f>
        <v>63778000</v>
      </c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1"/>
      <c r="BD32" s="121"/>
      <c r="BE32" s="121"/>
      <c r="BF32" s="121"/>
      <c r="BG32" s="121"/>
      <c r="BH32" s="121"/>
      <c r="BI32" s="121"/>
      <c r="BJ32" s="121"/>
      <c r="BK32" s="121"/>
      <c r="BL32" s="121"/>
      <c r="BM32" s="121"/>
      <c r="BN32" s="121"/>
      <c r="BO32" s="121"/>
      <c r="BP32" s="121"/>
      <c r="BQ32" s="121"/>
      <c r="BR32" s="121"/>
      <c r="BS32" s="121"/>
      <c r="BT32" s="121"/>
      <c r="BU32" s="121"/>
      <c r="BV32" s="121"/>
      <c r="BW32" s="121"/>
      <c r="BX32" s="121"/>
      <c r="BY32" s="121"/>
      <c r="BZ32" s="121"/>
      <c r="CA32" s="121"/>
      <c r="CB32" s="121"/>
      <c r="CC32" s="121"/>
      <c r="CD32" s="121"/>
      <c r="CE32" s="121"/>
      <c r="CF32" s="121"/>
      <c r="CG32" s="121"/>
      <c r="CH32" s="121"/>
      <c r="CI32" s="121"/>
      <c r="CJ32" s="121"/>
      <c r="CK32" s="121"/>
      <c r="CL32" s="121"/>
      <c r="CM32" s="121"/>
      <c r="CN32" s="121"/>
      <c r="CO32" s="121"/>
      <c r="CP32" s="121"/>
      <c r="CQ32" s="121"/>
      <c r="CR32" s="121"/>
      <c r="CS32" s="121"/>
      <c r="CT32" s="121"/>
      <c r="CU32" s="121"/>
      <c r="CV32" s="121"/>
      <c r="CW32" s="121"/>
      <c r="CX32" s="121"/>
      <c r="CY32" s="121"/>
      <c r="CZ32" s="121"/>
      <c r="DA32" s="121"/>
      <c r="DB32" s="121"/>
      <c r="DC32" s="121"/>
      <c r="DD32" s="121"/>
      <c r="DE32" s="121"/>
      <c r="DF32" s="121"/>
      <c r="DG32" s="121"/>
      <c r="DH32" s="121"/>
      <c r="DI32" s="121"/>
      <c r="DJ32" s="121"/>
      <c r="DK32" s="121"/>
      <c r="DL32" s="121"/>
      <c r="DM32" s="121"/>
      <c r="DN32" s="121"/>
      <c r="DO32" s="121"/>
      <c r="DP32" s="121"/>
      <c r="DQ32" s="121"/>
      <c r="DR32" s="121"/>
      <c r="DS32" s="121"/>
      <c r="DT32" s="121"/>
      <c r="DU32" s="121"/>
      <c r="DV32" s="121"/>
      <c r="DW32" s="121"/>
      <c r="DX32" s="121"/>
      <c r="DY32" s="121"/>
      <c r="DZ32" s="121"/>
      <c r="EA32" s="121"/>
      <c r="EB32" s="121"/>
      <c r="EC32" s="121"/>
      <c r="ED32" s="121"/>
      <c r="EE32" s="121"/>
      <c r="EF32" s="121"/>
      <c r="EG32" s="121"/>
      <c r="EH32" s="121"/>
      <c r="EI32" s="121"/>
      <c r="EJ32" s="121"/>
      <c r="EK32" s="121"/>
      <c r="EL32" s="121"/>
      <c r="EM32" s="121"/>
      <c r="EN32" s="121"/>
      <c r="EO32" s="121"/>
      <c r="EP32" s="121"/>
      <c r="EQ32" s="121"/>
      <c r="ER32" s="121"/>
      <c r="ES32" s="121"/>
      <c r="ET32" s="121"/>
      <c r="EU32" s="121"/>
      <c r="EV32" s="121"/>
      <c r="EW32" s="121"/>
      <c r="EX32" s="121"/>
      <c r="EY32" s="121"/>
      <c r="EZ32" s="121"/>
      <c r="FA32" s="121"/>
      <c r="FB32" s="121"/>
      <c r="FC32" s="121"/>
      <c r="FD32" s="121"/>
      <c r="FE32" s="121"/>
      <c r="FF32" s="121"/>
      <c r="FG32" s="121"/>
      <c r="FH32" s="121"/>
      <c r="FI32" s="121"/>
      <c r="FJ32" s="121"/>
      <c r="FK32" s="121"/>
      <c r="FL32" s="121"/>
      <c r="FM32" s="121"/>
      <c r="FN32" s="121"/>
      <c r="FO32" s="121"/>
      <c r="FP32" s="121"/>
      <c r="FQ32" s="121"/>
      <c r="FR32" s="121"/>
      <c r="FS32" s="121"/>
      <c r="FT32" s="121"/>
      <c r="FU32" s="121"/>
      <c r="FV32" s="121"/>
      <c r="FW32" s="121"/>
      <c r="FX32" s="121"/>
      <c r="FY32" s="121"/>
      <c r="FZ32" s="121"/>
      <c r="GA32" s="121"/>
      <c r="GB32" s="121"/>
      <c r="GC32" s="121"/>
      <c r="GD32" s="121"/>
      <c r="GE32" s="121"/>
      <c r="GF32" s="121"/>
      <c r="GG32" s="121"/>
      <c r="GH32" s="121"/>
      <c r="GI32" s="121"/>
      <c r="GJ32" s="121"/>
      <c r="GK32" s="121"/>
      <c r="GL32" s="121"/>
      <c r="GM32" s="121"/>
      <c r="GN32" s="121"/>
      <c r="GO32" s="121"/>
      <c r="GP32" s="121"/>
      <c r="GQ32" s="121"/>
      <c r="GR32" s="121"/>
      <c r="GS32" s="121"/>
      <c r="GT32" s="121"/>
      <c r="GU32" s="121"/>
      <c r="GV32" s="121"/>
      <c r="GW32" s="121"/>
      <c r="GX32" s="121"/>
      <c r="GY32" s="121"/>
      <c r="GZ32" s="121"/>
      <c r="HA32" s="121"/>
      <c r="HB32" s="121"/>
      <c r="HC32" s="121"/>
      <c r="HD32" s="121"/>
      <c r="HE32" s="121"/>
      <c r="HF32" s="121"/>
      <c r="HG32" s="121"/>
      <c r="HH32" s="121"/>
      <c r="HI32" s="121"/>
      <c r="HJ32" s="121"/>
      <c r="HK32" s="121"/>
      <c r="HL32" s="121"/>
      <c r="HM32" s="121"/>
      <c r="HN32" s="121"/>
      <c r="HO32" s="121"/>
      <c r="HP32" s="121"/>
      <c r="HQ32" s="121"/>
      <c r="HR32" s="121"/>
      <c r="HS32" s="121"/>
      <c r="HT32" s="121"/>
      <c r="HU32" s="121"/>
      <c r="HV32" s="121"/>
      <c r="HW32" s="121"/>
      <c r="HX32" s="121"/>
      <c r="HY32" s="121"/>
      <c r="HZ32" s="121"/>
      <c r="IA32" s="121"/>
      <c r="IB32" s="121"/>
      <c r="IC32" s="121"/>
      <c r="ID32" s="121"/>
      <c r="IE32" s="121"/>
      <c r="IF32" s="121"/>
      <c r="IG32" s="121"/>
      <c r="IH32" s="121"/>
      <c r="II32" s="121"/>
      <c r="IJ32" s="121"/>
      <c r="IK32" s="121"/>
      <c r="IL32" s="121"/>
      <c r="IM32" s="121"/>
      <c r="IN32" s="121"/>
      <c r="IO32" s="121"/>
      <c r="IP32" s="121"/>
      <c r="IQ32" s="121"/>
      <c r="IR32" s="121"/>
      <c r="IS32" s="121"/>
      <c r="IT32" s="121"/>
      <c r="IU32" s="121"/>
      <c r="IV32" s="121"/>
    </row>
    <row r="33" spans="1:256" ht="12.75">
      <c r="A33" s="117"/>
      <c r="B33" s="118" t="s">
        <v>487</v>
      </c>
      <c r="C33" s="122" t="s">
        <v>488</v>
      </c>
      <c r="D33" s="578"/>
      <c r="E33" s="579"/>
      <c r="F33" s="564">
        <f>SUM(F34:F35)</f>
        <v>0</v>
      </c>
      <c r="G33" s="580"/>
      <c r="H33" s="566"/>
      <c r="I33" s="581"/>
      <c r="J33" s="563"/>
      <c r="K33" s="564">
        <f>SUM(K34:K35)</f>
        <v>18590000</v>
      </c>
      <c r="L33" s="567">
        <f t="shared" si="1"/>
        <v>18590000</v>
      </c>
      <c r="M33" s="120"/>
      <c r="N33" s="165">
        <f>SUM(L34:L35)</f>
        <v>18590000</v>
      </c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1"/>
      <c r="BD33" s="121"/>
      <c r="BE33" s="121"/>
      <c r="BF33" s="121"/>
      <c r="BG33" s="121"/>
      <c r="BH33" s="121"/>
      <c r="BI33" s="121"/>
      <c r="BJ33" s="121"/>
      <c r="BK33" s="121"/>
      <c r="BL33" s="121"/>
      <c r="BM33" s="121"/>
      <c r="BN33" s="121"/>
      <c r="BO33" s="121"/>
      <c r="BP33" s="121"/>
      <c r="BQ33" s="121"/>
      <c r="BR33" s="121"/>
      <c r="BS33" s="121"/>
      <c r="BT33" s="121"/>
      <c r="BU33" s="121"/>
      <c r="BV33" s="121"/>
      <c r="BW33" s="121"/>
      <c r="BX33" s="121"/>
      <c r="BY33" s="121"/>
      <c r="BZ33" s="121"/>
      <c r="CA33" s="121"/>
      <c r="CB33" s="121"/>
      <c r="CC33" s="121"/>
      <c r="CD33" s="121"/>
      <c r="CE33" s="121"/>
      <c r="CF33" s="121"/>
      <c r="CG33" s="121"/>
      <c r="CH33" s="121"/>
      <c r="CI33" s="121"/>
      <c r="CJ33" s="121"/>
      <c r="CK33" s="121"/>
      <c r="CL33" s="121"/>
      <c r="CM33" s="121"/>
      <c r="CN33" s="121"/>
      <c r="CO33" s="121"/>
      <c r="CP33" s="121"/>
      <c r="CQ33" s="121"/>
      <c r="CR33" s="121"/>
      <c r="CS33" s="121"/>
      <c r="CT33" s="121"/>
      <c r="CU33" s="121"/>
      <c r="CV33" s="121"/>
      <c r="CW33" s="121"/>
      <c r="CX33" s="121"/>
      <c r="CY33" s="121"/>
      <c r="CZ33" s="121"/>
      <c r="DA33" s="121"/>
      <c r="DB33" s="121"/>
      <c r="DC33" s="121"/>
      <c r="DD33" s="121"/>
      <c r="DE33" s="121"/>
      <c r="DF33" s="121"/>
      <c r="DG33" s="121"/>
      <c r="DH33" s="121"/>
      <c r="DI33" s="121"/>
      <c r="DJ33" s="121"/>
      <c r="DK33" s="121"/>
      <c r="DL33" s="121"/>
      <c r="DM33" s="121"/>
      <c r="DN33" s="121"/>
      <c r="DO33" s="121"/>
      <c r="DP33" s="121"/>
      <c r="DQ33" s="121"/>
      <c r="DR33" s="121"/>
      <c r="DS33" s="121"/>
      <c r="DT33" s="121"/>
      <c r="DU33" s="121"/>
      <c r="DV33" s="121"/>
      <c r="DW33" s="121"/>
      <c r="DX33" s="121"/>
      <c r="DY33" s="121"/>
      <c r="DZ33" s="121"/>
      <c r="EA33" s="121"/>
      <c r="EB33" s="121"/>
      <c r="EC33" s="121"/>
      <c r="ED33" s="121"/>
      <c r="EE33" s="121"/>
      <c r="EF33" s="121"/>
      <c r="EG33" s="121"/>
      <c r="EH33" s="121"/>
      <c r="EI33" s="121"/>
      <c r="EJ33" s="121"/>
      <c r="EK33" s="121"/>
      <c r="EL33" s="121"/>
      <c r="EM33" s="121"/>
      <c r="EN33" s="121"/>
      <c r="EO33" s="121"/>
      <c r="EP33" s="121"/>
      <c r="EQ33" s="121"/>
      <c r="ER33" s="121"/>
      <c r="ES33" s="121"/>
      <c r="ET33" s="121"/>
      <c r="EU33" s="121"/>
      <c r="EV33" s="121"/>
      <c r="EW33" s="121"/>
      <c r="EX33" s="121"/>
      <c r="EY33" s="121"/>
      <c r="EZ33" s="121"/>
      <c r="FA33" s="121"/>
      <c r="FB33" s="121"/>
      <c r="FC33" s="121"/>
      <c r="FD33" s="121"/>
      <c r="FE33" s="121"/>
      <c r="FF33" s="121"/>
      <c r="FG33" s="121"/>
      <c r="FH33" s="121"/>
      <c r="FI33" s="121"/>
      <c r="FJ33" s="121"/>
      <c r="FK33" s="121"/>
      <c r="FL33" s="121"/>
      <c r="FM33" s="121"/>
      <c r="FN33" s="121"/>
      <c r="FO33" s="121"/>
      <c r="FP33" s="121"/>
      <c r="FQ33" s="121"/>
      <c r="FR33" s="121"/>
      <c r="FS33" s="121"/>
      <c r="FT33" s="121"/>
      <c r="FU33" s="121"/>
      <c r="FV33" s="121"/>
      <c r="FW33" s="121"/>
      <c r="FX33" s="121"/>
      <c r="FY33" s="121"/>
      <c r="FZ33" s="121"/>
      <c r="GA33" s="121"/>
      <c r="GB33" s="121"/>
      <c r="GC33" s="121"/>
      <c r="GD33" s="121"/>
      <c r="GE33" s="121"/>
      <c r="GF33" s="121"/>
      <c r="GG33" s="121"/>
      <c r="GH33" s="121"/>
      <c r="GI33" s="121"/>
      <c r="GJ33" s="121"/>
      <c r="GK33" s="121"/>
      <c r="GL33" s="121"/>
      <c r="GM33" s="121"/>
      <c r="GN33" s="121"/>
      <c r="GO33" s="121"/>
      <c r="GP33" s="121"/>
      <c r="GQ33" s="121"/>
      <c r="GR33" s="121"/>
      <c r="GS33" s="121"/>
      <c r="GT33" s="121"/>
      <c r="GU33" s="121"/>
      <c r="GV33" s="121"/>
      <c r="GW33" s="121"/>
      <c r="GX33" s="121"/>
      <c r="GY33" s="121"/>
      <c r="GZ33" s="121"/>
      <c r="HA33" s="121"/>
      <c r="HB33" s="121"/>
      <c r="HC33" s="121"/>
      <c r="HD33" s="121"/>
      <c r="HE33" s="121"/>
      <c r="HF33" s="121"/>
      <c r="HG33" s="121"/>
      <c r="HH33" s="121"/>
      <c r="HI33" s="121"/>
      <c r="HJ33" s="121"/>
      <c r="HK33" s="121"/>
      <c r="HL33" s="121"/>
      <c r="HM33" s="121"/>
      <c r="HN33" s="121"/>
      <c r="HO33" s="121"/>
      <c r="HP33" s="121"/>
      <c r="HQ33" s="121"/>
      <c r="HR33" s="121"/>
      <c r="HS33" s="121"/>
      <c r="HT33" s="121"/>
      <c r="HU33" s="121"/>
      <c r="HV33" s="121"/>
      <c r="HW33" s="121"/>
      <c r="HX33" s="121"/>
      <c r="HY33" s="121"/>
      <c r="HZ33" s="121"/>
      <c r="IA33" s="121"/>
      <c r="IB33" s="121"/>
      <c r="IC33" s="121"/>
      <c r="ID33" s="121"/>
      <c r="IE33" s="121"/>
      <c r="IF33" s="121"/>
      <c r="IG33" s="121"/>
      <c r="IH33" s="121"/>
      <c r="II33" s="121"/>
      <c r="IJ33" s="121"/>
      <c r="IK33" s="121"/>
      <c r="IL33" s="121"/>
      <c r="IM33" s="121"/>
      <c r="IN33" s="121"/>
      <c r="IO33" s="121"/>
      <c r="IP33" s="121"/>
      <c r="IQ33" s="121"/>
      <c r="IR33" s="121"/>
      <c r="IS33" s="121"/>
      <c r="IT33" s="121"/>
      <c r="IU33" s="121"/>
      <c r="IV33" s="121"/>
    </row>
    <row r="34" spans="1:14" ht="12.75">
      <c r="A34" s="30"/>
      <c r="B34" s="115" t="s">
        <v>602</v>
      </c>
      <c r="C34" s="116" t="s">
        <v>603</v>
      </c>
      <c r="D34" s="568"/>
      <c r="E34" s="569"/>
      <c r="F34" s="570"/>
      <c r="G34" s="586"/>
      <c r="H34" s="571"/>
      <c r="I34" s="587"/>
      <c r="J34" s="569"/>
      <c r="K34" s="570">
        <v>3740000</v>
      </c>
      <c r="L34" s="572">
        <f t="shared" si="1"/>
        <v>3740000</v>
      </c>
      <c r="M34" s="31"/>
      <c r="N34" s="31"/>
    </row>
    <row r="35" spans="1:14" ht="12.75">
      <c r="A35" s="30"/>
      <c r="B35" s="115" t="s">
        <v>605</v>
      </c>
      <c r="C35" s="116" t="s">
        <v>604</v>
      </c>
      <c r="D35" s="568"/>
      <c r="E35" s="569"/>
      <c r="F35" s="570"/>
      <c r="G35" s="586"/>
      <c r="H35" s="571"/>
      <c r="I35" s="587"/>
      <c r="J35" s="569"/>
      <c r="K35" s="570">
        <v>14850000</v>
      </c>
      <c r="L35" s="572">
        <f t="shared" si="1"/>
        <v>14850000</v>
      </c>
      <c r="M35" s="31"/>
      <c r="N35" s="31"/>
    </row>
    <row r="36" spans="1:256" ht="12.75">
      <c r="A36" s="117"/>
      <c r="B36" s="118" t="s">
        <v>117</v>
      </c>
      <c r="C36" s="122" t="s">
        <v>797</v>
      </c>
      <c r="D36" s="578"/>
      <c r="E36" s="579"/>
      <c r="F36" s="564">
        <f>SUM(F37:F38)</f>
        <v>69780425</v>
      </c>
      <c r="G36" s="580"/>
      <c r="H36" s="566"/>
      <c r="I36" s="581"/>
      <c r="J36" s="563"/>
      <c r="K36" s="564">
        <f>SUM(K37:K39)</f>
        <v>0</v>
      </c>
      <c r="L36" s="567">
        <f t="shared" si="1"/>
        <v>69780425</v>
      </c>
      <c r="M36" s="120"/>
      <c r="N36" s="165">
        <f>SUM(L37:L38)</f>
        <v>69780425</v>
      </c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1"/>
      <c r="BD36" s="121"/>
      <c r="BE36" s="121"/>
      <c r="BF36" s="121"/>
      <c r="BG36" s="121"/>
      <c r="BH36" s="121"/>
      <c r="BI36" s="121"/>
      <c r="BJ36" s="121"/>
      <c r="BK36" s="121"/>
      <c r="BL36" s="121"/>
      <c r="BM36" s="121"/>
      <c r="BN36" s="121"/>
      <c r="BO36" s="121"/>
      <c r="BP36" s="121"/>
      <c r="BQ36" s="121"/>
      <c r="BR36" s="121"/>
      <c r="BS36" s="121"/>
      <c r="BT36" s="121"/>
      <c r="BU36" s="121"/>
      <c r="BV36" s="121"/>
      <c r="BW36" s="121"/>
      <c r="BX36" s="121"/>
      <c r="BY36" s="121"/>
      <c r="BZ36" s="121"/>
      <c r="CA36" s="121"/>
      <c r="CB36" s="121"/>
      <c r="CC36" s="121"/>
      <c r="CD36" s="121"/>
      <c r="CE36" s="121"/>
      <c r="CF36" s="121"/>
      <c r="CG36" s="121"/>
      <c r="CH36" s="121"/>
      <c r="CI36" s="121"/>
      <c r="CJ36" s="121"/>
      <c r="CK36" s="121"/>
      <c r="CL36" s="121"/>
      <c r="CM36" s="121"/>
      <c r="CN36" s="121"/>
      <c r="CO36" s="121"/>
      <c r="CP36" s="121"/>
      <c r="CQ36" s="121"/>
      <c r="CR36" s="121"/>
      <c r="CS36" s="121"/>
      <c r="CT36" s="121"/>
      <c r="CU36" s="121"/>
      <c r="CV36" s="121"/>
      <c r="CW36" s="121"/>
      <c r="CX36" s="121"/>
      <c r="CY36" s="121"/>
      <c r="CZ36" s="121"/>
      <c r="DA36" s="121"/>
      <c r="DB36" s="121"/>
      <c r="DC36" s="121"/>
      <c r="DD36" s="121"/>
      <c r="DE36" s="121"/>
      <c r="DF36" s="121"/>
      <c r="DG36" s="121"/>
      <c r="DH36" s="121"/>
      <c r="DI36" s="121"/>
      <c r="DJ36" s="121"/>
      <c r="DK36" s="121"/>
      <c r="DL36" s="121"/>
      <c r="DM36" s="121"/>
      <c r="DN36" s="121"/>
      <c r="DO36" s="121"/>
      <c r="DP36" s="121"/>
      <c r="DQ36" s="121"/>
      <c r="DR36" s="121"/>
      <c r="DS36" s="121"/>
      <c r="DT36" s="121"/>
      <c r="DU36" s="121"/>
      <c r="DV36" s="121"/>
      <c r="DW36" s="121"/>
      <c r="DX36" s="121"/>
      <c r="DY36" s="121"/>
      <c r="DZ36" s="121"/>
      <c r="EA36" s="121"/>
      <c r="EB36" s="121"/>
      <c r="EC36" s="121"/>
      <c r="ED36" s="121"/>
      <c r="EE36" s="121"/>
      <c r="EF36" s="121"/>
      <c r="EG36" s="121"/>
      <c r="EH36" s="121"/>
      <c r="EI36" s="121"/>
      <c r="EJ36" s="121"/>
      <c r="EK36" s="121"/>
      <c r="EL36" s="121"/>
      <c r="EM36" s="121"/>
      <c r="EN36" s="121"/>
      <c r="EO36" s="121"/>
      <c r="EP36" s="121"/>
      <c r="EQ36" s="121"/>
      <c r="ER36" s="121"/>
      <c r="ES36" s="121"/>
      <c r="ET36" s="121"/>
      <c r="EU36" s="121"/>
      <c r="EV36" s="121"/>
      <c r="EW36" s="121"/>
      <c r="EX36" s="121"/>
      <c r="EY36" s="121"/>
      <c r="EZ36" s="121"/>
      <c r="FA36" s="121"/>
      <c r="FB36" s="121"/>
      <c r="FC36" s="121"/>
      <c r="FD36" s="121"/>
      <c r="FE36" s="121"/>
      <c r="FF36" s="121"/>
      <c r="FG36" s="121"/>
      <c r="FH36" s="121"/>
      <c r="FI36" s="121"/>
      <c r="FJ36" s="121"/>
      <c r="FK36" s="121"/>
      <c r="FL36" s="121"/>
      <c r="FM36" s="121"/>
      <c r="FN36" s="121"/>
      <c r="FO36" s="121"/>
      <c r="FP36" s="121"/>
      <c r="FQ36" s="121"/>
      <c r="FR36" s="121"/>
      <c r="FS36" s="121"/>
      <c r="FT36" s="121"/>
      <c r="FU36" s="121"/>
      <c r="FV36" s="121"/>
      <c r="FW36" s="121"/>
      <c r="FX36" s="121"/>
      <c r="FY36" s="121"/>
      <c r="FZ36" s="121"/>
      <c r="GA36" s="121"/>
      <c r="GB36" s="121"/>
      <c r="GC36" s="121"/>
      <c r="GD36" s="121"/>
      <c r="GE36" s="121"/>
      <c r="GF36" s="121"/>
      <c r="GG36" s="121"/>
      <c r="GH36" s="121"/>
      <c r="GI36" s="121"/>
      <c r="GJ36" s="121"/>
      <c r="GK36" s="121"/>
      <c r="GL36" s="121"/>
      <c r="GM36" s="121"/>
      <c r="GN36" s="121"/>
      <c r="GO36" s="121"/>
      <c r="GP36" s="121"/>
      <c r="GQ36" s="121"/>
      <c r="GR36" s="121"/>
      <c r="GS36" s="121"/>
      <c r="GT36" s="121"/>
      <c r="GU36" s="121"/>
      <c r="GV36" s="121"/>
      <c r="GW36" s="121"/>
      <c r="GX36" s="121"/>
      <c r="GY36" s="121"/>
      <c r="GZ36" s="121"/>
      <c r="HA36" s="121"/>
      <c r="HB36" s="121"/>
      <c r="HC36" s="121"/>
      <c r="HD36" s="121"/>
      <c r="HE36" s="121"/>
      <c r="HF36" s="121"/>
      <c r="HG36" s="121"/>
      <c r="HH36" s="121"/>
      <c r="HI36" s="121"/>
      <c r="HJ36" s="121"/>
      <c r="HK36" s="121"/>
      <c r="HL36" s="121"/>
      <c r="HM36" s="121"/>
      <c r="HN36" s="121"/>
      <c r="HO36" s="121"/>
      <c r="HP36" s="121"/>
      <c r="HQ36" s="121"/>
      <c r="HR36" s="121"/>
      <c r="HS36" s="121"/>
      <c r="HT36" s="121"/>
      <c r="HU36" s="121"/>
      <c r="HV36" s="121"/>
      <c r="HW36" s="121"/>
      <c r="HX36" s="121"/>
      <c r="HY36" s="121"/>
      <c r="HZ36" s="121"/>
      <c r="IA36" s="121"/>
      <c r="IB36" s="121"/>
      <c r="IC36" s="121"/>
      <c r="ID36" s="121"/>
      <c r="IE36" s="121"/>
      <c r="IF36" s="121"/>
      <c r="IG36" s="121"/>
      <c r="IH36" s="121"/>
      <c r="II36" s="121"/>
      <c r="IJ36" s="121"/>
      <c r="IK36" s="121"/>
      <c r="IL36" s="121"/>
      <c r="IM36" s="121"/>
      <c r="IN36" s="121"/>
      <c r="IO36" s="121"/>
      <c r="IP36" s="121"/>
      <c r="IQ36" s="121"/>
      <c r="IR36" s="121"/>
      <c r="IS36" s="121"/>
      <c r="IT36" s="121"/>
      <c r="IU36" s="121"/>
      <c r="IV36" s="121"/>
    </row>
    <row r="37" spans="1:14" ht="12.75">
      <c r="A37" s="30"/>
      <c r="B37" s="115" t="s">
        <v>546</v>
      </c>
      <c r="C37" s="153" t="s">
        <v>798</v>
      </c>
      <c r="D37" s="588">
        <v>12.6</v>
      </c>
      <c r="E37" s="589">
        <v>1900000</v>
      </c>
      <c r="F37" s="570">
        <f>E37*D37</f>
        <v>23940000</v>
      </c>
      <c r="G37" s="576"/>
      <c r="H37" s="571"/>
      <c r="I37" s="577"/>
      <c r="J37" s="569"/>
      <c r="K37" s="570"/>
      <c r="L37" s="590">
        <f t="shared" si="1"/>
        <v>23940000</v>
      </c>
      <c r="M37" s="31"/>
      <c r="N37" s="165"/>
    </row>
    <row r="38" spans="1:14" ht="12.75">
      <c r="A38" s="30"/>
      <c r="B38" s="115" t="s">
        <v>118</v>
      </c>
      <c r="C38" s="153" t="s">
        <v>119</v>
      </c>
      <c r="D38" s="588"/>
      <c r="E38" s="569"/>
      <c r="F38" s="570">
        <v>45840425</v>
      </c>
      <c r="G38" s="568"/>
      <c r="H38" s="571"/>
      <c r="I38" s="571"/>
      <c r="J38" s="569"/>
      <c r="K38" s="570"/>
      <c r="L38" s="590">
        <f>F38+K38</f>
        <v>45840425</v>
      </c>
      <c r="M38" s="31"/>
      <c r="N38" s="31"/>
    </row>
    <row r="39" spans="1:256" ht="12.75">
      <c r="A39" s="117"/>
      <c r="B39" s="118" t="s">
        <v>788</v>
      </c>
      <c r="C39" s="122" t="s">
        <v>799</v>
      </c>
      <c r="D39" s="578">
        <v>3710</v>
      </c>
      <c r="E39" s="579">
        <v>570</v>
      </c>
      <c r="F39" s="564">
        <f>D39*E39</f>
        <v>2114700</v>
      </c>
      <c r="G39" s="580"/>
      <c r="H39" s="566"/>
      <c r="I39" s="581"/>
      <c r="J39" s="563"/>
      <c r="K39" s="564"/>
      <c r="L39" s="567">
        <f t="shared" si="1"/>
        <v>2114700</v>
      </c>
      <c r="M39" s="120"/>
      <c r="N39" s="165">
        <f>SUM(L39)</f>
        <v>2114700</v>
      </c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1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1"/>
      <c r="BO39" s="121"/>
      <c r="BP39" s="121"/>
      <c r="BQ39" s="121"/>
      <c r="BR39" s="121"/>
      <c r="BS39" s="121"/>
      <c r="BT39" s="121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1"/>
      <c r="CF39" s="121"/>
      <c r="CG39" s="121"/>
      <c r="CH39" s="121"/>
      <c r="CI39" s="121"/>
      <c r="CJ39" s="121"/>
      <c r="CK39" s="121"/>
      <c r="CL39" s="121"/>
      <c r="CM39" s="121"/>
      <c r="CN39" s="121"/>
      <c r="CO39" s="121"/>
      <c r="CP39" s="121"/>
      <c r="CQ39" s="121"/>
      <c r="CR39" s="121"/>
      <c r="CS39" s="121"/>
      <c r="CT39" s="121"/>
      <c r="CU39" s="121"/>
      <c r="CV39" s="121"/>
      <c r="CW39" s="121"/>
      <c r="CX39" s="121"/>
      <c r="CY39" s="121"/>
      <c r="CZ39" s="121"/>
      <c r="DA39" s="121"/>
      <c r="DB39" s="121"/>
      <c r="DC39" s="121"/>
      <c r="DD39" s="121"/>
      <c r="DE39" s="121"/>
      <c r="DF39" s="121"/>
      <c r="DG39" s="121"/>
      <c r="DH39" s="121"/>
      <c r="DI39" s="121"/>
      <c r="DJ39" s="121"/>
      <c r="DK39" s="121"/>
      <c r="DL39" s="121"/>
      <c r="DM39" s="121"/>
      <c r="DN39" s="121"/>
      <c r="DO39" s="121"/>
      <c r="DP39" s="121"/>
      <c r="DQ39" s="121"/>
      <c r="DR39" s="121"/>
      <c r="DS39" s="121"/>
      <c r="DT39" s="121"/>
      <c r="DU39" s="121"/>
      <c r="DV39" s="121"/>
      <c r="DW39" s="121"/>
      <c r="DX39" s="121"/>
      <c r="DY39" s="121"/>
      <c r="DZ39" s="121"/>
      <c r="EA39" s="121"/>
      <c r="EB39" s="121"/>
      <c r="EC39" s="121"/>
      <c r="ED39" s="121"/>
      <c r="EE39" s="121"/>
      <c r="EF39" s="121"/>
      <c r="EG39" s="121"/>
      <c r="EH39" s="121"/>
      <c r="EI39" s="121"/>
      <c r="EJ39" s="121"/>
      <c r="EK39" s="121"/>
      <c r="EL39" s="121"/>
      <c r="EM39" s="121"/>
      <c r="EN39" s="121"/>
      <c r="EO39" s="121"/>
      <c r="EP39" s="121"/>
      <c r="EQ39" s="121"/>
      <c r="ER39" s="121"/>
      <c r="ES39" s="121"/>
      <c r="ET39" s="121"/>
      <c r="EU39" s="121"/>
      <c r="EV39" s="121"/>
      <c r="EW39" s="121"/>
      <c r="EX39" s="121"/>
      <c r="EY39" s="121"/>
      <c r="EZ39" s="121"/>
      <c r="FA39" s="121"/>
      <c r="FB39" s="121"/>
      <c r="FC39" s="121"/>
      <c r="FD39" s="121"/>
      <c r="FE39" s="121"/>
      <c r="FF39" s="121"/>
      <c r="FG39" s="121"/>
      <c r="FH39" s="121"/>
      <c r="FI39" s="121"/>
      <c r="FJ39" s="121"/>
      <c r="FK39" s="121"/>
      <c r="FL39" s="121"/>
      <c r="FM39" s="121"/>
      <c r="FN39" s="121"/>
      <c r="FO39" s="121"/>
      <c r="FP39" s="121"/>
      <c r="FQ39" s="121"/>
      <c r="FR39" s="121"/>
      <c r="FS39" s="121"/>
      <c r="FT39" s="121"/>
      <c r="FU39" s="121"/>
      <c r="FV39" s="121"/>
      <c r="FW39" s="121"/>
      <c r="FX39" s="121"/>
      <c r="FY39" s="121"/>
      <c r="FZ39" s="121"/>
      <c r="GA39" s="121"/>
      <c r="GB39" s="121"/>
      <c r="GC39" s="121"/>
      <c r="GD39" s="121"/>
      <c r="GE39" s="121"/>
      <c r="GF39" s="121"/>
      <c r="GG39" s="121"/>
      <c r="GH39" s="121"/>
      <c r="GI39" s="121"/>
      <c r="GJ39" s="121"/>
      <c r="GK39" s="121"/>
      <c r="GL39" s="121"/>
      <c r="GM39" s="121"/>
      <c r="GN39" s="121"/>
      <c r="GO39" s="121"/>
      <c r="GP39" s="121"/>
      <c r="GQ39" s="121"/>
      <c r="GR39" s="121"/>
      <c r="GS39" s="121"/>
      <c r="GT39" s="121"/>
      <c r="GU39" s="121"/>
      <c r="GV39" s="121"/>
      <c r="GW39" s="121"/>
      <c r="GX39" s="121"/>
      <c r="GY39" s="121"/>
      <c r="GZ39" s="121"/>
      <c r="HA39" s="121"/>
      <c r="HB39" s="121"/>
      <c r="HC39" s="121"/>
      <c r="HD39" s="121"/>
      <c r="HE39" s="121"/>
      <c r="HF39" s="121"/>
      <c r="HG39" s="121"/>
      <c r="HH39" s="121"/>
      <c r="HI39" s="121"/>
      <c r="HJ39" s="121"/>
      <c r="HK39" s="121"/>
      <c r="HL39" s="121"/>
      <c r="HM39" s="121"/>
      <c r="HN39" s="121"/>
      <c r="HO39" s="121"/>
      <c r="HP39" s="121"/>
      <c r="HQ39" s="121"/>
      <c r="HR39" s="121"/>
      <c r="HS39" s="121"/>
      <c r="HT39" s="121"/>
      <c r="HU39" s="121"/>
      <c r="HV39" s="121"/>
      <c r="HW39" s="121"/>
      <c r="HX39" s="121"/>
      <c r="HY39" s="121"/>
      <c r="HZ39" s="121"/>
      <c r="IA39" s="121"/>
      <c r="IB39" s="121"/>
      <c r="IC39" s="121"/>
      <c r="ID39" s="121"/>
      <c r="IE39" s="121"/>
      <c r="IF39" s="121"/>
      <c r="IG39" s="121"/>
      <c r="IH39" s="121"/>
      <c r="II39" s="121"/>
      <c r="IJ39" s="121"/>
      <c r="IK39" s="121"/>
      <c r="IL39" s="121"/>
      <c r="IM39" s="121"/>
      <c r="IN39" s="121"/>
      <c r="IO39" s="121"/>
      <c r="IP39" s="121"/>
      <c r="IQ39" s="121"/>
      <c r="IR39" s="121"/>
      <c r="IS39" s="121"/>
      <c r="IT39" s="121"/>
      <c r="IU39" s="121"/>
      <c r="IV39" s="121"/>
    </row>
    <row r="40" spans="1:256" ht="12.75">
      <c r="A40" s="117"/>
      <c r="B40" s="118" t="s">
        <v>789</v>
      </c>
      <c r="C40" s="122" t="s">
        <v>790</v>
      </c>
      <c r="D40" s="578"/>
      <c r="E40" s="579"/>
      <c r="F40" s="564"/>
      <c r="G40" s="580"/>
      <c r="H40" s="566"/>
      <c r="I40" s="581"/>
      <c r="J40" s="563"/>
      <c r="K40" s="564">
        <f>SUM(K41:K44)</f>
        <v>11482364</v>
      </c>
      <c r="L40" s="567">
        <f t="shared" si="1"/>
        <v>11482364</v>
      </c>
      <c r="M40" s="120"/>
      <c r="N40" s="165">
        <f>SUM(L40:M40)</f>
        <v>11482364</v>
      </c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1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1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1"/>
      <c r="BZ40" s="121"/>
      <c r="CA40" s="121"/>
      <c r="CB40" s="121"/>
      <c r="CC40" s="121"/>
      <c r="CD40" s="121"/>
      <c r="CE40" s="121"/>
      <c r="CF40" s="121"/>
      <c r="CG40" s="121"/>
      <c r="CH40" s="121"/>
      <c r="CI40" s="121"/>
      <c r="CJ40" s="121"/>
      <c r="CK40" s="121"/>
      <c r="CL40" s="121"/>
      <c r="CM40" s="121"/>
      <c r="CN40" s="121"/>
      <c r="CO40" s="121"/>
      <c r="CP40" s="121"/>
      <c r="CQ40" s="121"/>
      <c r="CR40" s="121"/>
      <c r="CS40" s="121"/>
      <c r="CT40" s="121"/>
      <c r="CU40" s="121"/>
      <c r="CV40" s="121"/>
      <c r="CW40" s="121"/>
      <c r="CX40" s="121"/>
      <c r="CY40" s="121"/>
      <c r="CZ40" s="121"/>
      <c r="DA40" s="121"/>
      <c r="DB40" s="121"/>
      <c r="DC40" s="121"/>
      <c r="DD40" s="121"/>
      <c r="DE40" s="121"/>
      <c r="DF40" s="121"/>
      <c r="DG40" s="121"/>
      <c r="DH40" s="121"/>
      <c r="DI40" s="121"/>
      <c r="DJ40" s="121"/>
      <c r="DK40" s="121"/>
      <c r="DL40" s="121"/>
      <c r="DM40" s="121"/>
      <c r="DN40" s="121"/>
      <c r="DO40" s="121"/>
      <c r="DP40" s="121"/>
      <c r="DQ40" s="121"/>
      <c r="DR40" s="121"/>
      <c r="DS40" s="121"/>
      <c r="DT40" s="121"/>
      <c r="DU40" s="121"/>
      <c r="DV40" s="121"/>
      <c r="DW40" s="121"/>
      <c r="DX40" s="121"/>
      <c r="DY40" s="121"/>
      <c r="DZ40" s="121"/>
      <c r="EA40" s="121"/>
      <c r="EB40" s="121"/>
      <c r="EC40" s="121"/>
      <c r="ED40" s="121"/>
      <c r="EE40" s="121"/>
      <c r="EF40" s="121"/>
      <c r="EG40" s="121"/>
      <c r="EH40" s="121"/>
      <c r="EI40" s="121"/>
      <c r="EJ40" s="121"/>
      <c r="EK40" s="121"/>
      <c r="EL40" s="121"/>
      <c r="EM40" s="121"/>
      <c r="EN40" s="121"/>
      <c r="EO40" s="121"/>
      <c r="EP40" s="121"/>
      <c r="EQ40" s="121"/>
      <c r="ER40" s="121"/>
      <c r="ES40" s="121"/>
      <c r="ET40" s="121"/>
      <c r="EU40" s="121"/>
      <c r="EV40" s="121"/>
      <c r="EW40" s="121"/>
      <c r="EX40" s="121"/>
      <c r="EY40" s="121"/>
      <c r="EZ40" s="121"/>
      <c r="FA40" s="121"/>
      <c r="FB40" s="121"/>
      <c r="FC40" s="121"/>
      <c r="FD40" s="121"/>
      <c r="FE40" s="121"/>
      <c r="FF40" s="121"/>
      <c r="FG40" s="121"/>
      <c r="FH40" s="121"/>
      <c r="FI40" s="121"/>
      <c r="FJ40" s="121"/>
      <c r="FK40" s="121"/>
      <c r="FL40" s="121"/>
      <c r="FM40" s="121"/>
      <c r="FN40" s="121"/>
      <c r="FO40" s="121"/>
      <c r="FP40" s="121"/>
      <c r="FQ40" s="121"/>
      <c r="FR40" s="121"/>
      <c r="FS40" s="121"/>
      <c r="FT40" s="121"/>
      <c r="FU40" s="121"/>
      <c r="FV40" s="121"/>
      <c r="FW40" s="121"/>
      <c r="FX40" s="121"/>
      <c r="FY40" s="121"/>
      <c r="FZ40" s="121"/>
      <c r="GA40" s="121"/>
      <c r="GB40" s="121"/>
      <c r="GC40" s="121"/>
      <c r="GD40" s="121"/>
      <c r="GE40" s="121"/>
      <c r="GF40" s="121"/>
      <c r="GG40" s="121"/>
      <c r="GH40" s="121"/>
      <c r="GI40" s="121"/>
      <c r="GJ40" s="121"/>
      <c r="GK40" s="121"/>
      <c r="GL40" s="121"/>
      <c r="GM40" s="121"/>
      <c r="GN40" s="121"/>
      <c r="GO40" s="121"/>
      <c r="GP40" s="121"/>
      <c r="GQ40" s="121"/>
      <c r="GR40" s="121"/>
      <c r="GS40" s="121"/>
      <c r="GT40" s="121"/>
      <c r="GU40" s="121"/>
      <c r="GV40" s="121"/>
      <c r="GW40" s="121"/>
      <c r="GX40" s="121"/>
      <c r="GY40" s="121"/>
      <c r="GZ40" s="121"/>
      <c r="HA40" s="121"/>
      <c r="HB40" s="121"/>
      <c r="HC40" s="121"/>
      <c r="HD40" s="121"/>
      <c r="HE40" s="121"/>
      <c r="HF40" s="121"/>
      <c r="HG40" s="121"/>
      <c r="HH40" s="121"/>
      <c r="HI40" s="121"/>
      <c r="HJ40" s="121"/>
      <c r="HK40" s="121"/>
      <c r="HL40" s="121"/>
      <c r="HM40" s="121"/>
      <c r="HN40" s="121"/>
      <c r="HO40" s="121"/>
      <c r="HP40" s="121"/>
      <c r="HQ40" s="121"/>
      <c r="HR40" s="121"/>
      <c r="HS40" s="121"/>
      <c r="HT40" s="121"/>
      <c r="HU40" s="121"/>
      <c r="HV40" s="121"/>
      <c r="HW40" s="121"/>
      <c r="HX40" s="121"/>
      <c r="HY40" s="121"/>
      <c r="HZ40" s="121"/>
      <c r="IA40" s="121"/>
      <c r="IB40" s="121"/>
      <c r="IC40" s="121"/>
      <c r="ID40" s="121"/>
      <c r="IE40" s="121"/>
      <c r="IF40" s="121"/>
      <c r="IG40" s="121"/>
      <c r="IH40" s="121"/>
      <c r="II40" s="121"/>
      <c r="IJ40" s="121"/>
      <c r="IK40" s="121"/>
      <c r="IL40" s="121"/>
      <c r="IM40" s="121"/>
      <c r="IN40" s="121"/>
      <c r="IO40" s="121"/>
      <c r="IP40" s="121"/>
      <c r="IQ40" s="121"/>
      <c r="IR40" s="121"/>
      <c r="IS40" s="121"/>
      <c r="IT40" s="121"/>
      <c r="IU40" s="121"/>
      <c r="IV40" s="121"/>
    </row>
    <row r="41" spans="1:14" ht="12.75">
      <c r="A41" s="30"/>
      <c r="B41" s="115" t="s">
        <v>791</v>
      </c>
      <c r="C41" s="153" t="s">
        <v>792</v>
      </c>
      <c r="D41" s="588"/>
      <c r="E41" s="569"/>
      <c r="F41" s="570"/>
      <c r="G41" s="568">
        <v>1</v>
      </c>
      <c r="H41" s="571">
        <v>4419000</v>
      </c>
      <c r="I41" s="571"/>
      <c r="J41" s="569"/>
      <c r="K41" s="570">
        <f>G41*H41</f>
        <v>4419000</v>
      </c>
      <c r="L41" s="590">
        <f>SUM(K41,F41)</f>
        <v>4419000</v>
      </c>
      <c r="M41" s="31"/>
      <c r="N41" s="31"/>
    </row>
    <row r="42" spans="1:14" ht="25.5">
      <c r="A42" s="30"/>
      <c r="B42" s="115" t="s">
        <v>793</v>
      </c>
      <c r="C42" s="153" t="s">
        <v>794</v>
      </c>
      <c r="D42" s="588"/>
      <c r="E42" s="569"/>
      <c r="F42" s="570"/>
      <c r="G42" s="568">
        <v>2</v>
      </c>
      <c r="H42" s="571">
        <v>2993000</v>
      </c>
      <c r="I42" s="571"/>
      <c r="J42" s="569"/>
      <c r="K42" s="570">
        <f>G42*H42</f>
        <v>5986000</v>
      </c>
      <c r="L42" s="590">
        <f t="shared" si="1"/>
        <v>5986000</v>
      </c>
      <c r="M42" s="31"/>
      <c r="N42" s="31"/>
    </row>
    <row r="43" spans="1:14" ht="12.75">
      <c r="A43" s="30"/>
      <c r="B43" s="115" t="s">
        <v>795</v>
      </c>
      <c r="C43" s="153" t="s">
        <v>796</v>
      </c>
      <c r="D43" s="588"/>
      <c r="E43" s="569"/>
      <c r="F43" s="570"/>
      <c r="G43" s="568"/>
      <c r="H43" s="571"/>
      <c r="I43" s="571"/>
      <c r="J43" s="569"/>
      <c r="K43" s="570">
        <v>882000</v>
      </c>
      <c r="L43" s="590">
        <f t="shared" si="1"/>
        <v>882000</v>
      </c>
      <c r="M43" s="31"/>
      <c r="N43" s="31"/>
    </row>
    <row r="44" spans="1:14" ht="25.5">
      <c r="A44" s="30"/>
      <c r="B44" s="115"/>
      <c r="C44" s="153" t="s">
        <v>1021</v>
      </c>
      <c r="D44" s="588"/>
      <c r="E44" s="569"/>
      <c r="F44" s="570"/>
      <c r="G44" s="568"/>
      <c r="H44" s="571"/>
      <c r="I44" s="571"/>
      <c r="J44" s="569"/>
      <c r="K44" s="570">
        <v>195364</v>
      </c>
      <c r="L44" s="590">
        <f t="shared" si="1"/>
        <v>195364</v>
      </c>
      <c r="M44" s="31"/>
      <c r="N44" s="31"/>
    </row>
    <row r="45" spans="1:256" ht="12.75">
      <c r="A45" s="126" t="s">
        <v>490</v>
      </c>
      <c r="B45" s="134"/>
      <c r="C45" s="128" t="s">
        <v>471</v>
      </c>
      <c r="D45" s="129"/>
      <c r="E45" s="130"/>
      <c r="F45" s="131">
        <f>SUM(F47:F48)</f>
        <v>11665588</v>
      </c>
      <c r="G45" s="584"/>
      <c r="H45" s="132"/>
      <c r="I45" s="585"/>
      <c r="J45" s="130"/>
      <c r="K45" s="131"/>
      <c r="L45" s="148">
        <f t="shared" si="1"/>
        <v>11665588</v>
      </c>
      <c r="M45" s="120"/>
      <c r="N45" s="149">
        <f>SUM(L47:L48)</f>
        <v>11665588</v>
      </c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1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1"/>
      <c r="CF45" s="121"/>
      <c r="CG45" s="121"/>
      <c r="CH45" s="121"/>
      <c r="CI45" s="121"/>
      <c r="CJ45" s="121"/>
      <c r="CK45" s="121"/>
      <c r="CL45" s="121"/>
      <c r="CM45" s="121"/>
      <c r="CN45" s="121"/>
      <c r="CO45" s="121"/>
      <c r="CP45" s="121"/>
      <c r="CQ45" s="121"/>
      <c r="CR45" s="121"/>
      <c r="CS45" s="121"/>
      <c r="CT45" s="121"/>
      <c r="CU45" s="121"/>
      <c r="CV45" s="121"/>
      <c r="CW45" s="121"/>
      <c r="CX45" s="121"/>
      <c r="CY45" s="121"/>
      <c r="CZ45" s="121"/>
      <c r="DA45" s="121"/>
      <c r="DB45" s="121"/>
      <c r="DC45" s="121"/>
      <c r="DD45" s="121"/>
      <c r="DE45" s="121"/>
      <c r="DF45" s="121"/>
      <c r="DG45" s="121"/>
      <c r="DH45" s="121"/>
      <c r="DI45" s="121"/>
      <c r="DJ45" s="121"/>
      <c r="DK45" s="121"/>
      <c r="DL45" s="121"/>
      <c r="DM45" s="121"/>
      <c r="DN45" s="121"/>
      <c r="DO45" s="121"/>
      <c r="DP45" s="121"/>
      <c r="DQ45" s="121"/>
      <c r="DR45" s="121"/>
      <c r="DS45" s="121"/>
      <c r="DT45" s="121"/>
      <c r="DU45" s="121"/>
      <c r="DV45" s="121"/>
      <c r="DW45" s="121"/>
      <c r="DX45" s="121"/>
      <c r="DY45" s="121"/>
      <c r="DZ45" s="121"/>
      <c r="EA45" s="121"/>
      <c r="EB45" s="121"/>
      <c r="EC45" s="121"/>
      <c r="ED45" s="121"/>
      <c r="EE45" s="121"/>
      <c r="EF45" s="121"/>
      <c r="EG45" s="121"/>
      <c r="EH45" s="121"/>
      <c r="EI45" s="121"/>
      <c r="EJ45" s="121"/>
      <c r="EK45" s="121"/>
      <c r="EL45" s="121"/>
      <c r="EM45" s="121"/>
      <c r="EN45" s="121"/>
      <c r="EO45" s="121"/>
      <c r="EP45" s="121"/>
      <c r="EQ45" s="121"/>
      <c r="ER45" s="121"/>
      <c r="ES45" s="121"/>
      <c r="ET45" s="121"/>
      <c r="EU45" s="121"/>
      <c r="EV45" s="121"/>
      <c r="EW45" s="121"/>
      <c r="EX45" s="121"/>
      <c r="EY45" s="121"/>
      <c r="EZ45" s="121"/>
      <c r="FA45" s="121"/>
      <c r="FB45" s="121"/>
      <c r="FC45" s="121"/>
      <c r="FD45" s="121"/>
      <c r="FE45" s="121"/>
      <c r="FF45" s="121"/>
      <c r="FG45" s="121"/>
      <c r="FH45" s="121"/>
      <c r="FI45" s="121"/>
      <c r="FJ45" s="121"/>
      <c r="FK45" s="121"/>
      <c r="FL45" s="121"/>
      <c r="FM45" s="121"/>
      <c r="FN45" s="121"/>
      <c r="FO45" s="121"/>
      <c r="FP45" s="121"/>
      <c r="FQ45" s="121"/>
      <c r="FR45" s="121"/>
      <c r="FS45" s="121"/>
      <c r="FT45" s="121"/>
      <c r="FU45" s="121"/>
      <c r="FV45" s="121"/>
      <c r="FW45" s="121"/>
      <c r="FX45" s="121"/>
      <c r="FY45" s="121"/>
      <c r="FZ45" s="121"/>
      <c r="GA45" s="121"/>
      <c r="GB45" s="121"/>
      <c r="GC45" s="121"/>
      <c r="GD45" s="121"/>
      <c r="GE45" s="121"/>
      <c r="GF45" s="121"/>
      <c r="GG45" s="121"/>
      <c r="GH45" s="121"/>
      <c r="GI45" s="121"/>
      <c r="GJ45" s="121"/>
      <c r="GK45" s="121"/>
      <c r="GL45" s="121"/>
      <c r="GM45" s="121"/>
      <c r="GN45" s="121"/>
      <c r="GO45" s="121"/>
      <c r="GP45" s="121"/>
      <c r="GQ45" s="121"/>
      <c r="GR45" s="121"/>
      <c r="GS45" s="121"/>
      <c r="GT45" s="121"/>
      <c r="GU45" s="121"/>
      <c r="GV45" s="121"/>
      <c r="GW45" s="121"/>
      <c r="GX45" s="121"/>
      <c r="GY45" s="121"/>
      <c r="GZ45" s="121"/>
      <c r="HA45" s="121"/>
      <c r="HB45" s="121"/>
      <c r="HC45" s="121"/>
      <c r="HD45" s="121"/>
      <c r="HE45" s="121"/>
      <c r="HF45" s="121"/>
      <c r="HG45" s="121"/>
      <c r="HH45" s="121"/>
      <c r="HI45" s="121"/>
      <c r="HJ45" s="121"/>
      <c r="HK45" s="121"/>
      <c r="HL45" s="121"/>
      <c r="HM45" s="121"/>
      <c r="HN45" s="121"/>
      <c r="HO45" s="121"/>
      <c r="HP45" s="121"/>
      <c r="HQ45" s="121"/>
      <c r="HR45" s="121"/>
      <c r="HS45" s="121"/>
      <c r="HT45" s="121"/>
      <c r="HU45" s="121"/>
      <c r="HV45" s="121"/>
      <c r="HW45" s="121"/>
      <c r="HX45" s="121"/>
      <c r="HY45" s="121"/>
      <c r="HZ45" s="121"/>
      <c r="IA45" s="121"/>
      <c r="IB45" s="121"/>
      <c r="IC45" s="121"/>
      <c r="ID45" s="121"/>
      <c r="IE45" s="121"/>
      <c r="IF45" s="121"/>
      <c r="IG45" s="121"/>
      <c r="IH45" s="121"/>
      <c r="II45" s="121"/>
      <c r="IJ45" s="121"/>
      <c r="IK45" s="121"/>
      <c r="IL45" s="121"/>
      <c r="IM45" s="121"/>
      <c r="IN45" s="121"/>
      <c r="IO45" s="121"/>
      <c r="IP45" s="121"/>
      <c r="IQ45" s="121"/>
      <c r="IR45" s="121"/>
      <c r="IS45" s="121"/>
      <c r="IT45" s="121"/>
      <c r="IU45" s="121"/>
      <c r="IV45" s="121"/>
    </row>
    <row r="46" spans="1:256" ht="12.75">
      <c r="A46" s="117"/>
      <c r="B46" s="118" t="s">
        <v>548</v>
      </c>
      <c r="C46" s="122" t="s">
        <v>549</v>
      </c>
      <c r="D46" s="578"/>
      <c r="E46" s="579"/>
      <c r="F46" s="564"/>
      <c r="G46" s="580"/>
      <c r="H46" s="566"/>
      <c r="I46" s="581"/>
      <c r="J46" s="563"/>
      <c r="K46" s="564"/>
      <c r="L46" s="567"/>
      <c r="M46" s="120"/>
      <c r="N46" s="165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1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1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1"/>
      <c r="CF46" s="121"/>
      <c r="CG46" s="121"/>
      <c r="CH46" s="121"/>
      <c r="CI46" s="121"/>
      <c r="CJ46" s="121"/>
      <c r="CK46" s="121"/>
      <c r="CL46" s="121"/>
      <c r="CM46" s="121"/>
      <c r="CN46" s="121"/>
      <c r="CO46" s="121"/>
      <c r="CP46" s="121"/>
      <c r="CQ46" s="121"/>
      <c r="CR46" s="121"/>
      <c r="CS46" s="121"/>
      <c r="CT46" s="121"/>
      <c r="CU46" s="121"/>
      <c r="CV46" s="121"/>
      <c r="CW46" s="121"/>
      <c r="CX46" s="121"/>
      <c r="CY46" s="121"/>
      <c r="CZ46" s="121"/>
      <c r="DA46" s="121"/>
      <c r="DB46" s="121"/>
      <c r="DC46" s="121"/>
      <c r="DD46" s="121"/>
      <c r="DE46" s="121"/>
      <c r="DF46" s="121"/>
      <c r="DG46" s="121"/>
      <c r="DH46" s="121"/>
      <c r="DI46" s="121"/>
      <c r="DJ46" s="121"/>
      <c r="DK46" s="121"/>
      <c r="DL46" s="121"/>
      <c r="DM46" s="121"/>
      <c r="DN46" s="121"/>
      <c r="DO46" s="121"/>
      <c r="DP46" s="121"/>
      <c r="DQ46" s="121"/>
      <c r="DR46" s="121"/>
      <c r="DS46" s="121"/>
      <c r="DT46" s="121"/>
      <c r="DU46" s="121"/>
      <c r="DV46" s="121"/>
      <c r="DW46" s="121"/>
      <c r="DX46" s="121"/>
      <c r="DY46" s="121"/>
      <c r="DZ46" s="121"/>
      <c r="EA46" s="121"/>
      <c r="EB46" s="121"/>
      <c r="EC46" s="121"/>
      <c r="ED46" s="121"/>
      <c r="EE46" s="121"/>
      <c r="EF46" s="121"/>
      <c r="EG46" s="121"/>
      <c r="EH46" s="121"/>
      <c r="EI46" s="121"/>
      <c r="EJ46" s="121"/>
      <c r="EK46" s="121"/>
      <c r="EL46" s="121"/>
      <c r="EM46" s="121"/>
      <c r="EN46" s="121"/>
      <c r="EO46" s="121"/>
      <c r="EP46" s="121"/>
      <c r="EQ46" s="121"/>
      <c r="ER46" s="121"/>
      <c r="ES46" s="121"/>
      <c r="ET46" s="121"/>
      <c r="EU46" s="121"/>
      <c r="EV46" s="121"/>
      <c r="EW46" s="121"/>
      <c r="EX46" s="121"/>
      <c r="EY46" s="121"/>
      <c r="EZ46" s="121"/>
      <c r="FA46" s="121"/>
      <c r="FB46" s="121"/>
      <c r="FC46" s="121"/>
      <c r="FD46" s="121"/>
      <c r="FE46" s="121"/>
      <c r="FF46" s="121"/>
      <c r="FG46" s="121"/>
      <c r="FH46" s="121"/>
      <c r="FI46" s="121"/>
      <c r="FJ46" s="121"/>
      <c r="FK46" s="121"/>
      <c r="FL46" s="121"/>
      <c r="FM46" s="121"/>
      <c r="FN46" s="121"/>
      <c r="FO46" s="121"/>
      <c r="FP46" s="121"/>
      <c r="FQ46" s="121"/>
      <c r="FR46" s="121"/>
      <c r="FS46" s="121"/>
      <c r="FT46" s="121"/>
      <c r="FU46" s="121"/>
      <c r="FV46" s="121"/>
      <c r="FW46" s="121"/>
      <c r="FX46" s="121"/>
      <c r="FY46" s="121"/>
      <c r="FZ46" s="121"/>
      <c r="GA46" s="121"/>
      <c r="GB46" s="121"/>
      <c r="GC46" s="121"/>
      <c r="GD46" s="121"/>
      <c r="GE46" s="121"/>
      <c r="GF46" s="121"/>
      <c r="GG46" s="121"/>
      <c r="GH46" s="121"/>
      <c r="GI46" s="121"/>
      <c r="GJ46" s="121"/>
      <c r="GK46" s="121"/>
      <c r="GL46" s="121"/>
      <c r="GM46" s="121"/>
      <c r="GN46" s="121"/>
      <c r="GO46" s="121"/>
      <c r="GP46" s="121"/>
      <c r="GQ46" s="121"/>
      <c r="GR46" s="121"/>
      <c r="GS46" s="121"/>
      <c r="GT46" s="121"/>
      <c r="GU46" s="121"/>
      <c r="GV46" s="121"/>
      <c r="GW46" s="121"/>
      <c r="GX46" s="121"/>
      <c r="GY46" s="121"/>
      <c r="GZ46" s="121"/>
      <c r="HA46" s="121"/>
      <c r="HB46" s="121"/>
      <c r="HC46" s="121"/>
      <c r="HD46" s="121"/>
      <c r="HE46" s="121"/>
      <c r="HF46" s="121"/>
      <c r="HG46" s="121"/>
      <c r="HH46" s="121"/>
      <c r="HI46" s="121"/>
      <c r="HJ46" s="121"/>
      <c r="HK46" s="121"/>
      <c r="HL46" s="121"/>
      <c r="HM46" s="121"/>
      <c r="HN46" s="121"/>
      <c r="HO46" s="121"/>
      <c r="HP46" s="121"/>
      <c r="HQ46" s="121"/>
      <c r="HR46" s="121"/>
      <c r="HS46" s="121"/>
      <c r="HT46" s="121"/>
      <c r="HU46" s="121"/>
      <c r="HV46" s="121"/>
      <c r="HW46" s="121"/>
      <c r="HX46" s="121"/>
      <c r="HY46" s="121"/>
      <c r="HZ46" s="121"/>
      <c r="IA46" s="121"/>
      <c r="IB46" s="121"/>
      <c r="IC46" s="121"/>
      <c r="ID46" s="121"/>
      <c r="IE46" s="121"/>
      <c r="IF46" s="121"/>
      <c r="IG46" s="121"/>
      <c r="IH46" s="121"/>
      <c r="II46" s="121"/>
      <c r="IJ46" s="121"/>
      <c r="IK46" s="121"/>
      <c r="IL46" s="121"/>
      <c r="IM46" s="121"/>
      <c r="IN46" s="121"/>
      <c r="IO46" s="121"/>
      <c r="IP46" s="121"/>
      <c r="IQ46" s="121"/>
      <c r="IR46" s="121"/>
      <c r="IS46" s="121"/>
      <c r="IT46" s="121"/>
      <c r="IU46" s="121"/>
      <c r="IV46" s="121"/>
    </row>
    <row r="47" spans="1:14" ht="25.5">
      <c r="A47" s="30"/>
      <c r="B47" s="115" t="s">
        <v>547</v>
      </c>
      <c r="C47" s="153" t="s">
        <v>120</v>
      </c>
      <c r="D47" s="568">
        <v>8811</v>
      </c>
      <c r="E47" s="569">
        <v>1210</v>
      </c>
      <c r="F47" s="570">
        <f>D47*E47</f>
        <v>10661310</v>
      </c>
      <c r="G47" s="591"/>
      <c r="H47" s="592"/>
      <c r="I47" s="587"/>
      <c r="J47" s="589"/>
      <c r="K47" s="570"/>
      <c r="L47" s="572">
        <f t="shared" si="1"/>
        <v>10661310</v>
      </c>
      <c r="M47" s="31"/>
      <c r="N47" s="31"/>
    </row>
    <row r="48" spans="1:14" ht="12.75">
      <c r="A48" s="30"/>
      <c r="B48" s="115" t="s">
        <v>1019</v>
      </c>
      <c r="C48" s="153" t="s">
        <v>1020</v>
      </c>
      <c r="D48" s="568"/>
      <c r="E48" s="569"/>
      <c r="F48" s="570">
        <v>1004278</v>
      </c>
      <c r="G48" s="591"/>
      <c r="H48" s="592"/>
      <c r="I48" s="587"/>
      <c r="J48" s="589"/>
      <c r="K48" s="570"/>
      <c r="L48" s="572">
        <f t="shared" si="1"/>
        <v>1004278</v>
      </c>
      <c r="M48" s="31"/>
      <c r="N48" s="31"/>
    </row>
    <row r="49" spans="1:256" ht="15">
      <c r="A49" s="1248" t="s">
        <v>493</v>
      </c>
      <c r="B49" s="1248"/>
      <c r="C49" s="1249"/>
      <c r="D49" s="593" t="s">
        <v>463</v>
      </c>
      <c r="E49" s="594" t="s">
        <v>463</v>
      </c>
      <c r="F49" s="595">
        <f>SUM(F45,F30,F19,F8)</f>
        <v>347532944</v>
      </c>
      <c r="G49" s="593" t="s">
        <v>463</v>
      </c>
      <c r="H49" s="596" t="s">
        <v>463</v>
      </c>
      <c r="I49" s="596" t="s">
        <v>463</v>
      </c>
      <c r="J49" s="594" t="s">
        <v>463</v>
      </c>
      <c r="K49" s="595">
        <f>SUM(K45,K30,K19,K8)</f>
        <v>153579152</v>
      </c>
      <c r="L49" s="597">
        <f>SUM(L45,L30,L19,L8)</f>
        <v>501112096</v>
      </c>
      <c r="M49" s="33"/>
      <c r="N49" s="34">
        <f>SUM(N45,N30,N19,N8)</f>
        <v>501112096</v>
      </c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35"/>
      <c r="BW49" s="35"/>
      <c r="BX49" s="35"/>
      <c r="BY49" s="35"/>
      <c r="BZ49" s="35"/>
      <c r="CA49" s="35"/>
      <c r="CB49" s="35"/>
      <c r="CC49" s="35"/>
      <c r="CD49" s="35"/>
      <c r="CE49" s="35"/>
      <c r="CF49" s="35"/>
      <c r="CG49" s="35"/>
      <c r="CH49" s="35"/>
      <c r="CI49" s="35"/>
      <c r="CJ49" s="35"/>
      <c r="CK49" s="35"/>
      <c r="CL49" s="35"/>
      <c r="CM49" s="35"/>
      <c r="CN49" s="35"/>
      <c r="CO49" s="35"/>
      <c r="CP49" s="35"/>
      <c r="CQ49" s="35"/>
      <c r="CR49" s="35"/>
      <c r="CS49" s="35"/>
      <c r="CT49" s="35"/>
      <c r="CU49" s="35"/>
      <c r="CV49" s="35"/>
      <c r="CW49" s="35"/>
      <c r="CX49" s="35"/>
      <c r="CY49" s="35"/>
      <c r="CZ49" s="35"/>
      <c r="DA49" s="35"/>
      <c r="DB49" s="35"/>
      <c r="DC49" s="35"/>
      <c r="DD49" s="35"/>
      <c r="DE49" s="35"/>
      <c r="DF49" s="35"/>
      <c r="DG49" s="35"/>
      <c r="DH49" s="35"/>
      <c r="DI49" s="35"/>
      <c r="DJ49" s="35"/>
      <c r="DK49" s="35"/>
      <c r="DL49" s="35"/>
      <c r="DM49" s="35"/>
      <c r="DN49" s="35"/>
      <c r="DO49" s="35"/>
      <c r="DP49" s="35"/>
      <c r="DQ49" s="35"/>
      <c r="DR49" s="35"/>
      <c r="DS49" s="35"/>
      <c r="DT49" s="35"/>
      <c r="DU49" s="35"/>
      <c r="DV49" s="35"/>
      <c r="DW49" s="35"/>
      <c r="DX49" s="35"/>
      <c r="DY49" s="35"/>
      <c r="DZ49" s="35"/>
      <c r="EA49" s="35"/>
      <c r="EB49" s="35"/>
      <c r="EC49" s="35"/>
      <c r="ED49" s="35"/>
      <c r="EE49" s="35"/>
      <c r="EF49" s="35"/>
      <c r="EG49" s="35"/>
      <c r="EH49" s="35"/>
      <c r="EI49" s="35"/>
      <c r="EJ49" s="35"/>
      <c r="EK49" s="35"/>
      <c r="EL49" s="35"/>
      <c r="EM49" s="35"/>
      <c r="EN49" s="35"/>
      <c r="EO49" s="35"/>
      <c r="EP49" s="35"/>
      <c r="EQ49" s="35"/>
      <c r="ER49" s="35"/>
      <c r="ES49" s="35"/>
      <c r="ET49" s="35"/>
      <c r="EU49" s="35"/>
      <c r="EV49" s="35"/>
      <c r="EW49" s="35"/>
      <c r="EX49" s="35"/>
      <c r="EY49" s="35"/>
      <c r="EZ49" s="35"/>
      <c r="FA49" s="35"/>
      <c r="FB49" s="35"/>
      <c r="FC49" s="35"/>
      <c r="FD49" s="35"/>
      <c r="FE49" s="35"/>
      <c r="FF49" s="35"/>
      <c r="FG49" s="35"/>
      <c r="FH49" s="35"/>
      <c r="FI49" s="35"/>
      <c r="FJ49" s="35"/>
      <c r="FK49" s="35"/>
      <c r="FL49" s="35"/>
      <c r="FM49" s="35"/>
      <c r="FN49" s="35"/>
      <c r="FO49" s="35"/>
      <c r="FP49" s="35"/>
      <c r="FQ49" s="35"/>
      <c r="FR49" s="35"/>
      <c r="FS49" s="35"/>
      <c r="FT49" s="35"/>
      <c r="FU49" s="35"/>
      <c r="FV49" s="35"/>
      <c r="FW49" s="35"/>
      <c r="FX49" s="35"/>
      <c r="FY49" s="35"/>
      <c r="FZ49" s="35"/>
      <c r="GA49" s="35"/>
      <c r="GB49" s="35"/>
      <c r="GC49" s="35"/>
      <c r="GD49" s="35"/>
      <c r="GE49" s="35"/>
      <c r="GF49" s="35"/>
      <c r="GG49" s="35"/>
      <c r="GH49" s="35"/>
      <c r="GI49" s="35"/>
      <c r="GJ49" s="35"/>
      <c r="GK49" s="35"/>
      <c r="GL49" s="35"/>
      <c r="GM49" s="35"/>
      <c r="GN49" s="35"/>
      <c r="GO49" s="35"/>
      <c r="GP49" s="35"/>
      <c r="GQ49" s="35"/>
      <c r="GR49" s="35"/>
      <c r="GS49" s="35"/>
      <c r="GT49" s="35"/>
      <c r="GU49" s="35"/>
      <c r="GV49" s="35"/>
      <c r="GW49" s="35"/>
      <c r="GX49" s="35"/>
      <c r="GY49" s="35"/>
      <c r="GZ49" s="35"/>
      <c r="HA49" s="35"/>
      <c r="HB49" s="35"/>
      <c r="HC49" s="35"/>
      <c r="HD49" s="35"/>
      <c r="HE49" s="35"/>
      <c r="HF49" s="35"/>
      <c r="HG49" s="35"/>
      <c r="HH49" s="35"/>
      <c r="HI49" s="35"/>
      <c r="HJ49" s="35"/>
      <c r="HK49" s="35"/>
      <c r="HL49" s="35"/>
      <c r="HM49" s="35"/>
      <c r="HN49" s="35"/>
      <c r="HO49" s="35"/>
      <c r="HP49" s="35"/>
      <c r="HQ49" s="35"/>
      <c r="HR49" s="35"/>
      <c r="HS49" s="35"/>
      <c r="HT49" s="35"/>
      <c r="HU49" s="35"/>
      <c r="HV49" s="35"/>
      <c r="HW49" s="35"/>
      <c r="HX49" s="35"/>
      <c r="HY49" s="35"/>
      <c r="HZ49" s="35"/>
      <c r="IA49" s="35"/>
      <c r="IB49" s="35"/>
      <c r="IC49" s="35"/>
      <c r="ID49" s="35"/>
      <c r="IE49" s="35"/>
      <c r="IF49" s="35"/>
      <c r="IG49" s="35"/>
      <c r="IH49" s="35"/>
      <c r="II49" s="35"/>
      <c r="IJ49" s="35"/>
      <c r="IK49" s="35"/>
      <c r="IL49" s="35"/>
      <c r="IM49" s="35"/>
      <c r="IN49" s="35"/>
      <c r="IO49" s="35"/>
      <c r="IP49" s="35"/>
      <c r="IQ49" s="35"/>
      <c r="IR49" s="35"/>
      <c r="IS49" s="35"/>
      <c r="IT49" s="35"/>
      <c r="IU49" s="35"/>
      <c r="IV49" s="35"/>
    </row>
    <row r="50" spans="1:256" s="835" customFormat="1" ht="15">
      <c r="A50" s="828"/>
      <c r="B50" s="828"/>
      <c r="C50" s="828"/>
      <c r="D50" s="829"/>
      <c r="E50" s="829"/>
      <c r="F50" s="830"/>
      <c r="G50" s="829"/>
      <c r="H50" s="829"/>
      <c r="I50" s="829"/>
      <c r="J50" s="829"/>
      <c r="K50" s="830"/>
      <c r="L50" s="831"/>
      <c r="M50" s="832"/>
      <c r="N50" s="833"/>
      <c r="O50" s="834"/>
      <c r="P50" s="834"/>
      <c r="Q50" s="834"/>
      <c r="R50" s="834"/>
      <c r="S50" s="834"/>
      <c r="T50" s="834"/>
      <c r="U50" s="834"/>
      <c r="V50" s="834"/>
      <c r="W50" s="834"/>
      <c r="X50" s="834"/>
      <c r="Y50" s="834"/>
      <c r="Z50" s="834"/>
      <c r="AA50" s="834"/>
      <c r="AB50" s="834"/>
      <c r="AC50" s="834"/>
      <c r="AD50" s="834"/>
      <c r="AE50" s="834"/>
      <c r="AF50" s="834"/>
      <c r="AG50" s="834"/>
      <c r="AH50" s="834"/>
      <c r="AI50" s="834"/>
      <c r="AJ50" s="834"/>
      <c r="AK50" s="834"/>
      <c r="AL50" s="834"/>
      <c r="AM50" s="834"/>
      <c r="AN50" s="834"/>
      <c r="AO50" s="834"/>
      <c r="AP50" s="834"/>
      <c r="AQ50" s="834"/>
      <c r="AR50" s="834"/>
      <c r="AS50" s="834"/>
      <c r="AT50" s="834"/>
      <c r="AU50" s="834"/>
      <c r="AV50" s="834"/>
      <c r="AW50" s="834"/>
      <c r="AX50" s="834"/>
      <c r="AY50" s="834"/>
      <c r="AZ50" s="834"/>
      <c r="BA50" s="834"/>
      <c r="BB50" s="834"/>
      <c r="BC50" s="834"/>
      <c r="BD50" s="834"/>
      <c r="BE50" s="834"/>
      <c r="BF50" s="834"/>
      <c r="BG50" s="834"/>
      <c r="BH50" s="834"/>
      <c r="BI50" s="834"/>
      <c r="BJ50" s="834"/>
      <c r="BK50" s="834"/>
      <c r="BL50" s="834"/>
      <c r="BM50" s="834"/>
      <c r="BN50" s="834"/>
      <c r="BO50" s="834"/>
      <c r="BP50" s="834"/>
      <c r="BQ50" s="834"/>
      <c r="BR50" s="834"/>
      <c r="BS50" s="834"/>
      <c r="BT50" s="834"/>
      <c r="BU50" s="834"/>
      <c r="BV50" s="834"/>
      <c r="BW50" s="834"/>
      <c r="BX50" s="834"/>
      <c r="BY50" s="834"/>
      <c r="BZ50" s="834"/>
      <c r="CA50" s="834"/>
      <c r="CB50" s="834"/>
      <c r="CC50" s="834"/>
      <c r="CD50" s="834"/>
      <c r="CE50" s="834"/>
      <c r="CF50" s="834"/>
      <c r="CG50" s="834"/>
      <c r="CH50" s="834"/>
      <c r="CI50" s="834"/>
      <c r="CJ50" s="834"/>
      <c r="CK50" s="834"/>
      <c r="CL50" s="834"/>
      <c r="CM50" s="834"/>
      <c r="CN50" s="834"/>
      <c r="CO50" s="834"/>
      <c r="CP50" s="834"/>
      <c r="CQ50" s="834"/>
      <c r="CR50" s="834"/>
      <c r="CS50" s="834"/>
      <c r="CT50" s="834"/>
      <c r="CU50" s="834"/>
      <c r="CV50" s="834"/>
      <c r="CW50" s="834"/>
      <c r="CX50" s="834"/>
      <c r="CY50" s="834"/>
      <c r="CZ50" s="834"/>
      <c r="DA50" s="834"/>
      <c r="DB50" s="834"/>
      <c r="DC50" s="834"/>
      <c r="DD50" s="834"/>
      <c r="DE50" s="834"/>
      <c r="DF50" s="834"/>
      <c r="DG50" s="834"/>
      <c r="DH50" s="834"/>
      <c r="DI50" s="834"/>
      <c r="DJ50" s="834"/>
      <c r="DK50" s="834"/>
      <c r="DL50" s="834"/>
      <c r="DM50" s="834"/>
      <c r="DN50" s="834"/>
      <c r="DO50" s="834"/>
      <c r="DP50" s="834"/>
      <c r="DQ50" s="834"/>
      <c r="DR50" s="834"/>
      <c r="DS50" s="834"/>
      <c r="DT50" s="834"/>
      <c r="DU50" s="834"/>
      <c r="DV50" s="834"/>
      <c r="DW50" s="834"/>
      <c r="DX50" s="834"/>
      <c r="DY50" s="834"/>
      <c r="DZ50" s="834"/>
      <c r="EA50" s="834"/>
      <c r="EB50" s="834"/>
      <c r="EC50" s="834"/>
      <c r="ED50" s="834"/>
      <c r="EE50" s="834"/>
      <c r="EF50" s="834"/>
      <c r="EG50" s="834"/>
      <c r="EH50" s="834"/>
      <c r="EI50" s="834"/>
      <c r="EJ50" s="834"/>
      <c r="EK50" s="834"/>
      <c r="EL50" s="834"/>
      <c r="EM50" s="834"/>
      <c r="EN50" s="834"/>
      <c r="EO50" s="834"/>
      <c r="EP50" s="834"/>
      <c r="EQ50" s="834"/>
      <c r="ER50" s="834"/>
      <c r="ES50" s="834"/>
      <c r="ET50" s="834"/>
      <c r="EU50" s="834"/>
      <c r="EV50" s="834"/>
      <c r="EW50" s="834"/>
      <c r="EX50" s="834"/>
      <c r="EY50" s="834"/>
      <c r="EZ50" s="834"/>
      <c r="FA50" s="834"/>
      <c r="FB50" s="834"/>
      <c r="FC50" s="834"/>
      <c r="FD50" s="834"/>
      <c r="FE50" s="834"/>
      <c r="FF50" s="834"/>
      <c r="FG50" s="834"/>
      <c r="FH50" s="834"/>
      <c r="FI50" s="834"/>
      <c r="FJ50" s="834"/>
      <c r="FK50" s="834"/>
      <c r="FL50" s="834"/>
      <c r="FM50" s="834"/>
      <c r="FN50" s="834"/>
      <c r="FO50" s="834"/>
      <c r="FP50" s="834"/>
      <c r="FQ50" s="834"/>
      <c r="FR50" s="834"/>
      <c r="FS50" s="834"/>
      <c r="FT50" s="834"/>
      <c r="FU50" s="834"/>
      <c r="FV50" s="834"/>
      <c r="FW50" s="834"/>
      <c r="FX50" s="834"/>
      <c r="FY50" s="834"/>
      <c r="FZ50" s="834"/>
      <c r="GA50" s="834"/>
      <c r="GB50" s="834"/>
      <c r="GC50" s="834"/>
      <c r="GD50" s="834"/>
      <c r="GE50" s="834"/>
      <c r="GF50" s="834"/>
      <c r="GG50" s="834"/>
      <c r="GH50" s="834"/>
      <c r="GI50" s="834"/>
      <c r="GJ50" s="834"/>
      <c r="GK50" s="834"/>
      <c r="GL50" s="834"/>
      <c r="GM50" s="834"/>
      <c r="GN50" s="834"/>
      <c r="GO50" s="834"/>
      <c r="GP50" s="834"/>
      <c r="GQ50" s="834"/>
      <c r="GR50" s="834"/>
      <c r="GS50" s="834"/>
      <c r="GT50" s="834"/>
      <c r="GU50" s="834"/>
      <c r="GV50" s="834"/>
      <c r="GW50" s="834"/>
      <c r="GX50" s="834"/>
      <c r="GY50" s="834"/>
      <c r="GZ50" s="834"/>
      <c r="HA50" s="834"/>
      <c r="HB50" s="834"/>
      <c r="HC50" s="834"/>
      <c r="HD50" s="834"/>
      <c r="HE50" s="834"/>
      <c r="HF50" s="834"/>
      <c r="HG50" s="834"/>
      <c r="HH50" s="834"/>
      <c r="HI50" s="834"/>
      <c r="HJ50" s="834"/>
      <c r="HK50" s="834"/>
      <c r="HL50" s="834"/>
      <c r="HM50" s="834"/>
      <c r="HN50" s="834"/>
      <c r="HO50" s="834"/>
      <c r="HP50" s="834"/>
      <c r="HQ50" s="834"/>
      <c r="HR50" s="834"/>
      <c r="HS50" s="834"/>
      <c r="HT50" s="834"/>
      <c r="HU50" s="834"/>
      <c r="HV50" s="834"/>
      <c r="HW50" s="834"/>
      <c r="HX50" s="834"/>
      <c r="HY50" s="834"/>
      <c r="HZ50" s="834"/>
      <c r="IA50" s="834"/>
      <c r="IB50" s="834"/>
      <c r="IC50" s="834"/>
      <c r="ID50" s="834"/>
      <c r="IE50" s="834"/>
      <c r="IF50" s="834"/>
      <c r="IG50" s="834"/>
      <c r="IH50" s="834"/>
      <c r="II50" s="834"/>
      <c r="IJ50" s="834"/>
      <c r="IK50" s="834"/>
      <c r="IL50" s="834"/>
      <c r="IM50" s="834"/>
      <c r="IN50" s="834"/>
      <c r="IO50" s="834"/>
      <c r="IP50" s="834"/>
      <c r="IQ50" s="834"/>
      <c r="IR50" s="834"/>
      <c r="IS50" s="834"/>
      <c r="IT50" s="834"/>
      <c r="IU50" s="834"/>
      <c r="IV50" s="834"/>
    </row>
    <row r="51" spans="1:14" ht="12.75">
      <c r="A51" s="30"/>
      <c r="B51" s="115"/>
      <c r="C51" s="153" t="s">
        <v>1018</v>
      </c>
      <c r="D51" s="588"/>
      <c r="E51" s="569"/>
      <c r="F51" s="570">
        <v>1096532</v>
      </c>
      <c r="G51" s="568"/>
      <c r="H51" s="571"/>
      <c r="I51" s="571"/>
      <c r="J51" s="569"/>
      <c r="K51" s="570"/>
      <c r="L51" s="572">
        <f>F51+K51</f>
        <v>1096532</v>
      </c>
      <c r="M51" s="31"/>
      <c r="N51" s="31"/>
    </row>
    <row r="52" spans="1:256" ht="15">
      <c r="A52" s="1248" t="s">
        <v>1022</v>
      </c>
      <c r="B52" s="1248"/>
      <c r="C52" s="1249"/>
      <c r="D52" s="593" t="s">
        <v>463</v>
      </c>
      <c r="E52" s="594" t="s">
        <v>463</v>
      </c>
      <c r="F52" s="595">
        <f>SUM(F51)</f>
        <v>1096532</v>
      </c>
      <c r="G52" s="593" t="s">
        <v>463</v>
      </c>
      <c r="H52" s="596" t="s">
        <v>463</v>
      </c>
      <c r="I52" s="596" t="s">
        <v>463</v>
      </c>
      <c r="J52" s="594" t="s">
        <v>463</v>
      </c>
      <c r="K52" s="595">
        <f>SUM(K51)</f>
        <v>0</v>
      </c>
      <c r="L52" s="597">
        <f>SUM(L51)</f>
        <v>1096532</v>
      </c>
      <c r="M52" s="33"/>
      <c r="N52" s="34">
        <f>SUM(L52)</f>
        <v>1096532</v>
      </c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/>
      <c r="BR52" s="35"/>
      <c r="BS52" s="35"/>
      <c r="BT52" s="35"/>
      <c r="BU52" s="35"/>
      <c r="BV52" s="35"/>
      <c r="BW52" s="35"/>
      <c r="BX52" s="35"/>
      <c r="BY52" s="35"/>
      <c r="BZ52" s="35"/>
      <c r="CA52" s="35"/>
      <c r="CB52" s="35"/>
      <c r="CC52" s="35"/>
      <c r="CD52" s="35"/>
      <c r="CE52" s="35"/>
      <c r="CF52" s="35"/>
      <c r="CG52" s="35"/>
      <c r="CH52" s="35"/>
      <c r="CI52" s="35"/>
      <c r="CJ52" s="35"/>
      <c r="CK52" s="35"/>
      <c r="CL52" s="35"/>
      <c r="CM52" s="35"/>
      <c r="CN52" s="35"/>
      <c r="CO52" s="35"/>
      <c r="CP52" s="35"/>
      <c r="CQ52" s="35"/>
      <c r="CR52" s="35"/>
      <c r="CS52" s="35"/>
      <c r="CT52" s="35"/>
      <c r="CU52" s="35"/>
      <c r="CV52" s="35"/>
      <c r="CW52" s="35"/>
      <c r="CX52" s="35"/>
      <c r="CY52" s="35"/>
      <c r="CZ52" s="35"/>
      <c r="DA52" s="35"/>
      <c r="DB52" s="35"/>
      <c r="DC52" s="35"/>
      <c r="DD52" s="35"/>
      <c r="DE52" s="35"/>
      <c r="DF52" s="35"/>
      <c r="DG52" s="35"/>
      <c r="DH52" s="35"/>
      <c r="DI52" s="35"/>
      <c r="DJ52" s="35"/>
      <c r="DK52" s="35"/>
      <c r="DL52" s="35"/>
      <c r="DM52" s="35"/>
      <c r="DN52" s="35"/>
      <c r="DO52" s="35"/>
      <c r="DP52" s="35"/>
      <c r="DQ52" s="35"/>
      <c r="DR52" s="35"/>
      <c r="DS52" s="35"/>
      <c r="DT52" s="35"/>
      <c r="DU52" s="35"/>
      <c r="DV52" s="35"/>
      <c r="DW52" s="35"/>
      <c r="DX52" s="35"/>
      <c r="DY52" s="35"/>
      <c r="DZ52" s="35"/>
      <c r="EA52" s="35"/>
      <c r="EB52" s="35"/>
      <c r="EC52" s="35"/>
      <c r="ED52" s="35"/>
      <c r="EE52" s="35"/>
      <c r="EF52" s="35"/>
      <c r="EG52" s="35"/>
      <c r="EH52" s="35"/>
      <c r="EI52" s="35"/>
      <c r="EJ52" s="35"/>
      <c r="EK52" s="35"/>
      <c r="EL52" s="35"/>
      <c r="EM52" s="35"/>
      <c r="EN52" s="35"/>
      <c r="EO52" s="35"/>
      <c r="EP52" s="35"/>
      <c r="EQ52" s="35"/>
      <c r="ER52" s="35"/>
      <c r="ES52" s="35"/>
      <c r="ET52" s="35"/>
      <c r="EU52" s="35"/>
      <c r="EV52" s="35"/>
      <c r="EW52" s="35"/>
      <c r="EX52" s="35"/>
      <c r="EY52" s="35"/>
      <c r="EZ52" s="35"/>
      <c r="FA52" s="35"/>
      <c r="FB52" s="35"/>
      <c r="FC52" s="35"/>
      <c r="FD52" s="35"/>
      <c r="FE52" s="35"/>
      <c r="FF52" s="35"/>
      <c r="FG52" s="35"/>
      <c r="FH52" s="35"/>
      <c r="FI52" s="35"/>
      <c r="FJ52" s="35"/>
      <c r="FK52" s="35"/>
      <c r="FL52" s="35"/>
      <c r="FM52" s="35"/>
      <c r="FN52" s="35"/>
      <c r="FO52" s="35"/>
      <c r="FP52" s="35"/>
      <c r="FQ52" s="35"/>
      <c r="FR52" s="35"/>
      <c r="FS52" s="35"/>
      <c r="FT52" s="35"/>
      <c r="FU52" s="35"/>
      <c r="FV52" s="35"/>
      <c r="FW52" s="35"/>
      <c r="FX52" s="35"/>
      <c r="FY52" s="35"/>
      <c r="FZ52" s="35"/>
      <c r="GA52" s="35"/>
      <c r="GB52" s="35"/>
      <c r="GC52" s="35"/>
      <c r="GD52" s="35"/>
      <c r="GE52" s="35"/>
      <c r="GF52" s="35"/>
      <c r="GG52" s="35"/>
      <c r="GH52" s="35"/>
      <c r="GI52" s="35"/>
      <c r="GJ52" s="35"/>
      <c r="GK52" s="35"/>
      <c r="GL52" s="35"/>
      <c r="GM52" s="35"/>
      <c r="GN52" s="35"/>
      <c r="GO52" s="35"/>
      <c r="GP52" s="35"/>
      <c r="GQ52" s="35"/>
      <c r="GR52" s="35"/>
      <c r="GS52" s="35"/>
      <c r="GT52" s="35"/>
      <c r="GU52" s="35"/>
      <c r="GV52" s="35"/>
      <c r="GW52" s="35"/>
      <c r="GX52" s="35"/>
      <c r="GY52" s="35"/>
      <c r="GZ52" s="35"/>
      <c r="HA52" s="35"/>
      <c r="HB52" s="35"/>
      <c r="HC52" s="35"/>
      <c r="HD52" s="35"/>
      <c r="HE52" s="35"/>
      <c r="HF52" s="35"/>
      <c r="HG52" s="35"/>
      <c r="HH52" s="35"/>
      <c r="HI52" s="35"/>
      <c r="HJ52" s="35"/>
      <c r="HK52" s="35"/>
      <c r="HL52" s="35"/>
      <c r="HM52" s="35"/>
      <c r="HN52" s="35"/>
      <c r="HO52" s="35"/>
      <c r="HP52" s="35"/>
      <c r="HQ52" s="35"/>
      <c r="HR52" s="35"/>
      <c r="HS52" s="35"/>
      <c r="HT52" s="35"/>
      <c r="HU52" s="35"/>
      <c r="HV52" s="35"/>
      <c r="HW52" s="35"/>
      <c r="HX52" s="35"/>
      <c r="HY52" s="35"/>
      <c r="HZ52" s="35"/>
      <c r="IA52" s="35"/>
      <c r="IB52" s="35"/>
      <c r="IC52" s="35"/>
      <c r="ID52" s="35"/>
      <c r="IE52" s="35"/>
      <c r="IF52" s="35"/>
      <c r="IG52" s="35"/>
      <c r="IH52" s="35"/>
      <c r="II52" s="35"/>
      <c r="IJ52" s="35"/>
      <c r="IK52" s="35"/>
      <c r="IL52" s="35"/>
      <c r="IM52" s="35"/>
      <c r="IN52" s="35"/>
      <c r="IO52" s="35"/>
      <c r="IP52" s="35"/>
      <c r="IQ52" s="35"/>
      <c r="IR52" s="35"/>
      <c r="IS52" s="35"/>
      <c r="IT52" s="35"/>
      <c r="IU52" s="35"/>
      <c r="IV52" s="35"/>
    </row>
    <row r="53" spans="4:12" ht="12.75">
      <c r="D53" s="598"/>
      <c r="E53" s="598"/>
      <c r="F53" s="598"/>
      <c r="G53" s="598"/>
      <c r="H53" s="598"/>
      <c r="I53" s="598"/>
      <c r="J53" s="598"/>
      <c r="K53" s="598"/>
      <c r="L53" s="598"/>
    </row>
    <row r="54" spans="1:256" ht="16.5">
      <c r="A54" s="1250" t="s">
        <v>121</v>
      </c>
      <c r="B54" s="1250"/>
      <c r="C54" s="1251"/>
      <c r="D54" s="599" t="s">
        <v>463</v>
      </c>
      <c r="E54" s="600" t="s">
        <v>463</v>
      </c>
      <c r="F54" s="601">
        <f>SUM(F49+F52)</f>
        <v>348629476</v>
      </c>
      <c r="G54" s="599" t="s">
        <v>463</v>
      </c>
      <c r="H54" s="602" t="s">
        <v>463</v>
      </c>
      <c r="I54" s="602" t="s">
        <v>463</v>
      </c>
      <c r="J54" s="600" t="s">
        <v>463</v>
      </c>
      <c r="K54" s="601">
        <f>SUM(K49+K52)</f>
        <v>153579152</v>
      </c>
      <c r="L54" s="603">
        <f>SUM(K54+F54)</f>
        <v>502208628</v>
      </c>
      <c r="M54" s="33"/>
      <c r="N54" s="34">
        <f>SUM(N52,N49)</f>
        <v>502208628</v>
      </c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35"/>
      <c r="BS54" s="35"/>
      <c r="BT54" s="35"/>
      <c r="BU54" s="35"/>
      <c r="BV54" s="35"/>
      <c r="BW54" s="35"/>
      <c r="BX54" s="35"/>
      <c r="BY54" s="35"/>
      <c r="BZ54" s="35"/>
      <c r="CA54" s="35"/>
      <c r="CB54" s="35"/>
      <c r="CC54" s="35"/>
      <c r="CD54" s="35"/>
      <c r="CE54" s="35"/>
      <c r="CF54" s="35"/>
      <c r="CG54" s="35"/>
      <c r="CH54" s="35"/>
      <c r="CI54" s="35"/>
      <c r="CJ54" s="35"/>
      <c r="CK54" s="35"/>
      <c r="CL54" s="35"/>
      <c r="CM54" s="35"/>
      <c r="CN54" s="35"/>
      <c r="CO54" s="35"/>
      <c r="CP54" s="35"/>
      <c r="CQ54" s="35"/>
      <c r="CR54" s="35"/>
      <c r="CS54" s="35"/>
      <c r="CT54" s="35"/>
      <c r="CU54" s="35"/>
      <c r="CV54" s="35"/>
      <c r="CW54" s="35"/>
      <c r="CX54" s="35"/>
      <c r="CY54" s="35"/>
      <c r="CZ54" s="35"/>
      <c r="DA54" s="35"/>
      <c r="DB54" s="35"/>
      <c r="DC54" s="35"/>
      <c r="DD54" s="35"/>
      <c r="DE54" s="35"/>
      <c r="DF54" s="35"/>
      <c r="DG54" s="35"/>
      <c r="DH54" s="35"/>
      <c r="DI54" s="35"/>
      <c r="DJ54" s="35"/>
      <c r="DK54" s="35"/>
      <c r="DL54" s="35"/>
      <c r="DM54" s="35"/>
      <c r="DN54" s="35"/>
      <c r="DO54" s="35"/>
      <c r="DP54" s="35"/>
      <c r="DQ54" s="35"/>
      <c r="DR54" s="35"/>
      <c r="DS54" s="35"/>
      <c r="DT54" s="35"/>
      <c r="DU54" s="35"/>
      <c r="DV54" s="35"/>
      <c r="DW54" s="35"/>
      <c r="DX54" s="35"/>
      <c r="DY54" s="35"/>
      <c r="DZ54" s="35"/>
      <c r="EA54" s="35"/>
      <c r="EB54" s="35"/>
      <c r="EC54" s="35"/>
      <c r="ED54" s="35"/>
      <c r="EE54" s="35"/>
      <c r="EF54" s="35"/>
      <c r="EG54" s="35"/>
      <c r="EH54" s="35"/>
      <c r="EI54" s="35"/>
      <c r="EJ54" s="35"/>
      <c r="EK54" s="35"/>
      <c r="EL54" s="35"/>
      <c r="EM54" s="35"/>
      <c r="EN54" s="35"/>
      <c r="EO54" s="35"/>
      <c r="EP54" s="35"/>
      <c r="EQ54" s="35"/>
      <c r="ER54" s="35"/>
      <c r="ES54" s="35"/>
      <c r="ET54" s="35"/>
      <c r="EU54" s="35"/>
      <c r="EV54" s="35"/>
      <c r="EW54" s="35"/>
      <c r="EX54" s="35"/>
      <c r="EY54" s="35"/>
      <c r="EZ54" s="35"/>
      <c r="FA54" s="35"/>
      <c r="FB54" s="35"/>
      <c r="FC54" s="35"/>
      <c r="FD54" s="35"/>
      <c r="FE54" s="35"/>
      <c r="FF54" s="35"/>
      <c r="FG54" s="35"/>
      <c r="FH54" s="35"/>
      <c r="FI54" s="35"/>
      <c r="FJ54" s="35"/>
      <c r="FK54" s="35"/>
      <c r="FL54" s="35"/>
      <c r="FM54" s="35"/>
      <c r="FN54" s="35"/>
      <c r="FO54" s="35"/>
      <c r="FP54" s="35"/>
      <c r="FQ54" s="35"/>
      <c r="FR54" s="35"/>
      <c r="FS54" s="35"/>
      <c r="FT54" s="35"/>
      <c r="FU54" s="35"/>
      <c r="FV54" s="35"/>
      <c r="FW54" s="35"/>
      <c r="FX54" s="35"/>
      <c r="FY54" s="35"/>
      <c r="FZ54" s="35"/>
      <c r="GA54" s="35"/>
      <c r="GB54" s="35"/>
      <c r="GC54" s="35"/>
      <c r="GD54" s="35"/>
      <c r="GE54" s="35"/>
      <c r="GF54" s="35"/>
      <c r="GG54" s="35"/>
      <c r="GH54" s="35"/>
      <c r="GI54" s="35"/>
      <c r="GJ54" s="35"/>
      <c r="GK54" s="35"/>
      <c r="GL54" s="35"/>
      <c r="GM54" s="35"/>
      <c r="GN54" s="35"/>
      <c r="GO54" s="35"/>
      <c r="GP54" s="35"/>
      <c r="GQ54" s="35"/>
      <c r="GR54" s="35"/>
      <c r="GS54" s="35"/>
      <c r="GT54" s="35"/>
      <c r="GU54" s="35"/>
      <c r="GV54" s="35"/>
      <c r="GW54" s="35"/>
      <c r="GX54" s="35"/>
      <c r="GY54" s="35"/>
      <c r="GZ54" s="35"/>
      <c r="HA54" s="35"/>
      <c r="HB54" s="35"/>
      <c r="HC54" s="35"/>
      <c r="HD54" s="35"/>
      <c r="HE54" s="35"/>
      <c r="HF54" s="35"/>
      <c r="HG54" s="35"/>
      <c r="HH54" s="35"/>
      <c r="HI54" s="35"/>
      <c r="HJ54" s="35"/>
      <c r="HK54" s="35"/>
      <c r="HL54" s="35"/>
      <c r="HM54" s="35"/>
      <c r="HN54" s="35"/>
      <c r="HO54" s="35"/>
      <c r="HP54" s="35"/>
      <c r="HQ54" s="35"/>
      <c r="HR54" s="35"/>
      <c r="HS54" s="35"/>
      <c r="HT54" s="35"/>
      <c r="HU54" s="35"/>
      <c r="HV54" s="35"/>
      <c r="HW54" s="35"/>
      <c r="HX54" s="35"/>
      <c r="HY54" s="35"/>
      <c r="HZ54" s="35"/>
      <c r="IA54" s="35"/>
      <c r="IB54" s="35"/>
      <c r="IC54" s="35"/>
      <c r="ID54" s="35"/>
      <c r="IE54" s="35"/>
      <c r="IF54" s="35"/>
      <c r="IG54" s="35"/>
      <c r="IH54" s="35"/>
      <c r="II54" s="35"/>
      <c r="IJ54" s="35"/>
      <c r="IK54" s="35"/>
      <c r="IL54" s="35"/>
      <c r="IM54" s="35"/>
      <c r="IN54" s="35"/>
      <c r="IO54" s="35"/>
      <c r="IP54" s="35"/>
      <c r="IQ54" s="35"/>
      <c r="IR54" s="35"/>
      <c r="IS54" s="35"/>
      <c r="IT54" s="35"/>
      <c r="IU54" s="35"/>
      <c r="IV54" s="35"/>
    </row>
    <row r="57" spans="2:3" ht="12.75">
      <c r="B57" s="882">
        <v>16</v>
      </c>
      <c r="C57" s="876" t="s">
        <v>1041</v>
      </c>
    </row>
  </sheetData>
  <sheetProtection/>
  <mergeCells count="11">
    <mergeCell ref="A2:K2"/>
    <mergeCell ref="A3:K3"/>
    <mergeCell ref="A5:C5"/>
    <mergeCell ref="D5:F5"/>
    <mergeCell ref="G5:K5"/>
    <mergeCell ref="A52:C52"/>
    <mergeCell ref="A49:C49"/>
    <mergeCell ref="A54:C54"/>
    <mergeCell ref="L5:L6"/>
    <mergeCell ref="A6:B6"/>
    <mergeCell ref="A7:B7"/>
  </mergeCells>
  <printOptions horizontalCentered="1" verticalCentered="1"/>
  <pageMargins left="0.1968503937007874" right="0.1968503937007874" top="0.5118110236220472" bottom="0.5118110236220472" header="0.5118110236220472" footer="0.5118110236220472"/>
  <pageSetup horizontalDpi="600" verticalDpi="600" orientation="landscape" paperSize="9" scale="5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K104"/>
  <sheetViews>
    <sheetView zoomScalePageLayoutView="0" workbookViewId="0" topLeftCell="A1">
      <selection activeCell="B1" sqref="B1:K1"/>
    </sheetView>
  </sheetViews>
  <sheetFormatPr defaultColWidth="9.00390625" defaultRowHeight="12.75"/>
  <cols>
    <col min="1" max="1" width="4.625" style="691" customWidth="1"/>
    <col min="2" max="2" width="36.125" style="173" customWidth="1"/>
    <col min="3" max="3" width="15.00390625" style="173" customWidth="1"/>
    <col min="4" max="4" width="11.125" style="173" bestFit="1" customWidth="1"/>
    <col min="5" max="5" width="11.875" style="173" customWidth="1"/>
    <col min="6" max="6" width="11.75390625" style="173" customWidth="1"/>
    <col min="7" max="8" width="11.25390625" style="173" customWidth="1"/>
    <col min="9" max="9" width="11.75390625" style="173" customWidth="1"/>
    <col min="10" max="10" width="15.375" style="173" customWidth="1"/>
    <col min="11" max="11" width="16.625" style="173" customWidth="1"/>
  </cols>
  <sheetData>
    <row r="1" spans="2:11" ht="15">
      <c r="B1" s="1290" t="s">
        <v>1044</v>
      </c>
      <c r="C1" s="1290"/>
      <c r="D1" s="1290"/>
      <c r="E1" s="1290"/>
      <c r="F1" s="1290"/>
      <c r="G1" s="1290"/>
      <c r="H1" s="1290"/>
      <c r="I1" s="1290"/>
      <c r="J1" s="1290"/>
      <c r="K1" s="1290"/>
    </row>
    <row r="4" spans="2:11" ht="41.25" customHeight="1">
      <c r="B4" s="1291" t="s">
        <v>919</v>
      </c>
      <c r="C4" s="1291"/>
      <c r="D4" s="1291"/>
      <c r="E4" s="1291"/>
      <c r="F4" s="1291"/>
      <c r="G4" s="1291"/>
      <c r="H4" s="1291"/>
      <c r="I4" s="1291"/>
      <c r="J4" s="1291"/>
      <c r="K4" s="1291"/>
    </row>
    <row r="7" ht="13.5" thickBot="1"/>
    <row r="8" spans="1:11" ht="12.75">
      <c r="A8" s="1292" t="s">
        <v>440</v>
      </c>
      <c r="B8" s="1295" t="s">
        <v>369</v>
      </c>
      <c r="C8" s="1298" t="s">
        <v>905</v>
      </c>
      <c r="D8" s="1299"/>
      <c r="E8" s="1299"/>
      <c r="F8" s="1299"/>
      <c r="G8" s="1299"/>
      <c r="H8" s="1300"/>
      <c r="I8" s="1300"/>
      <c r="J8" s="1301" t="s">
        <v>958</v>
      </c>
      <c r="K8" s="1301" t="s">
        <v>920</v>
      </c>
    </row>
    <row r="9" spans="1:11" ht="12.75">
      <c r="A9" s="1293"/>
      <c r="B9" s="1296"/>
      <c r="C9" s="1304" t="s">
        <v>429</v>
      </c>
      <c r="D9" s="1305" t="s">
        <v>906</v>
      </c>
      <c r="E9" s="1306"/>
      <c r="F9" s="1306"/>
      <c r="G9" s="1306"/>
      <c r="H9" s="1307"/>
      <c r="I9" s="1307"/>
      <c r="J9" s="1302"/>
      <c r="K9" s="1302"/>
    </row>
    <row r="10" spans="1:11" ht="42" customHeight="1">
      <c r="A10" s="1294"/>
      <c r="B10" s="1297"/>
      <c r="C10" s="1304"/>
      <c r="D10" s="693" t="s">
        <v>450</v>
      </c>
      <c r="E10" s="693" t="s">
        <v>451</v>
      </c>
      <c r="F10" s="693" t="s">
        <v>452</v>
      </c>
      <c r="G10" s="693" t="s">
        <v>453</v>
      </c>
      <c r="H10" s="694" t="s">
        <v>454</v>
      </c>
      <c r="I10" s="694" t="s">
        <v>455</v>
      </c>
      <c r="J10" s="1303"/>
      <c r="K10" s="1303"/>
    </row>
    <row r="11" spans="1:11" ht="13.5" thickBot="1">
      <c r="A11" s="692" t="s">
        <v>434</v>
      </c>
      <c r="B11" s="695" t="s">
        <v>435</v>
      </c>
      <c r="C11" s="696" t="s">
        <v>436</v>
      </c>
      <c r="D11" s="697" t="s">
        <v>437</v>
      </c>
      <c r="E11" s="698" t="s">
        <v>438</v>
      </c>
      <c r="F11" s="698" t="s">
        <v>439</v>
      </c>
      <c r="G11" s="698" t="s">
        <v>441</v>
      </c>
      <c r="H11" s="698" t="s">
        <v>442</v>
      </c>
      <c r="I11" s="698" t="s">
        <v>393</v>
      </c>
      <c r="J11" s="699" t="s">
        <v>394</v>
      </c>
      <c r="K11" s="700" t="s">
        <v>395</v>
      </c>
    </row>
    <row r="12" spans="1:11" ht="19.5" thickBot="1" thickTop="1">
      <c r="A12" s="872">
        <v>1</v>
      </c>
      <c r="B12" s="1283" t="s">
        <v>91</v>
      </c>
      <c r="C12" s="1284"/>
      <c r="D12" s="1284"/>
      <c r="E12" s="1284"/>
      <c r="F12" s="1284"/>
      <c r="G12" s="1284"/>
      <c r="H12" s="1284"/>
      <c r="I12" s="1284"/>
      <c r="J12" s="1284"/>
      <c r="K12" s="1285"/>
    </row>
    <row r="13" spans="1:11" s="862" customFormat="1" ht="24" customHeight="1" thickBot="1" thickTop="1">
      <c r="A13" s="870">
        <v>2</v>
      </c>
      <c r="B13" s="1280" t="s">
        <v>1033</v>
      </c>
      <c r="C13" s="1281"/>
      <c r="D13" s="1281"/>
      <c r="E13" s="1281"/>
      <c r="F13" s="1281"/>
      <c r="G13" s="1281"/>
      <c r="H13" s="1281"/>
      <c r="I13" s="1281"/>
      <c r="J13" s="1282"/>
      <c r="K13" s="863"/>
    </row>
    <row r="14" spans="1:11" ht="12.75">
      <c r="A14" s="701">
        <v>3</v>
      </c>
      <c r="B14" s="704" t="s">
        <v>907</v>
      </c>
      <c r="C14" s="705">
        <f>SUM(I14+G14+F14+E14+D14)</f>
        <v>0</v>
      </c>
      <c r="D14" s="706">
        <v>0</v>
      </c>
      <c r="E14" s="706">
        <v>0</v>
      </c>
      <c r="F14" s="707"/>
      <c r="G14" s="707"/>
      <c r="H14" s="707"/>
      <c r="I14" s="707"/>
      <c r="J14" s="708">
        <v>0</v>
      </c>
      <c r="K14" s="1273"/>
    </row>
    <row r="15" spans="1:11" ht="13.5" thickBot="1">
      <c r="A15" s="703">
        <v>4</v>
      </c>
      <c r="B15" s="709" t="s">
        <v>908</v>
      </c>
      <c r="C15" s="710">
        <v>7000000</v>
      </c>
      <c r="D15" s="711">
        <v>7000000</v>
      </c>
      <c r="E15" s="712">
        <v>0</v>
      </c>
      <c r="F15" s="713"/>
      <c r="G15" s="713"/>
      <c r="H15" s="713"/>
      <c r="I15" s="713"/>
      <c r="J15" s="714">
        <v>257950</v>
      </c>
      <c r="K15" s="1274"/>
    </row>
    <row r="16" spans="1:11" ht="13.5" thickBot="1">
      <c r="A16" s="703">
        <v>5</v>
      </c>
      <c r="B16" s="715" t="s">
        <v>909</v>
      </c>
      <c r="C16" s="716">
        <f>SUM(I16+G16+F16+E16+D16)</f>
        <v>7000000</v>
      </c>
      <c r="D16" s="717">
        <f aca="true" t="shared" si="0" ref="D16:J16">SUM(D14+D15)</f>
        <v>7000000</v>
      </c>
      <c r="E16" s="717">
        <f t="shared" si="0"/>
        <v>0</v>
      </c>
      <c r="F16" s="718"/>
      <c r="G16" s="718"/>
      <c r="H16" s="719"/>
      <c r="I16" s="720"/>
      <c r="J16" s="721">
        <f t="shared" si="0"/>
        <v>257950</v>
      </c>
      <c r="K16" s="1275"/>
    </row>
    <row r="17" spans="1:11" ht="13.5" thickBot="1">
      <c r="A17" s="703"/>
      <c r="B17" s="1286"/>
      <c r="C17" s="1287"/>
      <c r="D17" s="1288"/>
      <c r="E17" s="1288"/>
      <c r="F17" s="1288"/>
      <c r="G17" s="1288"/>
      <c r="H17" s="1288"/>
      <c r="I17" s="1288"/>
      <c r="J17" s="1289"/>
      <c r="K17" s="702"/>
    </row>
    <row r="18" spans="1:11" ht="12.75">
      <c r="A18" s="722">
        <v>6</v>
      </c>
      <c r="B18" s="723" t="s">
        <v>910</v>
      </c>
      <c r="C18" s="724">
        <v>3150000</v>
      </c>
      <c r="D18" s="706">
        <v>3150000</v>
      </c>
      <c r="E18" s="725">
        <v>0</v>
      </c>
      <c r="F18" s="707"/>
      <c r="G18" s="707"/>
      <c r="H18" s="707"/>
      <c r="I18" s="707"/>
      <c r="J18" s="1273"/>
      <c r="K18" s="708">
        <v>0</v>
      </c>
    </row>
    <row r="19" spans="1:11" ht="13.5" thickBot="1">
      <c r="A19" s="722">
        <v>7</v>
      </c>
      <c r="B19" s="726" t="s">
        <v>911</v>
      </c>
      <c r="C19" s="727">
        <v>3850000</v>
      </c>
      <c r="D19" s="711">
        <f>3850000-257950</f>
        <v>3592050</v>
      </c>
      <c r="E19" s="711">
        <v>257950</v>
      </c>
      <c r="F19" s="713"/>
      <c r="G19" s="713"/>
      <c r="H19" s="713"/>
      <c r="I19" s="713"/>
      <c r="J19" s="1274"/>
      <c r="K19" s="714">
        <v>257950</v>
      </c>
    </row>
    <row r="20" spans="1:11" ht="13.5" thickBot="1">
      <c r="A20" s="728">
        <v>8</v>
      </c>
      <c r="B20" s="729" t="s">
        <v>378</v>
      </c>
      <c r="C20" s="730">
        <f>SUM(C18:C19)</f>
        <v>7000000</v>
      </c>
      <c r="D20" s="731">
        <f>SUM(D18:D19)</f>
        <v>6742050</v>
      </c>
      <c r="E20" s="731">
        <f>SUM(E18:E19)</f>
        <v>257950</v>
      </c>
      <c r="F20" s="718"/>
      <c r="G20" s="718"/>
      <c r="H20" s="719"/>
      <c r="I20" s="720"/>
      <c r="J20" s="1275"/>
      <c r="K20" s="732">
        <f>SUM(K18:K19)</f>
        <v>257950</v>
      </c>
    </row>
    <row r="21" spans="1:11" ht="14.25" thickBot="1" thickTop="1">
      <c r="A21" s="733"/>
      <c r="B21" s="1267"/>
      <c r="C21" s="1268"/>
      <c r="D21" s="1268"/>
      <c r="E21" s="1268"/>
      <c r="F21" s="1268"/>
      <c r="G21" s="1268"/>
      <c r="H21" s="1268"/>
      <c r="I21" s="1268"/>
      <c r="J21" s="1268"/>
      <c r="K21" s="1269"/>
    </row>
    <row r="22" spans="1:11" s="862" customFormat="1" ht="32.25" customHeight="1" thickBot="1" thickTop="1">
      <c r="A22" s="870">
        <v>9</v>
      </c>
      <c r="B22" s="1270" t="s">
        <v>959</v>
      </c>
      <c r="C22" s="1271"/>
      <c r="D22" s="1271"/>
      <c r="E22" s="1271"/>
      <c r="F22" s="1271"/>
      <c r="G22" s="1271"/>
      <c r="H22" s="1271"/>
      <c r="I22" s="1271"/>
      <c r="J22" s="1272"/>
      <c r="K22" s="861"/>
    </row>
    <row r="23" spans="1:11" ht="12.75">
      <c r="A23" s="701">
        <v>10</v>
      </c>
      <c r="B23" s="704" t="s">
        <v>912</v>
      </c>
      <c r="C23" s="734">
        <v>0</v>
      </c>
      <c r="D23" s="735">
        <v>0</v>
      </c>
      <c r="E23" s="735">
        <v>0</v>
      </c>
      <c r="F23" s="735">
        <v>0</v>
      </c>
      <c r="G23" s="735">
        <v>0</v>
      </c>
      <c r="H23" s="735">
        <v>0</v>
      </c>
      <c r="I23" s="735">
        <v>0</v>
      </c>
      <c r="J23" s="708">
        <v>0</v>
      </c>
      <c r="K23" s="1273"/>
    </row>
    <row r="24" spans="1:11" ht="13.5" thickBot="1">
      <c r="A24" s="736">
        <v>11</v>
      </c>
      <c r="B24" s="709" t="s">
        <v>908</v>
      </c>
      <c r="C24" s="737">
        <f>SUM(D24:I24)</f>
        <v>250634800</v>
      </c>
      <c r="D24" s="738">
        <v>16135642</v>
      </c>
      <c r="E24" s="712">
        <v>46899832</v>
      </c>
      <c r="F24" s="712">
        <v>46899832</v>
      </c>
      <c r="G24" s="712">
        <v>46899831</v>
      </c>
      <c r="H24" s="712">
        <v>46899831</v>
      </c>
      <c r="I24" s="712">
        <v>46899832</v>
      </c>
      <c r="J24" s="714">
        <v>63035474</v>
      </c>
      <c r="K24" s="1274"/>
    </row>
    <row r="25" spans="1:11" ht="13.5" thickBot="1">
      <c r="A25" s="703">
        <v>12</v>
      </c>
      <c r="B25" s="715" t="s">
        <v>909</v>
      </c>
      <c r="C25" s="716">
        <f aca="true" t="shared" si="1" ref="C25:J25">SUM(C23:C24)</f>
        <v>250634800</v>
      </c>
      <c r="D25" s="717">
        <f t="shared" si="1"/>
        <v>16135642</v>
      </c>
      <c r="E25" s="717">
        <f t="shared" si="1"/>
        <v>46899832</v>
      </c>
      <c r="F25" s="717">
        <f t="shared" si="1"/>
        <v>46899832</v>
      </c>
      <c r="G25" s="717">
        <f t="shared" si="1"/>
        <v>46899831</v>
      </c>
      <c r="H25" s="717">
        <f t="shared" si="1"/>
        <v>46899831</v>
      </c>
      <c r="I25" s="717">
        <f t="shared" si="1"/>
        <v>46899832</v>
      </c>
      <c r="J25" s="721">
        <f t="shared" si="1"/>
        <v>63035474</v>
      </c>
      <c r="K25" s="1275"/>
    </row>
    <row r="26" spans="1:11" ht="13.5" thickBot="1">
      <c r="A26" s="703"/>
      <c r="B26" s="1276"/>
      <c r="C26" s="1277"/>
      <c r="D26" s="1277"/>
      <c r="E26" s="1277"/>
      <c r="F26" s="1277"/>
      <c r="G26" s="1277"/>
      <c r="H26" s="1277"/>
      <c r="I26" s="1277"/>
      <c r="J26" s="1278"/>
      <c r="K26" s="702"/>
    </row>
    <row r="27" spans="1:11" ht="13.5" thickBot="1">
      <c r="A27" s="739">
        <v>13</v>
      </c>
      <c r="B27" s="740" t="s">
        <v>913</v>
      </c>
      <c r="C27" s="724">
        <f>SUM(D27:I27)</f>
        <v>148329760</v>
      </c>
      <c r="D27" s="738">
        <v>8950110</v>
      </c>
      <c r="E27" s="738">
        <v>27875930</v>
      </c>
      <c r="F27" s="738">
        <v>27875930</v>
      </c>
      <c r="G27" s="738">
        <v>27875930</v>
      </c>
      <c r="H27" s="738">
        <v>27875930</v>
      </c>
      <c r="I27" s="738">
        <v>27875930</v>
      </c>
      <c r="J27" s="1273"/>
      <c r="K27" s="708">
        <v>34144480</v>
      </c>
    </row>
    <row r="28" spans="1:11" ht="13.5" thickBot="1">
      <c r="A28" s="722">
        <v>14</v>
      </c>
      <c r="B28" s="726" t="s">
        <v>911</v>
      </c>
      <c r="C28" s="724">
        <f>SUM(D28:I28)</f>
        <v>102305040</v>
      </c>
      <c r="D28" s="738">
        <v>7185532</v>
      </c>
      <c r="E28" s="738">
        <v>19023902</v>
      </c>
      <c r="F28" s="738">
        <v>19023902</v>
      </c>
      <c r="G28" s="738">
        <v>19023901</v>
      </c>
      <c r="H28" s="738">
        <v>19023901</v>
      </c>
      <c r="I28" s="738">
        <v>19023902</v>
      </c>
      <c r="J28" s="1274"/>
      <c r="K28" s="714">
        <v>26209434</v>
      </c>
    </row>
    <row r="29" spans="1:11" ht="13.5" thickBot="1">
      <c r="A29" s="741">
        <v>15</v>
      </c>
      <c r="B29" s="742" t="s">
        <v>378</v>
      </c>
      <c r="C29" s="730">
        <f aca="true" t="shared" si="2" ref="C29:I29">SUM(C27:C28)</f>
        <v>250634800</v>
      </c>
      <c r="D29" s="743">
        <f t="shared" si="2"/>
        <v>16135642</v>
      </c>
      <c r="E29" s="743">
        <f t="shared" si="2"/>
        <v>46899832</v>
      </c>
      <c r="F29" s="743">
        <f t="shared" si="2"/>
        <v>46899832</v>
      </c>
      <c r="G29" s="743">
        <f t="shared" si="2"/>
        <v>46899831</v>
      </c>
      <c r="H29" s="743">
        <f t="shared" si="2"/>
        <v>46899831</v>
      </c>
      <c r="I29" s="743">
        <f t="shared" si="2"/>
        <v>46899832</v>
      </c>
      <c r="J29" s="1279"/>
      <c r="K29" s="732">
        <f>SUM(K27:K28)</f>
        <v>60353914</v>
      </c>
    </row>
    <row r="30" spans="1:11" ht="14.25" thickBot="1" thickTop="1">
      <c r="A30" s="864"/>
      <c r="B30" s="1267"/>
      <c r="C30" s="1268"/>
      <c r="D30" s="1268"/>
      <c r="E30" s="1268"/>
      <c r="F30" s="1268"/>
      <c r="G30" s="1268"/>
      <c r="H30" s="1268"/>
      <c r="I30" s="1268"/>
      <c r="J30" s="1268"/>
      <c r="K30" s="1269"/>
    </row>
    <row r="31" spans="1:11" s="862" customFormat="1" ht="24" customHeight="1" thickBot="1" thickTop="1">
      <c r="A31" s="870">
        <v>16</v>
      </c>
      <c r="B31" s="1280" t="s">
        <v>914</v>
      </c>
      <c r="C31" s="1281"/>
      <c r="D31" s="1281"/>
      <c r="E31" s="1281"/>
      <c r="F31" s="1281"/>
      <c r="G31" s="1281"/>
      <c r="H31" s="1281"/>
      <c r="I31" s="1281"/>
      <c r="J31" s="1282"/>
      <c r="K31" s="863"/>
    </row>
    <row r="32" spans="1:11" ht="12.75">
      <c r="A32" s="701">
        <v>17</v>
      </c>
      <c r="B32" s="759" t="s">
        <v>912</v>
      </c>
      <c r="C32" s="724">
        <v>0</v>
      </c>
      <c r="D32" s="744">
        <v>0</v>
      </c>
      <c r="E32" s="744">
        <v>0</v>
      </c>
      <c r="F32" s="744">
        <v>0</v>
      </c>
      <c r="G32" s="745"/>
      <c r="H32" s="745"/>
      <c r="I32" s="745"/>
      <c r="J32" s="708">
        <v>151044</v>
      </c>
      <c r="K32" s="1273"/>
    </row>
    <row r="33" spans="1:11" ht="13.5" thickBot="1">
      <c r="A33" s="703">
        <v>18</v>
      </c>
      <c r="B33" s="709" t="s">
        <v>908</v>
      </c>
      <c r="C33" s="727">
        <v>242560000</v>
      </c>
      <c r="D33" s="738">
        <v>242560000</v>
      </c>
      <c r="E33" s="712">
        <v>0</v>
      </c>
      <c r="F33" s="712">
        <v>0</v>
      </c>
      <c r="G33" s="746"/>
      <c r="H33" s="746"/>
      <c r="I33" s="747"/>
      <c r="J33" s="714">
        <v>242490975</v>
      </c>
      <c r="K33" s="1274"/>
    </row>
    <row r="34" spans="1:11" ht="13.5" thickBot="1">
      <c r="A34" s="703">
        <v>19</v>
      </c>
      <c r="B34" s="715" t="s">
        <v>909</v>
      </c>
      <c r="C34" s="716">
        <f aca="true" t="shared" si="3" ref="C34:J34">SUM(C32:C33)</f>
        <v>242560000</v>
      </c>
      <c r="D34" s="717">
        <f t="shared" si="3"/>
        <v>242560000</v>
      </c>
      <c r="E34" s="717">
        <f t="shared" si="3"/>
        <v>0</v>
      </c>
      <c r="F34" s="717">
        <f t="shared" si="3"/>
        <v>0</v>
      </c>
      <c r="G34" s="707"/>
      <c r="H34" s="707"/>
      <c r="I34" s="707"/>
      <c r="J34" s="721">
        <f t="shared" si="3"/>
        <v>242642019</v>
      </c>
      <c r="K34" s="1275"/>
    </row>
    <row r="35" spans="1:11" ht="13.5" thickBot="1">
      <c r="A35" s="703"/>
      <c r="B35" s="1276"/>
      <c r="C35" s="1277"/>
      <c r="D35" s="1277"/>
      <c r="E35" s="1277"/>
      <c r="F35" s="1277"/>
      <c r="G35" s="1277"/>
      <c r="H35" s="1277"/>
      <c r="I35" s="1277"/>
      <c r="J35" s="1278"/>
      <c r="K35" s="702"/>
    </row>
    <row r="36" spans="1:11" ht="12.75">
      <c r="A36" s="722">
        <v>20</v>
      </c>
      <c r="B36" s="740" t="s">
        <v>910</v>
      </c>
      <c r="C36" s="724">
        <v>242560000</v>
      </c>
      <c r="D36" s="748">
        <v>0</v>
      </c>
      <c r="E36" s="706">
        <v>242560000</v>
      </c>
      <c r="F36" s="748">
        <v>0</v>
      </c>
      <c r="G36" s="745"/>
      <c r="H36" s="745"/>
      <c r="I36" s="745"/>
      <c r="J36" s="1273"/>
      <c r="K36" s="708">
        <v>242490975</v>
      </c>
    </row>
    <row r="37" spans="1:11" ht="13.5" thickBot="1">
      <c r="A37" s="722">
        <v>21</v>
      </c>
      <c r="B37" s="749" t="s">
        <v>915</v>
      </c>
      <c r="C37" s="727">
        <v>0</v>
      </c>
      <c r="D37" s="750">
        <v>0</v>
      </c>
      <c r="E37" s="750">
        <v>0</v>
      </c>
      <c r="F37" s="750">
        <v>0</v>
      </c>
      <c r="G37" s="746"/>
      <c r="H37" s="746"/>
      <c r="I37" s="747"/>
      <c r="J37" s="1274"/>
      <c r="K37" s="714">
        <v>151044</v>
      </c>
    </row>
    <row r="38" spans="1:11" ht="13.5" thickBot="1">
      <c r="A38" s="741">
        <v>22</v>
      </c>
      <c r="B38" s="742" t="s">
        <v>378</v>
      </c>
      <c r="C38" s="730">
        <f>SUM(C36:C37)</f>
        <v>242560000</v>
      </c>
      <c r="D38" s="743">
        <f>SUM(D36:D37)</f>
        <v>0</v>
      </c>
      <c r="E38" s="743">
        <f>SUM(E36:E37)</f>
        <v>242560000</v>
      </c>
      <c r="F38" s="743">
        <f>SUM(F36:F37)</f>
        <v>0</v>
      </c>
      <c r="G38" s="707"/>
      <c r="H38" s="707"/>
      <c r="I38" s="707"/>
      <c r="J38" s="1279"/>
      <c r="K38" s="732">
        <f>SUM(K36:K37)</f>
        <v>242642019</v>
      </c>
    </row>
    <row r="39" spans="1:11" ht="14.25" thickBot="1" thickTop="1">
      <c r="A39" s="864"/>
      <c r="B39" s="1267"/>
      <c r="C39" s="1268"/>
      <c r="D39" s="1268"/>
      <c r="E39" s="1268"/>
      <c r="F39" s="1268"/>
      <c r="G39" s="1268"/>
      <c r="H39" s="1268"/>
      <c r="I39" s="1268"/>
      <c r="J39" s="1268"/>
      <c r="K39" s="1269"/>
    </row>
    <row r="40" spans="1:11" s="862" customFormat="1" ht="24" customHeight="1" thickBot="1" thickTop="1">
      <c r="A40" s="870">
        <v>23</v>
      </c>
      <c r="B40" s="1280" t="s">
        <v>916</v>
      </c>
      <c r="C40" s="1281"/>
      <c r="D40" s="1281"/>
      <c r="E40" s="1281"/>
      <c r="F40" s="1281"/>
      <c r="G40" s="1281"/>
      <c r="H40" s="1281"/>
      <c r="I40" s="1281"/>
      <c r="J40" s="1282"/>
      <c r="K40" s="863"/>
    </row>
    <row r="41" spans="1:11" ht="12.75">
      <c r="A41" s="701">
        <v>24</v>
      </c>
      <c r="B41" s="751" t="s">
        <v>912</v>
      </c>
      <c r="C41" s="724">
        <v>1576053</v>
      </c>
      <c r="D41" s="744">
        <v>1576053</v>
      </c>
      <c r="E41" s="745"/>
      <c r="F41" s="745"/>
      <c r="G41" s="745"/>
      <c r="H41" s="745"/>
      <c r="I41" s="745"/>
      <c r="J41" s="714">
        <f>2500000+850900</f>
        <v>3350900</v>
      </c>
      <c r="K41" s="1273"/>
    </row>
    <row r="42" spans="1:11" ht="13.5" thickBot="1">
      <c r="A42" s="703">
        <v>25</v>
      </c>
      <c r="B42" s="709" t="s">
        <v>908</v>
      </c>
      <c r="C42" s="752">
        <v>19779919</v>
      </c>
      <c r="D42" s="738">
        <v>19779919</v>
      </c>
      <c r="E42" s="746"/>
      <c r="F42" s="746"/>
      <c r="G42" s="746"/>
      <c r="H42" s="746"/>
      <c r="I42" s="747"/>
      <c r="J42" s="714">
        <v>19779919</v>
      </c>
      <c r="K42" s="1274"/>
    </row>
    <row r="43" spans="1:11" ht="13.5" thickBot="1">
      <c r="A43" s="703">
        <v>26</v>
      </c>
      <c r="B43" s="715" t="s">
        <v>909</v>
      </c>
      <c r="C43" s="716">
        <f>SUM(C41:C42)</f>
        <v>21355972</v>
      </c>
      <c r="D43" s="717">
        <f>SUM(D41:D42)</f>
        <v>21355972</v>
      </c>
      <c r="E43" s="753"/>
      <c r="F43" s="753"/>
      <c r="G43" s="753"/>
      <c r="H43" s="753"/>
      <c r="I43" s="754"/>
      <c r="J43" s="721">
        <f>SUM(J41+J42)</f>
        <v>23130819</v>
      </c>
      <c r="K43" s="1275"/>
    </row>
    <row r="44" spans="1:11" ht="13.5" thickBot="1">
      <c r="A44" s="703"/>
      <c r="B44" s="1276"/>
      <c r="C44" s="1277"/>
      <c r="D44" s="1277"/>
      <c r="E44" s="1277"/>
      <c r="F44" s="1277"/>
      <c r="G44" s="1277"/>
      <c r="H44" s="1277"/>
      <c r="I44" s="1277"/>
      <c r="J44" s="1278"/>
      <c r="K44" s="702"/>
    </row>
    <row r="45" spans="1:11" ht="12.75">
      <c r="A45" s="722">
        <v>27</v>
      </c>
      <c r="B45" s="740" t="s">
        <v>917</v>
      </c>
      <c r="C45" s="724">
        <v>20820975</v>
      </c>
      <c r="D45" s="744"/>
      <c r="E45" s="744">
        <v>20820975</v>
      </c>
      <c r="F45" s="745"/>
      <c r="G45" s="745"/>
      <c r="H45" s="745"/>
      <c r="I45" s="745"/>
      <c r="J45" s="1273"/>
      <c r="K45" s="708">
        <f>19779919+52056+989000</f>
        <v>20820975</v>
      </c>
    </row>
    <row r="46" spans="1:11" ht="13.5" thickBot="1">
      <c r="A46" s="722">
        <v>28</v>
      </c>
      <c r="B46" s="749" t="s">
        <v>918</v>
      </c>
      <c r="C46" s="727">
        <v>534997</v>
      </c>
      <c r="D46" s="738"/>
      <c r="E46" s="738">
        <v>534997</v>
      </c>
      <c r="F46" s="746"/>
      <c r="G46" s="746"/>
      <c r="H46" s="746"/>
      <c r="I46" s="747"/>
      <c r="J46" s="1274"/>
      <c r="K46" s="714">
        <f>1458944+850900</f>
        <v>2309844</v>
      </c>
    </row>
    <row r="47" spans="1:11" ht="13.5" thickBot="1">
      <c r="A47" s="741">
        <v>29</v>
      </c>
      <c r="B47" s="742" t="s">
        <v>378</v>
      </c>
      <c r="C47" s="730">
        <f>SUM(C45:C46)</f>
        <v>21355972</v>
      </c>
      <c r="D47" s="743">
        <f>SUM(D45:D46)</f>
        <v>0</v>
      </c>
      <c r="E47" s="743">
        <f>SUM(E45:E46)</f>
        <v>21355972</v>
      </c>
      <c r="F47" s="755"/>
      <c r="G47" s="755"/>
      <c r="H47" s="755"/>
      <c r="I47" s="756"/>
      <c r="J47" s="1275"/>
      <c r="K47" s="732">
        <f>SUM(K44:K46)</f>
        <v>23130819</v>
      </c>
    </row>
    <row r="48" spans="1:11" ht="14.25" thickBot="1" thickTop="1">
      <c r="A48" s="733"/>
      <c r="B48" s="1267"/>
      <c r="C48" s="1268"/>
      <c r="D48" s="1268"/>
      <c r="E48" s="1268"/>
      <c r="F48" s="1268"/>
      <c r="G48" s="1268"/>
      <c r="H48" s="1268"/>
      <c r="I48" s="1268"/>
      <c r="J48" s="1268"/>
      <c r="K48" s="1269"/>
    </row>
    <row r="49" spans="1:11" s="862" customFormat="1" ht="30" customHeight="1" thickBot="1" thickTop="1">
      <c r="A49" s="870">
        <v>30</v>
      </c>
      <c r="B49" s="1270" t="s">
        <v>1024</v>
      </c>
      <c r="C49" s="1271"/>
      <c r="D49" s="1271"/>
      <c r="E49" s="1271"/>
      <c r="F49" s="1271"/>
      <c r="G49" s="1271"/>
      <c r="H49" s="1271"/>
      <c r="I49" s="1271"/>
      <c r="J49" s="1272"/>
      <c r="K49" s="861"/>
    </row>
    <row r="50" spans="1:11" ht="12.75">
      <c r="A50" s="701">
        <v>31</v>
      </c>
      <c r="B50" s="704" t="s">
        <v>912</v>
      </c>
      <c r="C50" s="734">
        <v>0</v>
      </c>
      <c r="D50" s="839"/>
      <c r="E50" s="735">
        <v>0</v>
      </c>
      <c r="F50" s="735">
        <v>0</v>
      </c>
      <c r="G50" s="735">
        <v>0</v>
      </c>
      <c r="H50" s="839"/>
      <c r="I50" s="839"/>
      <c r="J50" s="708">
        <v>0</v>
      </c>
      <c r="K50" s="1273"/>
    </row>
    <row r="51" spans="1:11" ht="13.5" thickBot="1">
      <c r="A51" s="736">
        <v>32</v>
      </c>
      <c r="B51" s="709" t="s">
        <v>908</v>
      </c>
      <c r="C51" s="737">
        <v>202321812</v>
      </c>
      <c r="D51" s="840"/>
      <c r="E51" s="712">
        <v>104483115</v>
      </c>
      <c r="F51" s="712">
        <v>86307318</v>
      </c>
      <c r="G51" s="712">
        <v>11531379</v>
      </c>
      <c r="H51" s="840"/>
      <c r="I51" s="840"/>
      <c r="J51" s="714">
        <v>104483115</v>
      </c>
      <c r="K51" s="1274"/>
    </row>
    <row r="52" spans="1:11" ht="13.5" thickBot="1">
      <c r="A52" s="703">
        <v>33</v>
      </c>
      <c r="B52" s="715" t="s">
        <v>909</v>
      </c>
      <c r="C52" s="716">
        <f aca="true" t="shared" si="4" ref="C52:J52">SUM(C50:C51)</f>
        <v>202321812</v>
      </c>
      <c r="D52" s="718"/>
      <c r="E52" s="717">
        <f t="shared" si="4"/>
        <v>104483115</v>
      </c>
      <c r="F52" s="717">
        <f t="shared" si="4"/>
        <v>86307318</v>
      </c>
      <c r="G52" s="717">
        <f t="shared" si="4"/>
        <v>11531379</v>
      </c>
      <c r="H52" s="718"/>
      <c r="I52" s="718"/>
      <c r="J52" s="721">
        <f t="shared" si="4"/>
        <v>104483115</v>
      </c>
      <c r="K52" s="1275"/>
    </row>
    <row r="53" spans="1:11" ht="13.5" thickBot="1">
      <c r="A53" s="703"/>
      <c r="B53" s="1276"/>
      <c r="C53" s="1277"/>
      <c r="D53" s="1277"/>
      <c r="E53" s="1277"/>
      <c r="F53" s="1277"/>
      <c r="G53" s="1277"/>
      <c r="H53" s="1277"/>
      <c r="I53" s="1277"/>
      <c r="J53" s="1278"/>
      <c r="K53" s="702"/>
    </row>
    <row r="54" spans="1:11" ht="12.75">
      <c r="A54" s="739">
        <v>34</v>
      </c>
      <c r="B54" s="740" t="s">
        <v>913</v>
      </c>
      <c r="C54" s="724">
        <v>89908666</v>
      </c>
      <c r="D54" s="843"/>
      <c r="E54" s="706">
        <v>34554203</v>
      </c>
      <c r="F54" s="744">
        <v>44954333</v>
      </c>
      <c r="G54" s="744">
        <v>10400130</v>
      </c>
      <c r="H54" s="843"/>
      <c r="I54" s="843"/>
      <c r="J54" s="1273"/>
      <c r="K54" s="708">
        <v>34554203</v>
      </c>
    </row>
    <row r="55" spans="1:11" ht="12.75">
      <c r="A55" s="722">
        <v>35</v>
      </c>
      <c r="B55" s="726" t="s">
        <v>911</v>
      </c>
      <c r="C55" s="841">
        <v>96901455</v>
      </c>
      <c r="D55" s="844"/>
      <c r="E55" s="712">
        <v>54417221</v>
      </c>
      <c r="F55" s="738">
        <v>41352985</v>
      </c>
      <c r="G55" s="738">
        <v>1131249</v>
      </c>
      <c r="H55" s="844"/>
      <c r="I55" s="844"/>
      <c r="J55" s="1274"/>
      <c r="K55" s="714">
        <v>54417221</v>
      </c>
    </row>
    <row r="56" spans="1:11" ht="12.75">
      <c r="A56" s="722">
        <v>36</v>
      </c>
      <c r="B56" s="837" t="s">
        <v>910</v>
      </c>
      <c r="C56" s="842">
        <v>8983129</v>
      </c>
      <c r="D56" s="845"/>
      <c r="E56" s="712">
        <v>8983129</v>
      </c>
      <c r="F56" s="738">
        <v>0</v>
      </c>
      <c r="G56" s="738">
        <v>0</v>
      </c>
      <c r="H56" s="845"/>
      <c r="I56" s="845"/>
      <c r="J56" s="1274"/>
      <c r="K56" s="714">
        <v>8983129</v>
      </c>
    </row>
    <row r="57" spans="1:11" ht="13.5" thickBot="1">
      <c r="A57" s="722">
        <v>37</v>
      </c>
      <c r="B57" s="838" t="s">
        <v>917</v>
      </c>
      <c r="C57" s="841">
        <v>6528562</v>
      </c>
      <c r="D57" s="846"/>
      <c r="E57" s="711">
        <v>6528562</v>
      </c>
      <c r="F57" s="847">
        <v>0</v>
      </c>
      <c r="G57" s="847">
        <v>0</v>
      </c>
      <c r="H57" s="846"/>
      <c r="I57" s="846"/>
      <c r="J57" s="1274"/>
      <c r="K57" s="848">
        <v>6528562</v>
      </c>
    </row>
    <row r="58" spans="1:11" ht="13.5" thickBot="1">
      <c r="A58" s="741">
        <v>38</v>
      </c>
      <c r="B58" s="742" t="s">
        <v>378</v>
      </c>
      <c r="C58" s="730">
        <f>SUM(C54:C57)</f>
        <v>202321812</v>
      </c>
      <c r="D58" s="755"/>
      <c r="E58" s="743">
        <f>SUM(E54:E57)</f>
        <v>104483115</v>
      </c>
      <c r="F58" s="743">
        <f>SUM(F54:F57)</f>
        <v>86307318</v>
      </c>
      <c r="G58" s="743">
        <f>SUM(G54:G57)</f>
        <v>11531379</v>
      </c>
      <c r="H58" s="755"/>
      <c r="I58" s="755"/>
      <c r="J58" s="1279"/>
      <c r="K58" s="732">
        <f>SUM(K54:K57)</f>
        <v>104483115</v>
      </c>
    </row>
    <row r="59" spans="1:11" ht="14.25" thickBot="1" thickTop="1">
      <c r="A59" s="733"/>
      <c r="B59" s="1267"/>
      <c r="C59" s="1268"/>
      <c r="D59" s="1268"/>
      <c r="E59" s="1268"/>
      <c r="F59" s="1268"/>
      <c r="G59" s="1268"/>
      <c r="H59" s="1268"/>
      <c r="I59" s="1268"/>
      <c r="J59" s="1268"/>
      <c r="K59" s="1269"/>
    </row>
    <row r="60" spans="1:11" s="862" customFormat="1" ht="30" customHeight="1" thickBot="1" thickTop="1">
      <c r="A60" s="870">
        <v>39</v>
      </c>
      <c r="B60" s="1270" t="s">
        <v>1032</v>
      </c>
      <c r="C60" s="1271"/>
      <c r="D60" s="1271"/>
      <c r="E60" s="1271"/>
      <c r="F60" s="1271"/>
      <c r="G60" s="1271"/>
      <c r="H60" s="1271"/>
      <c r="I60" s="1271"/>
      <c r="J60" s="1272"/>
      <c r="K60" s="861"/>
    </row>
    <row r="61" spans="1:11" ht="12.75">
      <c r="A61" s="701">
        <v>40</v>
      </c>
      <c r="B61" s="704" t="s">
        <v>912</v>
      </c>
      <c r="C61" s="734">
        <v>0</v>
      </c>
      <c r="D61" s="839"/>
      <c r="E61" s="735">
        <v>0</v>
      </c>
      <c r="F61" s="735">
        <v>0</v>
      </c>
      <c r="G61" s="735">
        <v>0</v>
      </c>
      <c r="H61" s="735"/>
      <c r="I61" s="839"/>
      <c r="J61" s="708">
        <v>0</v>
      </c>
      <c r="K61" s="1273"/>
    </row>
    <row r="62" spans="1:11" ht="13.5" thickBot="1">
      <c r="A62" s="736">
        <v>41</v>
      </c>
      <c r="B62" s="709" t="s">
        <v>908</v>
      </c>
      <c r="C62" s="737">
        <v>62107135</v>
      </c>
      <c r="D62" s="840"/>
      <c r="E62" s="712">
        <v>32379432</v>
      </c>
      <c r="F62" s="712">
        <v>8244379</v>
      </c>
      <c r="G62" s="712">
        <v>20495112</v>
      </c>
      <c r="H62" s="712">
        <v>988212</v>
      </c>
      <c r="I62" s="840"/>
      <c r="J62" s="714">
        <v>32379432</v>
      </c>
      <c r="K62" s="1274"/>
    </row>
    <row r="63" spans="1:11" ht="13.5" thickBot="1">
      <c r="A63" s="703">
        <v>42</v>
      </c>
      <c r="B63" s="715" t="s">
        <v>909</v>
      </c>
      <c r="C63" s="716">
        <f>SUM(C61:C62)</f>
        <v>62107135</v>
      </c>
      <c r="D63" s="718"/>
      <c r="E63" s="717">
        <f>SUM(E61:E62)</f>
        <v>32379432</v>
      </c>
      <c r="F63" s="717">
        <f>SUM(F61:F62)</f>
        <v>8244379</v>
      </c>
      <c r="G63" s="717">
        <f>SUM(G61:G62)</f>
        <v>20495112</v>
      </c>
      <c r="H63" s="717">
        <f>SUM(H61:H62)</f>
        <v>988212</v>
      </c>
      <c r="I63" s="718"/>
      <c r="J63" s="721">
        <f>SUM(J61:J62)</f>
        <v>32379432</v>
      </c>
      <c r="K63" s="1275"/>
    </row>
    <row r="64" spans="1:11" ht="13.5" thickBot="1">
      <c r="A64" s="703"/>
      <c r="B64" s="1276"/>
      <c r="C64" s="1277"/>
      <c r="D64" s="1277"/>
      <c r="E64" s="1277"/>
      <c r="F64" s="1277"/>
      <c r="G64" s="1277"/>
      <c r="H64" s="1277"/>
      <c r="I64" s="1277"/>
      <c r="J64" s="1278"/>
      <c r="K64" s="702"/>
    </row>
    <row r="65" spans="1:11" ht="12.75">
      <c r="A65" s="739">
        <v>43</v>
      </c>
      <c r="B65" s="740" t="s">
        <v>913</v>
      </c>
      <c r="C65" s="849">
        <f>SUM(E65:H65)</f>
        <v>30232800</v>
      </c>
      <c r="D65" s="843"/>
      <c r="E65" s="706">
        <v>9237800</v>
      </c>
      <c r="F65" s="744">
        <v>10077600</v>
      </c>
      <c r="G65" s="744">
        <v>10077600</v>
      </c>
      <c r="H65" s="744">
        <v>839800</v>
      </c>
      <c r="I65" s="843"/>
      <c r="J65" s="1273"/>
      <c r="K65" s="708">
        <v>15761811</v>
      </c>
    </row>
    <row r="66" spans="1:11" ht="12.75">
      <c r="A66" s="722">
        <v>44</v>
      </c>
      <c r="B66" s="726" t="s">
        <v>911</v>
      </c>
      <c r="C66" s="727">
        <f>SUM(E66:H66)</f>
        <v>28874335</v>
      </c>
      <c r="D66" s="844"/>
      <c r="E66" s="712">
        <v>9980899</v>
      </c>
      <c r="F66" s="738">
        <v>9427512</v>
      </c>
      <c r="G66" s="738">
        <v>9417512</v>
      </c>
      <c r="H66" s="738">
        <v>48412</v>
      </c>
      <c r="I66" s="844"/>
      <c r="J66" s="1274"/>
      <c r="K66" s="714">
        <v>15053577</v>
      </c>
    </row>
    <row r="67" spans="1:11" ht="13.5" thickBot="1">
      <c r="A67" s="722">
        <v>45</v>
      </c>
      <c r="B67" s="837" t="s">
        <v>1026</v>
      </c>
      <c r="C67" s="836">
        <f>SUM(E67:H67)</f>
        <v>3000000</v>
      </c>
      <c r="D67" s="845"/>
      <c r="E67" s="712">
        <v>900000</v>
      </c>
      <c r="F67" s="738">
        <v>1000000</v>
      </c>
      <c r="G67" s="738">
        <v>1000000</v>
      </c>
      <c r="H67" s="738">
        <v>100000</v>
      </c>
      <c r="I67" s="845"/>
      <c r="J67" s="1274"/>
      <c r="K67" s="714">
        <v>1564044</v>
      </c>
    </row>
    <row r="68" spans="1:11" ht="13.5" thickBot="1">
      <c r="A68" s="741">
        <v>46</v>
      </c>
      <c r="B68" s="742" t="s">
        <v>378</v>
      </c>
      <c r="C68" s="730">
        <f>SUM(C65:C67)</f>
        <v>62107135</v>
      </c>
      <c r="D68" s="755"/>
      <c r="E68" s="743">
        <f>SUM(E65:E67)</f>
        <v>20118699</v>
      </c>
      <c r="F68" s="743">
        <f>SUM(F65:F67)</f>
        <v>20505112</v>
      </c>
      <c r="G68" s="743">
        <f>SUM(G65:G67)</f>
        <v>20495112</v>
      </c>
      <c r="H68" s="743">
        <f>SUM(H65:H67)</f>
        <v>988212</v>
      </c>
      <c r="I68" s="755"/>
      <c r="J68" s="1279"/>
      <c r="K68" s="732">
        <f>SUM(K65:K67)</f>
        <v>32379432</v>
      </c>
    </row>
    <row r="69" spans="1:11" ht="14.25" thickBot="1" thickTop="1">
      <c r="A69" s="733"/>
      <c r="B69" s="1267"/>
      <c r="C69" s="1268"/>
      <c r="D69" s="1268"/>
      <c r="E69" s="1268"/>
      <c r="F69" s="1268"/>
      <c r="G69" s="1268"/>
      <c r="H69" s="1268"/>
      <c r="I69" s="1268"/>
      <c r="J69" s="1268"/>
      <c r="K69" s="1269"/>
    </row>
    <row r="70" spans="1:11" s="862" customFormat="1" ht="30" customHeight="1" thickBot="1" thickTop="1">
      <c r="A70" s="870">
        <v>47</v>
      </c>
      <c r="B70" s="1270" t="s">
        <v>1027</v>
      </c>
      <c r="C70" s="1271"/>
      <c r="D70" s="1271"/>
      <c r="E70" s="1271"/>
      <c r="F70" s="1271"/>
      <c r="G70" s="1271"/>
      <c r="H70" s="1271"/>
      <c r="I70" s="1271"/>
      <c r="J70" s="1272"/>
      <c r="K70" s="861"/>
    </row>
    <row r="71" spans="1:11" ht="12.75">
      <c r="A71" s="701">
        <v>48</v>
      </c>
      <c r="B71" s="704" t="s">
        <v>912</v>
      </c>
      <c r="C71" s="734">
        <v>0</v>
      </c>
      <c r="D71" s="839"/>
      <c r="E71" s="735">
        <v>0</v>
      </c>
      <c r="F71" s="735">
        <v>0</v>
      </c>
      <c r="G71" s="839"/>
      <c r="H71" s="839"/>
      <c r="I71" s="839"/>
      <c r="J71" s="708">
        <v>0</v>
      </c>
      <c r="K71" s="1273"/>
    </row>
    <row r="72" spans="1:11" ht="13.5" thickBot="1">
      <c r="A72" s="736">
        <v>49</v>
      </c>
      <c r="B72" s="709" t="s">
        <v>908</v>
      </c>
      <c r="C72" s="737">
        <v>25000000</v>
      </c>
      <c r="D72" s="840"/>
      <c r="E72" s="712">
        <v>20269866</v>
      </c>
      <c r="F72" s="712">
        <v>4730134</v>
      </c>
      <c r="G72" s="840"/>
      <c r="H72" s="840"/>
      <c r="I72" s="840"/>
      <c r="J72" s="714">
        <v>20269866</v>
      </c>
      <c r="K72" s="1274"/>
    </row>
    <row r="73" spans="1:11" ht="13.5" thickBot="1">
      <c r="A73" s="703">
        <v>50</v>
      </c>
      <c r="B73" s="715" t="s">
        <v>909</v>
      </c>
      <c r="C73" s="716">
        <f>SUM(C71:C72)</f>
        <v>25000000</v>
      </c>
      <c r="D73" s="718"/>
      <c r="E73" s="717">
        <f>SUM(E71:E72)</f>
        <v>20269866</v>
      </c>
      <c r="F73" s="717">
        <f>SUM(F71:F72)</f>
        <v>4730134</v>
      </c>
      <c r="G73" s="718"/>
      <c r="H73" s="718"/>
      <c r="I73" s="718"/>
      <c r="J73" s="721">
        <f>SUM(J71:J72)</f>
        <v>20269866</v>
      </c>
      <c r="K73" s="1275"/>
    </row>
    <row r="74" spans="1:11" ht="13.5" thickBot="1">
      <c r="A74" s="703"/>
      <c r="B74" s="1276"/>
      <c r="C74" s="1277"/>
      <c r="D74" s="1277"/>
      <c r="E74" s="1277"/>
      <c r="F74" s="1277"/>
      <c r="G74" s="1277"/>
      <c r="H74" s="1277"/>
      <c r="I74" s="1277"/>
      <c r="J74" s="1278"/>
      <c r="K74" s="702"/>
    </row>
    <row r="75" spans="1:11" ht="12.75">
      <c r="A75" s="739">
        <v>51</v>
      </c>
      <c r="B75" s="740" t="s">
        <v>913</v>
      </c>
      <c r="C75" s="849">
        <f>SUM(E75:H75)</f>
        <v>8483294</v>
      </c>
      <c r="D75" s="843"/>
      <c r="E75" s="706">
        <v>4435163</v>
      </c>
      <c r="F75" s="744">
        <v>4048131</v>
      </c>
      <c r="G75" s="843"/>
      <c r="H75" s="843"/>
      <c r="I75" s="843"/>
      <c r="J75" s="1273"/>
      <c r="K75" s="708">
        <v>4435163</v>
      </c>
    </row>
    <row r="76" spans="1:11" ht="12.75">
      <c r="A76" s="722">
        <v>52</v>
      </c>
      <c r="B76" s="726" t="s">
        <v>911</v>
      </c>
      <c r="C76" s="727">
        <f>SUM(E76:H76)</f>
        <v>14019606</v>
      </c>
      <c r="D76" s="844"/>
      <c r="E76" s="712">
        <v>9556414</v>
      </c>
      <c r="F76" s="738">
        <v>4463192</v>
      </c>
      <c r="G76" s="844"/>
      <c r="H76" s="844"/>
      <c r="I76" s="844"/>
      <c r="J76" s="1274"/>
      <c r="K76" s="714">
        <v>13337603</v>
      </c>
    </row>
    <row r="77" spans="1:11" ht="13.5" thickBot="1">
      <c r="A77" s="722">
        <v>53</v>
      </c>
      <c r="B77" s="837" t="s">
        <v>910</v>
      </c>
      <c r="C77" s="836">
        <f>SUM(E77:H77)</f>
        <v>2497100</v>
      </c>
      <c r="D77" s="845"/>
      <c r="E77" s="712">
        <v>2497100</v>
      </c>
      <c r="F77" s="738">
        <v>0</v>
      </c>
      <c r="G77" s="845"/>
      <c r="H77" s="845"/>
      <c r="I77" s="845"/>
      <c r="J77" s="1274"/>
      <c r="K77" s="714">
        <v>2497100</v>
      </c>
    </row>
    <row r="78" spans="1:11" ht="13.5" thickBot="1">
      <c r="A78" s="741">
        <v>54</v>
      </c>
      <c r="B78" s="742" t="s">
        <v>378</v>
      </c>
      <c r="C78" s="730">
        <f>SUM(C75:C77)</f>
        <v>25000000</v>
      </c>
      <c r="D78" s="755"/>
      <c r="E78" s="743">
        <f>SUM(E75:E77)</f>
        <v>16488677</v>
      </c>
      <c r="F78" s="743">
        <f>SUM(F75:F77)</f>
        <v>8511323</v>
      </c>
      <c r="G78" s="755"/>
      <c r="H78" s="755"/>
      <c r="I78" s="755"/>
      <c r="J78" s="1279"/>
      <c r="K78" s="732">
        <f>SUM(K75:K77)</f>
        <v>20269866</v>
      </c>
    </row>
    <row r="79" spans="1:11" ht="14.25" thickBot="1" thickTop="1">
      <c r="A79" s="733"/>
      <c r="B79" s="1267"/>
      <c r="C79" s="1268"/>
      <c r="D79" s="1268"/>
      <c r="E79" s="1268"/>
      <c r="F79" s="1268"/>
      <c r="G79" s="1268"/>
      <c r="H79" s="1268"/>
      <c r="I79" s="1268"/>
      <c r="J79" s="1268"/>
      <c r="K79" s="1269"/>
    </row>
    <row r="80" spans="1:11" ht="19.5" thickBot="1" thickTop="1">
      <c r="A80" s="865">
        <v>55</v>
      </c>
      <c r="B80" s="1283" t="s">
        <v>801</v>
      </c>
      <c r="C80" s="1284"/>
      <c r="D80" s="1284"/>
      <c r="E80" s="1284"/>
      <c r="F80" s="1284"/>
      <c r="G80" s="1284"/>
      <c r="H80" s="1284"/>
      <c r="I80" s="1284"/>
      <c r="J80" s="1284"/>
      <c r="K80" s="1285"/>
    </row>
    <row r="81" spans="1:11" ht="14.25" thickBot="1" thickTop="1">
      <c r="A81" s="733"/>
      <c r="B81" s="1267"/>
      <c r="C81" s="1268"/>
      <c r="D81" s="1268"/>
      <c r="E81" s="1268"/>
      <c r="F81" s="1268"/>
      <c r="G81" s="1268"/>
      <c r="H81" s="1268"/>
      <c r="I81" s="1268"/>
      <c r="J81" s="1268"/>
      <c r="K81" s="1269"/>
    </row>
    <row r="82" spans="1:11" s="862" customFormat="1" ht="30" customHeight="1" thickBot="1" thickTop="1">
      <c r="A82" s="870">
        <v>56</v>
      </c>
      <c r="B82" s="1308" t="s">
        <v>1032</v>
      </c>
      <c r="C82" s="1309"/>
      <c r="D82" s="1309"/>
      <c r="E82" s="1309"/>
      <c r="F82" s="1309"/>
      <c r="G82" s="1309"/>
      <c r="H82" s="1309"/>
      <c r="I82" s="1309"/>
      <c r="J82" s="1309"/>
      <c r="K82" s="871"/>
    </row>
    <row r="83" spans="1:11" ht="12.75">
      <c r="A83" s="701">
        <v>57</v>
      </c>
      <c r="B83" s="751" t="s">
        <v>912</v>
      </c>
      <c r="C83" s="866">
        <v>0</v>
      </c>
      <c r="D83" s="867"/>
      <c r="E83" s="868">
        <v>0</v>
      </c>
      <c r="F83" s="868">
        <v>0</v>
      </c>
      <c r="G83" s="868">
        <v>0</v>
      </c>
      <c r="H83" s="868"/>
      <c r="I83" s="867"/>
      <c r="J83" s="869">
        <v>0</v>
      </c>
      <c r="K83" s="1274"/>
    </row>
    <row r="84" spans="1:11" ht="13.5" thickBot="1">
      <c r="A84" s="736">
        <v>58</v>
      </c>
      <c r="B84" s="709" t="s">
        <v>908</v>
      </c>
      <c r="C84" s="737">
        <v>88217316</v>
      </c>
      <c r="D84" s="840"/>
      <c r="E84" s="712">
        <v>45094449</v>
      </c>
      <c r="F84" s="712"/>
      <c r="G84" s="712"/>
      <c r="H84" s="712"/>
      <c r="I84" s="840"/>
      <c r="J84" s="714">
        <v>45094449</v>
      </c>
      <c r="K84" s="1274"/>
    </row>
    <row r="85" spans="1:11" ht="13.5" thickBot="1">
      <c r="A85" s="703">
        <v>59</v>
      </c>
      <c r="B85" s="715" t="s">
        <v>909</v>
      </c>
      <c r="C85" s="716">
        <f>SUM(C83:C84)</f>
        <v>88217316</v>
      </c>
      <c r="D85" s="718"/>
      <c r="E85" s="717">
        <f>SUM(E83:E84)</f>
        <v>45094449</v>
      </c>
      <c r="F85" s="717">
        <f>SUM(F83:F84)</f>
        <v>0</v>
      </c>
      <c r="G85" s="717">
        <f>SUM(G83:G84)</f>
        <v>0</v>
      </c>
      <c r="H85" s="717">
        <f>SUM(H83:H84)</f>
        <v>0</v>
      </c>
      <c r="I85" s="718"/>
      <c r="J85" s="721">
        <f>SUM(J83:J84)</f>
        <v>45094449</v>
      </c>
      <c r="K85" s="1275"/>
    </row>
    <row r="86" spans="1:11" ht="13.5" thickBot="1">
      <c r="A86" s="703"/>
      <c r="B86" s="1276"/>
      <c r="C86" s="1277"/>
      <c r="D86" s="1277"/>
      <c r="E86" s="1277"/>
      <c r="F86" s="1277"/>
      <c r="G86" s="1277"/>
      <c r="H86" s="1277"/>
      <c r="I86" s="1277"/>
      <c r="J86" s="1278"/>
      <c r="K86" s="702"/>
    </row>
    <row r="87" spans="1:11" ht="12.75">
      <c r="A87" s="739">
        <v>60</v>
      </c>
      <c r="B87" s="740" t="s">
        <v>913</v>
      </c>
      <c r="C87" s="849">
        <f>SUM(E87:H87)</f>
        <v>53041950</v>
      </c>
      <c r="D87" s="843"/>
      <c r="E87" s="706">
        <v>16267810</v>
      </c>
      <c r="F87" s="744">
        <v>17680650</v>
      </c>
      <c r="G87" s="744">
        <v>17680650</v>
      </c>
      <c r="H87" s="744">
        <v>1412840</v>
      </c>
      <c r="I87" s="843"/>
      <c r="J87" s="1273"/>
      <c r="K87" s="708">
        <v>26737000</v>
      </c>
    </row>
    <row r="88" spans="1:11" ht="12.75">
      <c r="A88" s="722">
        <v>61</v>
      </c>
      <c r="B88" s="726" t="s">
        <v>911</v>
      </c>
      <c r="C88" s="727">
        <f>SUM(E88:H88)</f>
        <v>33488176</v>
      </c>
      <c r="D88" s="844"/>
      <c r="E88" s="712">
        <v>11524620</v>
      </c>
      <c r="F88" s="738">
        <v>10704096</v>
      </c>
      <c r="G88" s="738">
        <v>10494095</v>
      </c>
      <c r="H88" s="738">
        <v>765365</v>
      </c>
      <c r="I88" s="844"/>
      <c r="J88" s="1274"/>
      <c r="K88" s="714">
        <v>16670259</v>
      </c>
    </row>
    <row r="89" spans="1:11" ht="13.5" thickBot="1">
      <c r="A89" s="722">
        <v>62</v>
      </c>
      <c r="B89" s="837" t="s">
        <v>910</v>
      </c>
      <c r="C89" s="836">
        <f>SUM(E89:H89)</f>
        <v>1687190</v>
      </c>
      <c r="D89" s="845"/>
      <c r="E89" s="712">
        <v>1687190</v>
      </c>
      <c r="F89" s="738">
        <v>0</v>
      </c>
      <c r="G89" s="738">
        <v>0</v>
      </c>
      <c r="H89" s="738">
        <v>0</v>
      </c>
      <c r="I89" s="845"/>
      <c r="J89" s="1274"/>
      <c r="K89" s="714">
        <v>1687190</v>
      </c>
    </row>
    <row r="90" spans="1:11" ht="13.5" thickBot="1">
      <c r="A90" s="741">
        <v>63</v>
      </c>
      <c r="B90" s="742" t="s">
        <v>378</v>
      </c>
      <c r="C90" s="730">
        <f>SUM(C87:C89)</f>
        <v>88217316</v>
      </c>
      <c r="D90" s="755"/>
      <c r="E90" s="743">
        <f>SUM(E87:E89)</f>
        <v>29479620</v>
      </c>
      <c r="F90" s="743">
        <f>SUM(F87:F89)</f>
        <v>28384746</v>
      </c>
      <c r="G90" s="743">
        <f>SUM(G87:G89)</f>
        <v>28174745</v>
      </c>
      <c r="H90" s="743">
        <f>SUM(H87:H89)</f>
        <v>2178205</v>
      </c>
      <c r="I90" s="755"/>
      <c r="J90" s="1279"/>
      <c r="K90" s="732">
        <f>SUM(K87:K89)</f>
        <v>45094449</v>
      </c>
    </row>
    <row r="91" spans="1:11" ht="14.25" thickBot="1" thickTop="1">
      <c r="A91" s="733"/>
      <c r="B91" s="1267"/>
      <c r="C91" s="1268"/>
      <c r="D91" s="1268"/>
      <c r="E91" s="1268"/>
      <c r="F91" s="1268"/>
      <c r="G91" s="1268"/>
      <c r="H91" s="1268"/>
      <c r="I91" s="1268"/>
      <c r="J91" s="1268"/>
      <c r="K91" s="1269"/>
    </row>
    <row r="92" spans="1:11" s="862" customFormat="1" ht="30" customHeight="1" thickBot="1" thickTop="1">
      <c r="A92" s="870">
        <v>64</v>
      </c>
      <c r="B92" s="1270" t="s">
        <v>1031</v>
      </c>
      <c r="C92" s="1271"/>
      <c r="D92" s="1271"/>
      <c r="E92" s="1271"/>
      <c r="F92" s="1271"/>
      <c r="G92" s="1271"/>
      <c r="H92" s="1271"/>
      <c r="I92" s="1271"/>
      <c r="J92" s="1272"/>
      <c r="K92" s="861"/>
    </row>
    <row r="93" spans="1:11" ht="12.75">
      <c r="A93" s="701">
        <v>65</v>
      </c>
      <c r="B93" s="704" t="s">
        <v>912</v>
      </c>
      <c r="C93" s="734">
        <v>0</v>
      </c>
      <c r="D93" s="735">
        <v>0</v>
      </c>
      <c r="E93" s="735">
        <v>0</v>
      </c>
      <c r="F93" s="735">
        <v>0</v>
      </c>
      <c r="G93" s="839"/>
      <c r="H93" s="839"/>
      <c r="I93" s="839"/>
      <c r="J93" s="708">
        <v>0</v>
      </c>
      <c r="K93" s="1273"/>
    </row>
    <row r="94" spans="1:11" ht="13.5" thickBot="1">
      <c r="A94" s="736">
        <v>66</v>
      </c>
      <c r="B94" s="709" t="s">
        <v>908</v>
      </c>
      <c r="C94" s="737">
        <f>SUM(D94:F94)</f>
        <v>40000000</v>
      </c>
      <c r="D94" s="712">
        <v>39200000</v>
      </c>
      <c r="E94" s="712">
        <v>0</v>
      </c>
      <c r="F94" s="712">
        <v>800000</v>
      </c>
      <c r="G94" s="840"/>
      <c r="H94" s="840"/>
      <c r="I94" s="840"/>
      <c r="J94" s="714">
        <v>33512420</v>
      </c>
      <c r="K94" s="1274"/>
    </row>
    <row r="95" spans="1:11" ht="13.5" thickBot="1">
      <c r="A95" s="703">
        <v>67</v>
      </c>
      <c r="B95" s="715" t="s">
        <v>909</v>
      </c>
      <c r="C95" s="716">
        <f>SUM(C93:C94)</f>
        <v>40000000</v>
      </c>
      <c r="D95" s="717">
        <f>SUM(D93:D94)</f>
        <v>39200000</v>
      </c>
      <c r="E95" s="717">
        <f>SUM(E93:E94)</f>
        <v>0</v>
      </c>
      <c r="F95" s="717">
        <f>SUM(F93:F94)</f>
        <v>800000</v>
      </c>
      <c r="G95" s="718"/>
      <c r="H95" s="718"/>
      <c r="I95" s="718"/>
      <c r="J95" s="721">
        <f>SUM(J93:J94)</f>
        <v>33512420</v>
      </c>
      <c r="K95" s="1275"/>
    </row>
    <row r="96" spans="1:11" ht="13.5" thickBot="1">
      <c r="A96" s="703"/>
      <c r="B96" s="1276"/>
      <c r="C96" s="1277"/>
      <c r="D96" s="1277"/>
      <c r="E96" s="1277"/>
      <c r="F96" s="1277"/>
      <c r="G96" s="1277"/>
      <c r="H96" s="1277"/>
      <c r="I96" s="1277"/>
      <c r="J96" s="1278"/>
      <c r="K96" s="702"/>
    </row>
    <row r="97" spans="1:11" ht="13.5" thickBot="1">
      <c r="A97" s="739">
        <v>68</v>
      </c>
      <c r="B97" s="740" t="s">
        <v>913</v>
      </c>
      <c r="C97" s="849">
        <f>SUM(D97:F97)</f>
        <v>12988120</v>
      </c>
      <c r="D97" s="706">
        <v>1760137</v>
      </c>
      <c r="E97" s="706">
        <v>8420987</v>
      </c>
      <c r="F97" s="744">
        <v>2806996</v>
      </c>
      <c r="G97" s="843"/>
      <c r="H97" s="843"/>
      <c r="I97" s="843"/>
      <c r="J97" s="1273"/>
      <c r="K97" s="708">
        <v>11227983</v>
      </c>
    </row>
    <row r="98" spans="1:11" ht="13.5" thickBot="1">
      <c r="A98" s="722">
        <v>69</v>
      </c>
      <c r="B98" s="726" t="s">
        <v>911</v>
      </c>
      <c r="C98" s="849">
        <f>SUM(D98:F98)</f>
        <v>23158258</v>
      </c>
      <c r="D98" s="712">
        <v>2486374</v>
      </c>
      <c r="E98" s="712">
        <v>19871884</v>
      </c>
      <c r="F98" s="738">
        <v>800000</v>
      </c>
      <c r="G98" s="844"/>
      <c r="H98" s="844"/>
      <c r="I98" s="844"/>
      <c r="J98" s="1274"/>
      <c r="K98" s="714">
        <v>19871884</v>
      </c>
    </row>
    <row r="99" spans="1:11" ht="13.5" thickBot="1">
      <c r="A99" s="722">
        <v>70</v>
      </c>
      <c r="B99" s="837" t="s">
        <v>910</v>
      </c>
      <c r="C99" s="849">
        <f>SUM(D99:F99)</f>
        <v>3853622</v>
      </c>
      <c r="D99" s="712">
        <v>1441069</v>
      </c>
      <c r="E99" s="712">
        <v>2412553</v>
      </c>
      <c r="F99" s="738">
        <v>0</v>
      </c>
      <c r="G99" s="845"/>
      <c r="H99" s="845"/>
      <c r="I99" s="845"/>
      <c r="J99" s="1274"/>
      <c r="K99" s="714">
        <v>2412553</v>
      </c>
    </row>
    <row r="100" spans="1:11" ht="13.5" thickBot="1">
      <c r="A100" s="741">
        <v>71</v>
      </c>
      <c r="B100" s="742" t="s">
        <v>378</v>
      </c>
      <c r="C100" s="730">
        <f>SUM(C97:C99)</f>
        <v>40000000</v>
      </c>
      <c r="D100" s="743">
        <f>SUM(D97:D99)</f>
        <v>5687580</v>
      </c>
      <c r="E100" s="743">
        <f>SUM(E97:E99)</f>
        <v>30705424</v>
      </c>
      <c r="F100" s="743">
        <f>SUM(F97:F99)</f>
        <v>3606996</v>
      </c>
      <c r="G100" s="755"/>
      <c r="H100" s="755"/>
      <c r="I100" s="755"/>
      <c r="J100" s="1279"/>
      <c r="K100" s="732">
        <f>SUM(K97:K99)</f>
        <v>33512420</v>
      </c>
    </row>
    <row r="101" ht="13.5" thickTop="1"/>
    <row r="104" spans="1:2" ht="12.75">
      <c r="A104" s="883">
        <v>17</v>
      </c>
      <c r="B104" s="876" t="s">
        <v>1041</v>
      </c>
    </row>
  </sheetData>
  <sheetProtection/>
  <mergeCells count="56">
    <mergeCell ref="J97:J100"/>
    <mergeCell ref="B80:K80"/>
    <mergeCell ref="B81:K81"/>
    <mergeCell ref="B92:J92"/>
    <mergeCell ref="K93:K95"/>
    <mergeCell ref="B96:J96"/>
    <mergeCell ref="K83:K85"/>
    <mergeCell ref="B86:J86"/>
    <mergeCell ref="J87:J90"/>
    <mergeCell ref="B91:K91"/>
    <mergeCell ref="B70:J70"/>
    <mergeCell ref="K71:K73"/>
    <mergeCell ref="B74:J74"/>
    <mergeCell ref="J75:J78"/>
    <mergeCell ref="B79:K79"/>
    <mergeCell ref="B82:J82"/>
    <mergeCell ref="B59:K59"/>
    <mergeCell ref="B60:J60"/>
    <mergeCell ref="K61:K63"/>
    <mergeCell ref="B64:J64"/>
    <mergeCell ref="J65:J68"/>
    <mergeCell ref="B69:K69"/>
    <mergeCell ref="B1:K1"/>
    <mergeCell ref="B4:K4"/>
    <mergeCell ref="A8:A10"/>
    <mergeCell ref="B8:B10"/>
    <mergeCell ref="C8:I8"/>
    <mergeCell ref="J8:J10"/>
    <mergeCell ref="K8:K10"/>
    <mergeCell ref="C9:C10"/>
    <mergeCell ref="D9:I9"/>
    <mergeCell ref="B12:K12"/>
    <mergeCell ref="B13:J13"/>
    <mergeCell ref="K14:K16"/>
    <mergeCell ref="B17:J17"/>
    <mergeCell ref="J18:J20"/>
    <mergeCell ref="B21:K21"/>
    <mergeCell ref="B22:J22"/>
    <mergeCell ref="K23:K25"/>
    <mergeCell ref="B26:J26"/>
    <mergeCell ref="J27:J29"/>
    <mergeCell ref="B30:K30"/>
    <mergeCell ref="B31:J31"/>
    <mergeCell ref="K32:K34"/>
    <mergeCell ref="B35:J35"/>
    <mergeCell ref="J36:J38"/>
    <mergeCell ref="B39:K39"/>
    <mergeCell ref="K41:K43"/>
    <mergeCell ref="B40:J40"/>
    <mergeCell ref="B48:K48"/>
    <mergeCell ref="B49:J49"/>
    <mergeCell ref="K50:K52"/>
    <mergeCell ref="B53:J53"/>
    <mergeCell ref="J54:J58"/>
    <mergeCell ref="B44:J44"/>
    <mergeCell ref="J45:J47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scale="60" r:id="rId1"/>
  <rowBreaks count="1" manualBreakCount="1">
    <brk id="7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K79"/>
  <sheetViews>
    <sheetView zoomScalePageLayoutView="0" workbookViewId="0" topLeftCell="A1">
      <selection activeCell="B79" sqref="B79"/>
    </sheetView>
  </sheetViews>
  <sheetFormatPr defaultColWidth="9.00390625" defaultRowHeight="12.75"/>
  <cols>
    <col min="1" max="1" width="6.125" style="173" customWidth="1"/>
    <col min="2" max="4" width="9.125" style="173" customWidth="1"/>
    <col min="5" max="5" width="40.375" style="173" customWidth="1"/>
    <col min="6" max="6" width="16.125" style="173" bestFit="1" customWidth="1"/>
    <col min="7" max="7" width="14.125" style="173" bestFit="1" customWidth="1"/>
    <col min="8" max="9" width="14.875" style="173" customWidth="1"/>
    <col min="10" max="10" width="16.00390625" style="173" bestFit="1" customWidth="1"/>
    <col min="11" max="16384" width="9.125" style="173" customWidth="1"/>
  </cols>
  <sheetData>
    <row r="1" spans="1:10" s="177" customFormat="1" ht="12.75">
      <c r="A1" s="940" t="s">
        <v>1042</v>
      </c>
      <c r="B1" s="940"/>
      <c r="C1" s="940"/>
      <c r="D1" s="940"/>
      <c r="E1" s="940"/>
      <c r="F1" s="940"/>
      <c r="G1" s="940"/>
      <c r="H1" s="940"/>
      <c r="I1" s="940"/>
      <c r="J1" s="940"/>
    </row>
    <row r="2" spans="1:10" s="177" customFormat="1" ht="9.75" customHeight="1">
      <c r="A2" s="178"/>
      <c r="B2" s="179"/>
      <c r="C2" s="179"/>
      <c r="D2" s="179"/>
      <c r="E2" s="179"/>
      <c r="F2" s="179"/>
      <c r="G2" s="179"/>
      <c r="H2" s="179"/>
      <c r="I2" s="179"/>
      <c r="J2" s="179"/>
    </row>
    <row r="3" spans="1:10" s="177" customFormat="1" ht="16.5">
      <c r="A3" s="941" t="s">
        <v>834</v>
      </c>
      <c r="B3" s="941"/>
      <c r="C3" s="941"/>
      <c r="D3" s="941"/>
      <c r="E3" s="941"/>
      <c r="F3" s="941"/>
      <c r="G3" s="941"/>
      <c r="H3" s="941"/>
      <c r="I3" s="941"/>
      <c r="J3" s="941"/>
    </row>
    <row r="4" spans="1:10" s="177" customFormat="1" ht="12.75">
      <c r="A4" s="178"/>
      <c r="B4" s="179"/>
      <c r="C4" s="179"/>
      <c r="D4" s="179"/>
      <c r="E4" s="179"/>
      <c r="F4" s="179"/>
      <c r="G4" s="179"/>
      <c r="H4" s="179"/>
      <c r="I4" s="179"/>
      <c r="J4" s="179"/>
    </row>
    <row r="5" spans="1:10" ht="78" customHeight="1">
      <c r="A5" s="942" t="s">
        <v>0</v>
      </c>
      <c r="B5" s="943"/>
      <c r="C5" s="943"/>
      <c r="D5" s="943"/>
      <c r="E5" s="944"/>
      <c r="F5" s="180" t="s">
        <v>91</v>
      </c>
      <c r="G5" s="180" t="s">
        <v>379</v>
      </c>
      <c r="H5" s="180" t="s">
        <v>801</v>
      </c>
      <c r="I5" s="180" t="s">
        <v>927</v>
      </c>
      <c r="J5" s="181" t="s">
        <v>373</v>
      </c>
    </row>
    <row r="6" spans="1:10" s="184" customFormat="1" ht="15">
      <c r="A6" s="182" t="s">
        <v>434</v>
      </c>
      <c r="B6" s="945" t="s">
        <v>435</v>
      </c>
      <c r="C6" s="946"/>
      <c r="D6" s="946"/>
      <c r="E6" s="947"/>
      <c r="F6" s="183" t="s">
        <v>436</v>
      </c>
      <c r="G6" s="183" t="s">
        <v>437</v>
      </c>
      <c r="H6" s="183" t="s">
        <v>438</v>
      </c>
      <c r="I6" s="183" t="s">
        <v>439</v>
      </c>
      <c r="J6" s="183" t="s">
        <v>441</v>
      </c>
    </row>
    <row r="7" spans="1:11" ht="14.25" customHeight="1">
      <c r="A7" s="185" t="s">
        <v>1</v>
      </c>
      <c r="B7" s="948" t="s">
        <v>350</v>
      </c>
      <c r="C7" s="948"/>
      <c r="D7" s="948"/>
      <c r="E7" s="948"/>
      <c r="F7" s="172">
        <f>29033148+2158500+514000+34895474+10871880+21446460+25000+2846984+16985805+80000+2168500+27145152+40610080+28103985+27815502+12762600+30800+2200+3600833</f>
        <v>261096903</v>
      </c>
      <c r="G7" s="172">
        <f>83641200+385000+1420400</f>
        <v>85446600</v>
      </c>
      <c r="H7" s="172">
        <f>147547916-7297240-336000+433600+66000+21649000+9187815</f>
        <v>171251091</v>
      </c>
      <c r="I7" s="172">
        <f>2428400+7343000</f>
        <v>9771400</v>
      </c>
      <c r="J7" s="172">
        <f>SUM(F7:I7)</f>
        <v>527565994</v>
      </c>
      <c r="K7" s="624"/>
    </row>
    <row r="8" spans="1:11" ht="13.5" customHeight="1">
      <c r="A8" s="185" t="s">
        <v>3</v>
      </c>
      <c r="B8" s="948" t="s">
        <v>4</v>
      </c>
      <c r="C8" s="948"/>
      <c r="D8" s="948"/>
      <c r="E8" s="948"/>
      <c r="F8" s="172">
        <f>7533426+424933+489933+6862023+1105308+2180390+4388+573827+3345516+41361+426883+6999328+3959404+2740077+6738701+2999211+6006+429+834330</f>
        <v>47265474</v>
      </c>
      <c r="G8" s="172">
        <f>15658358+75075+293205</f>
        <v>16026638</v>
      </c>
      <c r="H8" s="172">
        <f>31659765-1422962-65520+84552+12870+5088000+2040168</f>
        <v>37396873</v>
      </c>
      <c r="I8" s="172">
        <f>478841+1437188</f>
        <v>1916029</v>
      </c>
      <c r="J8" s="172">
        <f aca="true" t="shared" si="0" ref="J8:J70">SUM(F8:I8)</f>
        <v>102605014</v>
      </c>
      <c r="K8" s="624"/>
    </row>
    <row r="9" spans="1:11" ht="12" customHeight="1">
      <c r="A9" s="185" t="s">
        <v>5</v>
      </c>
      <c r="B9" s="948" t="s">
        <v>6</v>
      </c>
      <c r="C9" s="948"/>
      <c r="D9" s="948"/>
      <c r="E9" s="948"/>
      <c r="F9" s="172">
        <f>14127980+26820278+55480+6220254+1157503+8729294+1270000+736016+11239754+23139400+254000+19910394+360000+18217394+120000+2736870+1917850+54297921+117194+17800000+2114700+26209434+2400000+7848600-5500000+5000000-200000-5715000-2600000+200000+936+141447+9850000+1100000+4650000+1000000-848360+2045415+8057715+54417221+15053577-120000+13337603</f>
        <v>347670870</v>
      </c>
      <c r="G9" s="172">
        <f>20108238+256193</f>
        <v>20364431</v>
      </c>
      <c r="H9" s="172">
        <f>56208129+3-96000-170000+16670259+19871884</f>
        <v>92484275</v>
      </c>
      <c r="I9" s="172">
        <f>1100000+3400630+49530+13986001-3000000-103900</f>
        <v>15432261</v>
      </c>
      <c r="J9" s="172">
        <f t="shared" si="0"/>
        <v>475951837</v>
      </c>
      <c r="K9" s="624"/>
    </row>
    <row r="10" spans="1:11" ht="12.75">
      <c r="A10" s="185" t="s">
        <v>8</v>
      </c>
      <c r="B10" s="948" t="s">
        <v>9</v>
      </c>
      <c r="C10" s="948"/>
      <c r="D10" s="948"/>
      <c r="E10" s="948"/>
      <c r="F10" s="172">
        <f>SUM(F11,F12,F15:F20)</f>
        <v>2942222</v>
      </c>
      <c r="G10" s="172">
        <f>SUM(G11,G12,G15:G20)</f>
        <v>6018160</v>
      </c>
      <c r="H10" s="172">
        <f>SUM(H11,H12,H15:H20)</f>
        <v>0</v>
      </c>
      <c r="I10" s="172">
        <f>SUM(I11,I12,I15:I20)</f>
        <v>0</v>
      </c>
      <c r="J10" s="172">
        <f t="shared" si="0"/>
        <v>8960382</v>
      </c>
      <c r="K10" s="624"/>
    </row>
    <row r="11" spans="1:11" ht="12.75">
      <c r="A11" s="168"/>
      <c r="B11" s="168" t="s">
        <v>10</v>
      </c>
      <c r="C11" s="936" t="s">
        <v>11</v>
      </c>
      <c r="D11" s="938"/>
      <c r="E11" s="937"/>
      <c r="F11" s="171">
        <v>0</v>
      </c>
      <c r="G11" s="171">
        <v>0</v>
      </c>
      <c r="H11" s="171">
        <v>0</v>
      </c>
      <c r="I11" s="171">
        <v>0</v>
      </c>
      <c r="J11" s="172">
        <f t="shared" si="0"/>
        <v>0</v>
      </c>
      <c r="K11" s="624"/>
    </row>
    <row r="12" spans="1:11" ht="12.75">
      <c r="A12" s="168"/>
      <c r="B12" s="168" t="s">
        <v>12</v>
      </c>
      <c r="C12" s="939" t="s">
        <v>13</v>
      </c>
      <c r="D12" s="939"/>
      <c r="E12" s="939"/>
      <c r="F12" s="171">
        <f>SUM(F13:F14)</f>
        <v>0</v>
      </c>
      <c r="G12" s="171">
        <f>SUM(G13:G14)</f>
        <v>6018160</v>
      </c>
      <c r="H12" s="171">
        <f>SUM(H13:H14)</f>
        <v>0</v>
      </c>
      <c r="I12" s="171">
        <f>SUM(I13:I14)</f>
        <v>0</v>
      </c>
      <c r="J12" s="172">
        <f t="shared" si="0"/>
        <v>6018160</v>
      </c>
      <c r="K12" s="624"/>
    </row>
    <row r="13" spans="1:11" ht="23.25" customHeight="1">
      <c r="A13" s="174"/>
      <c r="B13" s="168"/>
      <c r="C13" s="174"/>
      <c r="D13" s="954" t="s">
        <v>675</v>
      </c>
      <c r="E13" s="955"/>
      <c r="F13" s="175"/>
      <c r="G13" s="851">
        <v>5650000</v>
      </c>
      <c r="H13" s="851">
        <v>0</v>
      </c>
      <c r="I13" s="851">
        <v>0</v>
      </c>
      <c r="J13" s="852">
        <f t="shared" si="0"/>
        <v>5650000</v>
      </c>
      <c r="K13" s="624"/>
    </row>
    <row r="14" spans="1:11" ht="22.5" customHeight="1">
      <c r="A14" s="174"/>
      <c r="B14" s="168"/>
      <c r="C14" s="174"/>
      <c r="D14" s="956" t="s">
        <v>676</v>
      </c>
      <c r="E14" s="957"/>
      <c r="F14" s="175"/>
      <c r="G14" s="851">
        <v>368160</v>
      </c>
      <c r="H14" s="851">
        <v>0</v>
      </c>
      <c r="I14" s="851">
        <v>0</v>
      </c>
      <c r="J14" s="852">
        <f t="shared" si="0"/>
        <v>368160</v>
      </c>
      <c r="K14" s="624"/>
    </row>
    <row r="15" spans="1:11" ht="12.75">
      <c r="A15" s="168"/>
      <c r="B15" s="168" t="s">
        <v>130</v>
      </c>
      <c r="C15" s="939" t="s">
        <v>131</v>
      </c>
      <c r="D15" s="939"/>
      <c r="E15" s="939"/>
      <c r="F15" s="171">
        <v>0</v>
      </c>
      <c r="G15" s="171">
        <v>0</v>
      </c>
      <c r="H15" s="171">
        <v>0</v>
      </c>
      <c r="I15" s="171">
        <v>0</v>
      </c>
      <c r="J15" s="172">
        <f t="shared" si="0"/>
        <v>0</v>
      </c>
      <c r="K15" s="624"/>
    </row>
    <row r="16" spans="1:11" ht="12" customHeight="1">
      <c r="A16" s="168"/>
      <c r="B16" s="168" t="s">
        <v>132</v>
      </c>
      <c r="C16" s="936" t="s">
        <v>133</v>
      </c>
      <c r="D16" s="938"/>
      <c r="E16" s="937"/>
      <c r="F16" s="171">
        <f>SUM(F17:F18)</f>
        <v>0</v>
      </c>
      <c r="G16" s="171">
        <f>SUM(G17:G18)</f>
        <v>0</v>
      </c>
      <c r="H16" s="171">
        <f>SUM(H17:H18)</f>
        <v>0</v>
      </c>
      <c r="I16" s="171">
        <f>SUM(I17:I18)</f>
        <v>0</v>
      </c>
      <c r="J16" s="172">
        <f t="shared" si="0"/>
        <v>0</v>
      </c>
      <c r="K16" s="624"/>
    </row>
    <row r="17" spans="1:11" ht="13.5" customHeight="1">
      <c r="A17" s="174"/>
      <c r="B17" s="168" t="s">
        <v>134</v>
      </c>
      <c r="C17" s="168" t="s">
        <v>135</v>
      </c>
      <c r="D17" s="169"/>
      <c r="E17" s="170"/>
      <c r="F17" s="175">
        <v>0</v>
      </c>
      <c r="G17" s="175">
        <v>0</v>
      </c>
      <c r="H17" s="175">
        <v>0</v>
      </c>
      <c r="I17" s="175">
        <v>0</v>
      </c>
      <c r="J17" s="172">
        <f t="shared" si="0"/>
        <v>0</v>
      </c>
      <c r="K17" s="624"/>
    </row>
    <row r="18" spans="1:11" ht="12.75">
      <c r="A18" s="168"/>
      <c r="B18" s="168" t="s">
        <v>136</v>
      </c>
      <c r="C18" s="936" t="s">
        <v>137</v>
      </c>
      <c r="D18" s="938"/>
      <c r="E18" s="937"/>
      <c r="F18" s="171">
        <f>SUM(F19)</f>
        <v>0</v>
      </c>
      <c r="G18" s="171">
        <f>SUM(G19)</f>
        <v>0</v>
      </c>
      <c r="H18" s="171">
        <f>SUM(H19)</f>
        <v>0</v>
      </c>
      <c r="I18" s="171">
        <f>SUM(I19)</f>
        <v>0</v>
      </c>
      <c r="J18" s="172">
        <f t="shared" si="0"/>
        <v>0</v>
      </c>
      <c r="K18" s="624"/>
    </row>
    <row r="19" spans="1:11" ht="12.75">
      <c r="A19" s="168"/>
      <c r="B19" s="168" t="s">
        <v>138</v>
      </c>
      <c r="C19" s="939" t="s">
        <v>14</v>
      </c>
      <c r="D19" s="939"/>
      <c r="E19" s="939"/>
      <c r="F19" s="171">
        <v>0</v>
      </c>
      <c r="G19" s="171">
        <v>0</v>
      </c>
      <c r="H19" s="171">
        <v>0</v>
      </c>
      <c r="I19" s="171">
        <v>0</v>
      </c>
      <c r="J19" s="172">
        <f t="shared" si="0"/>
        <v>0</v>
      </c>
      <c r="K19" s="624"/>
    </row>
    <row r="20" spans="1:11" ht="12.75">
      <c r="A20" s="168"/>
      <c r="B20" s="168" t="s">
        <v>139</v>
      </c>
      <c r="C20" s="936" t="s">
        <v>140</v>
      </c>
      <c r="D20" s="938"/>
      <c r="E20" s="937"/>
      <c r="F20" s="171">
        <f>SUM(F21:F22)</f>
        <v>2942222</v>
      </c>
      <c r="G20" s="171">
        <f>SUM(G21:G22)</f>
        <v>0</v>
      </c>
      <c r="H20" s="171">
        <f>SUM(H21:H22)</f>
        <v>0</v>
      </c>
      <c r="I20" s="171">
        <f>SUM(I21:I22)</f>
        <v>0</v>
      </c>
      <c r="J20" s="172">
        <f t="shared" si="0"/>
        <v>2942222</v>
      </c>
      <c r="K20" s="624"/>
    </row>
    <row r="21" spans="1:11" ht="12.75">
      <c r="A21" s="174"/>
      <c r="B21" s="174"/>
      <c r="C21" s="174"/>
      <c r="D21" s="936" t="s">
        <v>622</v>
      </c>
      <c r="E21" s="937"/>
      <c r="F21" s="175">
        <v>1500000</v>
      </c>
      <c r="G21" s="175">
        <v>0</v>
      </c>
      <c r="H21" s="175">
        <v>0</v>
      </c>
      <c r="I21" s="175">
        <v>0</v>
      </c>
      <c r="J21" s="172">
        <f t="shared" si="0"/>
        <v>1500000</v>
      </c>
      <c r="K21" s="624"/>
    </row>
    <row r="22" spans="1:11" s="176" customFormat="1" ht="12.75">
      <c r="A22" s="174"/>
      <c r="B22" s="174"/>
      <c r="C22" s="174"/>
      <c r="D22" s="936" t="s">
        <v>621</v>
      </c>
      <c r="E22" s="937"/>
      <c r="F22" s="175">
        <v>1442222</v>
      </c>
      <c r="G22" s="175">
        <v>0</v>
      </c>
      <c r="H22" s="175">
        <v>0</v>
      </c>
      <c r="I22" s="175">
        <v>0</v>
      </c>
      <c r="J22" s="172">
        <f t="shared" si="0"/>
        <v>1442222</v>
      </c>
      <c r="K22" s="624"/>
    </row>
    <row r="23" spans="1:11" ht="12" customHeight="1">
      <c r="A23" s="185" t="s">
        <v>141</v>
      </c>
      <c r="B23" s="949" t="s">
        <v>142</v>
      </c>
      <c r="C23" s="950"/>
      <c r="D23" s="950"/>
      <c r="E23" s="951"/>
      <c r="F23" s="172">
        <f>SUM(F56+F45+F43+F42+F41+F40+F29+F28+F27+F26+F24+F25)</f>
        <v>184775594</v>
      </c>
      <c r="G23" s="172">
        <f>SUM(G56+G45+G43+G42+G41+G40+G29+G28+G27+G26+G24+G25)</f>
        <v>0</v>
      </c>
      <c r="H23" s="172">
        <f>SUM(H56+H45+H43+H42+H41+H40+H29+H28+H27+H26+H24+H25)</f>
        <v>0</v>
      </c>
      <c r="I23" s="172">
        <f>SUM(I56+I45+I43+I42+I41+I40+I29+I28+I27+I26+I24+I25)</f>
        <v>0</v>
      </c>
      <c r="J23" s="172">
        <f t="shared" si="0"/>
        <v>184775594</v>
      </c>
      <c r="K23" s="624"/>
    </row>
    <row r="24" spans="1:11" ht="6" customHeight="1" hidden="1">
      <c r="A24" s="174"/>
      <c r="B24" s="174"/>
      <c r="C24" s="174" t="s">
        <v>143</v>
      </c>
      <c r="D24" s="174" t="s">
        <v>144</v>
      </c>
      <c r="E24" s="174"/>
      <c r="F24" s="175">
        <v>0</v>
      </c>
      <c r="G24" s="175">
        <v>0</v>
      </c>
      <c r="H24" s="175">
        <v>0</v>
      </c>
      <c r="I24" s="175">
        <v>0</v>
      </c>
      <c r="J24" s="186">
        <f t="shared" si="0"/>
        <v>0</v>
      </c>
      <c r="K24" s="625"/>
    </row>
    <row r="25" spans="1:11" ht="15" customHeight="1">
      <c r="A25" s="174"/>
      <c r="B25" s="174"/>
      <c r="C25" s="174" t="s">
        <v>145</v>
      </c>
      <c r="D25" s="174" t="s">
        <v>146</v>
      </c>
      <c r="E25" s="174"/>
      <c r="F25" s="175">
        <f>34037935+66110+32640</f>
        <v>34136685</v>
      </c>
      <c r="G25" s="175">
        <v>0</v>
      </c>
      <c r="H25" s="175">
        <v>0</v>
      </c>
      <c r="I25" s="175">
        <v>0</v>
      </c>
      <c r="J25" s="186">
        <f t="shared" si="0"/>
        <v>34136685</v>
      </c>
      <c r="K25" s="625"/>
    </row>
    <row r="26" spans="1:11" ht="12.75" hidden="1">
      <c r="A26" s="174"/>
      <c r="B26" s="174"/>
      <c r="C26" s="174" t="s">
        <v>147</v>
      </c>
      <c r="D26" s="952" t="s">
        <v>148</v>
      </c>
      <c r="E26" s="953"/>
      <c r="F26" s="175">
        <v>0</v>
      </c>
      <c r="G26" s="175">
        <v>0</v>
      </c>
      <c r="H26" s="175">
        <v>0</v>
      </c>
      <c r="I26" s="175">
        <v>0</v>
      </c>
      <c r="J26" s="186">
        <f t="shared" si="0"/>
        <v>0</v>
      </c>
      <c r="K26" s="625"/>
    </row>
    <row r="27" spans="1:11" ht="12.75" hidden="1">
      <c r="A27" s="174"/>
      <c r="B27" s="174"/>
      <c r="C27" s="174" t="s">
        <v>149</v>
      </c>
      <c r="D27" s="952" t="s">
        <v>150</v>
      </c>
      <c r="E27" s="953"/>
      <c r="F27" s="175">
        <v>0</v>
      </c>
      <c r="G27" s="175">
        <v>0</v>
      </c>
      <c r="H27" s="175">
        <v>0</v>
      </c>
      <c r="I27" s="175">
        <v>0</v>
      </c>
      <c r="J27" s="186">
        <f t="shared" si="0"/>
        <v>0</v>
      </c>
      <c r="K27" s="625"/>
    </row>
    <row r="28" spans="1:11" ht="12.75" hidden="1">
      <c r="A28" s="174"/>
      <c r="B28" s="174"/>
      <c r="C28" s="174" t="s">
        <v>171</v>
      </c>
      <c r="D28" s="952" t="s">
        <v>172</v>
      </c>
      <c r="E28" s="953"/>
      <c r="F28" s="175">
        <v>0</v>
      </c>
      <c r="G28" s="175">
        <v>0</v>
      </c>
      <c r="H28" s="175">
        <v>0</v>
      </c>
      <c r="I28" s="175">
        <v>0</v>
      </c>
      <c r="J28" s="186">
        <f t="shared" si="0"/>
        <v>0</v>
      </c>
      <c r="K28" s="625"/>
    </row>
    <row r="29" spans="1:11" ht="12.75" hidden="1">
      <c r="A29" s="174"/>
      <c r="B29" s="174"/>
      <c r="C29" s="174" t="s">
        <v>173</v>
      </c>
      <c r="D29" s="952" t="s">
        <v>174</v>
      </c>
      <c r="E29" s="953"/>
      <c r="F29" s="175">
        <f>SUM(F30:F39)</f>
        <v>0</v>
      </c>
      <c r="G29" s="175">
        <f>SUM(G30:G39)</f>
        <v>0</v>
      </c>
      <c r="H29" s="175">
        <f>SUM(H30:H39)</f>
        <v>0</v>
      </c>
      <c r="I29" s="175">
        <f>SUM(I30:I39)</f>
        <v>0</v>
      </c>
      <c r="J29" s="186">
        <f t="shared" si="0"/>
        <v>0</v>
      </c>
      <c r="K29" s="625"/>
    </row>
    <row r="30" spans="1:11" ht="12.75" hidden="1">
      <c r="A30" s="187"/>
      <c r="B30" s="187"/>
      <c r="C30" s="188" t="s">
        <v>2</v>
      </c>
      <c r="D30" s="188" t="s">
        <v>151</v>
      </c>
      <c r="E30" s="188" t="s">
        <v>152</v>
      </c>
      <c r="F30" s="189">
        <v>0</v>
      </c>
      <c r="G30" s="189">
        <v>0</v>
      </c>
      <c r="H30" s="189">
        <v>0</v>
      </c>
      <c r="I30" s="189">
        <v>0</v>
      </c>
      <c r="J30" s="186">
        <f t="shared" si="0"/>
        <v>0</v>
      </c>
      <c r="K30" s="625"/>
    </row>
    <row r="31" spans="1:11" ht="12.75" hidden="1">
      <c r="A31" s="187"/>
      <c r="B31" s="187"/>
      <c r="C31" s="188"/>
      <c r="D31" s="188" t="s">
        <v>153</v>
      </c>
      <c r="E31" s="188" t="s">
        <v>154</v>
      </c>
      <c r="F31" s="189">
        <v>0</v>
      </c>
      <c r="G31" s="189">
        <v>0</v>
      </c>
      <c r="H31" s="189">
        <v>0</v>
      </c>
      <c r="I31" s="189">
        <v>0</v>
      </c>
      <c r="J31" s="186">
        <f t="shared" si="0"/>
        <v>0</v>
      </c>
      <c r="K31" s="625"/>
    </row>
    <row r="32" spans="1:11" ht="12.75" hidden="1">
      <c r="A32" s="187"/>
      <c r="B32" s="187"/>
      <c r="C32" s="188"/>
      <c r="D32" s="188" t="s">
        <v>155</v>
      </c>
      <c r="E32" s="188" t="s">
        <v>156</v>
      </c>
      <c r="F32" s="189">
        <v>0</v>
      </c>
      <c r="G32" s="189">
        <v>0</v>
      </c>
      <c r="H32" s="189">
        <v>0</v>
      </c>
      <c r="I32" s="189">
        <v>0</v>
      </c>
      <c r="J32" s="186">
        <f t="shared" si="0"/>
        <v>0</v>
      </c>
      <c r="K32" s="625"/>
    </row>
    <row r="33" spans="1:11" ht="12.75" hidden="1">
      <c r="A33" s="187"/>
      <c r="B33" s="187"/>
      <c r="C33" s="188"/>
      <c r="D33" s="188" t="s">
        <v>157</v>
      </c>
      <c r="E33" s="188" t="s">
        <v>158</v>
      </c>
      <c r="F33" s="189">
        <v>0</v>
      </c>
      <c r="G33" s="189">
        <v>0</v>
      </c>
      <c r="H33" s="189">
        <v>0</v>
      </c>
      <c r="I33" s="189">
        <v>0</v>
      </c>
      <c r="J33" s="186">
        <f t="shared" si="0"/>
        <v>0</v>
      </c>
      <c r="K33" s="625"/>
    </row>
    <row r="34" spans="1:11" ht="12.75" hidden="1">
      <c r="A34" s="187"/>
      <c r="B34" s="187"/>
      <c r="C34" s="188"/>
      <c r="D34" s="188" t="s">
        <v>159</v>
      </c>
      <c r="E34" s="188" t="s">
        <v>160</v>
      </c>
      <c r="F34" s="189">
        <v>0</v>
      </c>
      <c r="G34" s="189">
        <v>0</v>
      </c>
      <c r="H34" s="189">
        <v>0</v>
      </c>
      <c r="I34" s="189">
        <v>0</v>
      </c>
      <c r="J34" s="186">
        <f t="shared" si="0"/>
        <v>0</v>
      </c>
      <c r="K34" s="625"/>
    </row>
    <row r="35" spans="1:11" ht="12.75" hidden="1">
      <c r="A35" s="187"/>
      <c r="B35" s="187"/>
      <c r="C35" s="188"/>
      <c r="D35" s="188" t="s">
        <v>161</v>
      </c>
      <c r="E35" s="188" t="s">
        <v>162</v>
      </c>
      <c r="F35" s="189">
        <v>0</v>
      </c>
      <c r="G35" s="189">
        <v>0</v>
      </c>
      <c r="H35" s="189">
        <v>0</v>
      </c>
      <c r="I35" s="189">
        <v>0</v>
      </c>
      <c r="J35" s="186">
        <f t="shared" si="0"/>
        <v>0</v>
      </c>
      <c r="K35" s="625"/>
    </row>
    <row r="36" spans="1:11" ht="0.75" customHeight="1" hidden="1">
      <c r="A36" s="187"/>
      <c r="B36" s="187"/>
      <c r="C36" s="188"/>
      <c r="D36" s="188" t="s">
        <v>163</v>
      </c>
      <c r="E36" s="188" t="s">
        <v>164</v>
      </c>
      <c r="F36" s="189">
        <v>0</v>
      </c>
      <c r="G36" s="189">
        <v>0</v>
      </c>
      <c r="H36" s="189">
        <v>0</v>
      </c>
      <c r="I36" s="189">
        <v>0</v>
      </c>
      <c r="J36" s="186">
        <f t="shared" si="0"/>
        <v>0</v>
      </c>
      <c r="K36" s="625"/>
    </row>
    <row r="37" spans="1:11" ht="12.75" hidden="1">
      <c r="A37" s="187"/>
      <c r="B37" s="187"/>
      <c r="C37" s="188"/>
      <c r="D37" s="188" t="s">
        <v>165</v>
      </c>
      <c r="E37" s="188" t="s">
        <v>166</v>
      </c>
      <c r="F37" s="189">
        <v>0</v>
      </c>
      <c r="G37" s="189">
        <v>0</v>
      </c>
      <c r="H37" s="189">
        <v>0</v>
      </c>
      <c r="I37" s="189">
        <v>0</v>
      </c>
      <c r="J37" s="186">
        <f t="shared" si="0"/>
        <v>0</v>
      </c>
      <c r="K37" s="625"/>
    </row>
    <row r="38" spans="1:11" ht="12.75" hidden="1">
      <c r="A38" s="187"/>
      <c r="B38" s="187"/>
      <c r="C38" s="188"/>
      <c r="D38" s="188" t="s">
        <v>167</v>
      </c>
      <c r="E38" s="188" t="s">
        <v>168</v>
      </c>
      <c r="F38" s="189">
        <v>0</v>
      </c>
      <c r="G38" s="189">
        <v>0</v>
      </c>
      <c r="H38" s="189">
        <v>0</v>
      </c>
      <c r="I38" s="189">
        <v>0</v>
      </c>
      <c r="J38" s="186">
        <f t="shared" si="0"/>
        <v>0</v>
      </c>
      <c r="K38" s="625"/>
    </row>
    <row r="39" spans="1:11" ht="12.75" hidden="1">
      <c r="A39" s="187"/>
      <c r="B39" s="187"/>
      <c r="C39" s="188"/>
      <c r="D39" s="188" t="s">
        <v>169</v>
      </c>
      <c r="E39" s="188" t="s">
        <v>170</v>
      </c>
      <c r="F39" s="189">
        <v>0</v>
      </c>
      <c r="G39" s="189">
        <v>0</v>
      </c>
      <c r="H39" s="189">
        <v>0</v>
      </c>
      <c r="I39" s="189">
        <v>0</v>
      </c>
      <c r="J39" s="186">
        <f t="shared" si="0"/>
        <v>0</v>
      </c>
      <c r="K39" s="625"/>
    </row>
    <row r="40" spans="1:11" ht="12.75" hidden="1">
      <c r="A40" s="174"/>
      <c r="B40" s="174"/>
      <c r="C40" s="174" t="s">
        <v>175</v>
      </c>
      <c r="D40" s="952" t="s">
        <v>176</v>
      </c>
      <c r="E40" s="953"/>
      <c r="F40" s="175">
        <v>0</v>
      </c>
      <c r="G40" s="175">
        <v>0</v>
      </c>
      <c r="H40" s="175">
        <v>0</v>
      </c>
      <c r="I40" s="175">
        <v>0</v>
      </c>
      <c r="J40" s="186">
        <f t="shared" si="0"/>
        <v>0</v>
      </c>
      <c r="K40" s="625"/>
    </row>
    <row r="41" spans="1:11" ht="12.75" hidden="1">
      <c r="A41" s="174"/>
      <c r="B41" s="174"/>
      <c r="C41" s="174" t="s">
        <v>177</v>
      </c>
      <c r="D41" s="952" t="s">
        <v>552</v>
      </c>
      <c r="E41" s="953"/>
      <c r="F41" s="175">
        <v>0</v>
      </c>
      <c r="G41" s="175">
        <v>0</v>
      </c>
      <c r="H41" s="175">
        <v>0</v>
      </c>
      <c r="I41" s="175">
        <v>0</v>
      </c>
      <c r="J41" s="186">
        <f t="shared" si="0"/>
        <v>0</v>
      </c>
      <c r="K41" s="625"/>
    </row>
    <row r="42" spans="1:11" ht="12.75" hidden="1">
      <c r="A42" s="174"/>
      <c r="B42" s="174"/>
      <c r="C42" s="174" t="s">
        <v>188</v>
      </c>
      <c r="D42" s="952" t="s">
        <v>189</v>
      </c>
      <c r="E42" s="953"/>
      <c r="F42" s="175">
        <v>0</v>
      </c>
      <c r="G42" s="175">
        <v>0</v>
      </c>
      <c r="H42" s="175">
        <v>0</v>
      </c>
      <c r="I42" s="175">
        <v>0</v>
      </c>
      <c r="J42" s="186">
        <f t="shared" si="0"/>
        <v>0</v>
      </c>
      <c r="K42" s="625"/>
    </row>
    <row r="43" spans="1:11" ht="12.75" hidden="1">
      <c r="A43" s="174"/>
      <c r="B43" s="174"/>
      <c r="C43" s="174" t="s">
        <v>190</v>
      </c>
      <c r="D43" s="952" t="s">
        <v>191</v>
      </c>
      <c r="E43" s="953"/>
      <c r="F43" s="175">
        <v>0</v>
      </c>
      <c r="G43" s="175">
        <v>0</v>
      </c>
      <c r="H43" s="175">
        <v>0</v>
      </c>
      <c r="I43" s="175">
        <v>0</v>
      </c>
      <c r="J43" s="186">
        <f t="shared" si="0"/>
        <v>0</v>
      </c>
      <c r="K43" s="625"/>
    </row>
    <row r="44" spans="1:11" ht="12.75" hidden="1">
      <c r="A44" s="174"/>
      <c r="B44" s="174"/>
      <c r="C44" s="174" t="s">
        <v>192</v>
      </c>
      <c r="D44" s="952" t="s">
        <v>594</v>
      </c>
      <c r="E44" s="953"/>
      <c r="F44" s="175">
        <v>0</v>
      </c>
      <c r="G44" s="175">
        <v>0</v>
      </c>
      <c r="H44" s="175">
        <v>0</v>
      </c>
      <c r="I44" s="175">
        <v>0</v>
      </c>
      <c r="J44" s="186">
        <f t="shared" si="0"/>
        <v>0</v>
      </c>
      <c r="K44" s="625"/>
    </row>
    <row r="45" spans="1:11" ht="12.75">
      <c r="A45" s="174"/>
      <c r="B45" s="174"/>
      <c r="C45" s="174" t="s">
        <v>194</v>
      </c>
      <c r="D45" s="954" t="s">
        <v>193</v>
      </c>
      <c r="E45" s="955"/>
      <c r="F45" s="175">
        <f>38436000+9850000+1000000+25828000+17049000+16441000+4592665+40519000-9850000-1100000-4650000-1000000+1031200+1564044</f>
        <v>139710909</v>
      </c>
      <c r="G45" s="175">
        <f>SUM(G46:G55)</f>
        <v>0</v>
      </c>
      <c r="H45" s="175">
        <f>SUM(H46:H55)</f>
        <v>0</v>
      </c>
      <c r="I45" s="175">
        <f>SUM(I46:I55)</f>
        <v>0</v>
      </c>
      <c r="J45" s="186">
        <f t="shared" si="0"/>
        <v>139710909</v>
      </c>
      <c r="K45" s="625"/>
    </row>
    <row r="46" spans="1:11" ht="12.75" hidden="1">
      <c r="A46" s="190"/>
      <c r="B46" s="190"/>
      <c r="C46" s="188" t="s">
        <v>2</v>
      </c>
      <c r="D46" s="239" t="s">
        <v>151</v>
      </c>
      <c r="E46" s="239" t="s">
        <v>178</v>
      </c>
      <c r="F46" s="189">
        <v>0</v>
      </c>
      <c r="G46" s="189">
        <v>0</v>
      </c>
      <c r="H46" s="189">
        <v>0</v>
      </c>
      <c r="I46" s="189">
        <v>0</v>
      </c>
      <c r="J46" s="186">
        <f t="shared" si="0"/>
        <v>0</v>
      </c>
      <c r="K46" s="625"/>
    </row>
    <row r="47" spans="1:11" ht="12.75" hidden="1">
      <c r="A47" s="190"/>
      <c r="B47" s="190"/>
      <c r="C47" s="188"/>
      <c r="D47" s="239" t="s">
        <v>153</v>
      </c>
      <c r="E47" s="239" t="s">
        <v>591</v>
      </c>
      <c r="F47" s="189">
        <v>0</v>
      </c>
      <c r="G47" s="189"/>
      <c r="H47" s="189"/>
      <c r="I47" s="189"/>
      <c r="J47" s="186">
        <f t="shared" si="0"/>
        <v>0</v>
      </c>
      <c r="K47" s="625"/>
    </row>
    <row r="48" spans="1:11" ht="12.75" hidden="1">
      <c r="A48" s="190"/>
      <c r="B48" s="190"/>
      <c r="C48" s="188"/>
      <c r="D48" s="239" t="s">
        <v>155</v>
      </c>
      <c r="E48" s="239" t="s">
        <v>179</v>
      </c>
      <c r="F48" s="189">
        <f>100000</f>
        <v>100000</v>
      </c>
      <c r="G48" s="189">
        <v>0</v>
      </c>
      <c r="H48" s="189">
        <v>0</v>
      </c>
      <c r="I48" s="189">
        <v>0</v>
      </c>
      <c r="J48" s="186">
        <f t="shared" si="0"/>
        <v>100000</v>
      </c>
      <c r="K48" s="625"/>
    </row>
    <row r="49" spans="1:11" ht="12.75" hidden="1">
      <c r="A49" s="190"/>
      <c r="B49" s="190"/>
      <c r="C49" s="188"/>
      <c r="D49" s="239" t="s">
        <v>157</v>
      </c>
      <c r="E49" s="239" t="s">
        <v>180</v>
      </c>
      <c r="F49" s="189">
        <v>0</v>
      </c>
      <c r="G49" s="189">
        <v>0</v>
      </c>
      <c r="H49" s="189">
        <v>0</v>
      </c>
      <c r="I49" s="189">
        <v>0</v>
      </c>
      <c r="J49" s="186">
        <f t="shared" si="0"/>
        <v>0</v>
      </c>
      <c r="K49" s="625"/>
    </row>
    <row r="50" spans="1:11" ht="12.75" hidden="1">
      <c r="A50" s="190"/>
      <c r="B50" s="190"/>
      <c r="C50" s="188"/>
      <c r="D50" s="239" t="s">
        <v>159</v>
      </c>
      <c r="E50" s="239" t="s">
        <v>181</v>
      </c>
      <c r="F50" s="189">
        <v>0</v>
      </c>
      <c r="G50" s="189">
        <v>0</v>
      </c>
      <c r="H50" s="189">
        <v>0</v>
      </c>
      <c r="I50" s="189">
        <v>0</v>
      </c>
      <c r="J50" s="186">
        <f t="shared" si="0"/>
        <v>0</v>
      </c>
      <c r="K50" s="625"/>
    </row>
    <row r="51" spans="1:11" ht="12.75" hidden="1">
      <c r="A51" s="190"/>
      <c r="B51" s="190"/>
      <c r="C51" s="188"/>
      <c r="D51" s="239" t="s">
        <v>161</v>
      </c>
      <c r="E51" s="239" t="s">
        <v>182</v>
      </c>
      <c r="F51" s="189">
        <v>0</v>
      </c>
      <c r="G51" s="189">
        <v>0</v>
      </c>
      <c r="H51" s="189">
        <v>0</v>
      </c>
      <c r="I51" s="189">
        <v>0</v>
      </c>
      <c r="J51" s="186">
        <f t="shared" si="0"/>
        <v>0</v>
      </c>
      <c r="K51" s="625"/>
    </row>
    <row r="52" spans="1:11" ht="12.75" hidden="1">
      <c r="A52" s="187"/>
      <c r="B52" s="187"/>
      <c r="C52" s="188"/>
      <c r="D52" s="239" t="s">
        <v>163</v>
      </c>
      <c r="E52" s="239" t="s">
        <v>183</v>
      </c>
      <c r="F52" s="189">
        <f>16916206+43528000+9850000+2500000+32626000+18843000+37833000+1100000+3374212+13435298+6711326+25701000+11294000+3419000+5394000+8971000+5744000-782000-854000-8393000-50329-262038-267633-9876000-2249000-653000-1203000-2187000-868000-8000000-1200000+782000+854000-1607000-1500000</f>
        <v>208924042</v>
      </c>
      <c r="G52" s="189">
        <v>0</v>
      </c>
      <c r="H52" s="189">
        <v>0</v>
      </c>
      <c r="I52" s="189">
        <v>0</v>
      </c>
      <c r="J52" s="186">
        <f t="shared" si="0"/>
        <v>208924042</v>
      </c>
      <c r="K52" s="625"/>
    </row>
    <row r="53" spans="1:11" ht="12.75" hidden="1">
      <c r="A53" s="187"/>
      <c r="B53" s="187"/>
      <c r="C53" s="188"/>
      <c r="D53" s="239" t="s">
        <v>165</v>
      </c>
      <c r="E53" s="239" t="s">
        <v>184</v>
      </c>
      <c r="F53" s="189">
        <f>3224350+35026110</f>
        <v>38250460</v>
      </c>
      <c r="G53" s="189">
        <v>0</v>
      </c>
      <c r="H53" s="189">
        <v>0</v>
      </c>
      <c r="I53" s="189">
        <v>0</v>
      </c>
      <c r="J53" s="186">
        <f t="shared" si="0"/>
        <v>38250460</v>
      </c>
      <c r="K53" s="625"/>
    </row>
    <row r="54" spans="1:11" ht="12.75" hidden="1">
      <c r="A54" s="190"/>
      <c r="B54" s="190"/>
      <c r="C54" s="188"/>
      <c r="D54" s="239" t="s">
        <v>167</v>
      </c>
      <c r="E54" s="239" t="s">
        <v>186</v>
      </c>
      <c r="F54" s="189">
        <v>0</v>
      </c>
      <c r="G54" s="189">
        <v>0</v>
      </c>
      <c r="H54" s="189">
        <v>0</v>
      </c>
      <c r="I54" s="189">
        <v>0</v>
      </c>
      <c r="J54" s="186">
        <f t="shared" si="0"/>
        <v>0</v>
      </c>
      <c r="K54" s="625"/>
    </row>
    <row r="55" spans="1:11" ht="12.75" hidden="1">
      <c r="A55" s="190"/>
      <c r="B55" s="190"/>
      <c r="C55" s="188"/>
      <c r="D55" s="239" t="s">
        <v>169</v>
      </c>
      <c r="E55" s="239" t="s">
        <v>187</v>
      </c>
      <c r="F55" s="189">
        <v>0</v>
      </c>
      <c r="G55" s="189">
        <v>0</v>
      </c>
      <c r="H55" s="189">
        <v>0</v>
      </c>
      <c r="I55" s="189">
        <v>0</v>
      </c>
      <c r="J55" s="186">
        <f t="shared" si="0"/>
        <v>0</v>
      </c>
      <c r="K55" s="625"/>
    </row>
    <row r="56" spans="1:11" ht="12.75">
      <c r="A56" s="190"/>
      <c r="B56" s="190"/>
      <c r="C56" s="174" t="s">
        <v>595</v>
      </c>
      <c r="D56" s="954" t="s">
        <v>195</v>
      </c>
      <c r="E56" s="955"/>
      <c r="F56" s="175">
        <f>SUM(F57:F61)</f>
        <v>10928000</v>
      </c>
      <c r="G56" s="175">
        <f>SUM(G57:G61)</f>
        <v>0</v>
      </c>
      <c r="H56" s="175">
        <f>SUM(H57:H61)</f>
        <v>0</v>
      </c>
      <c r="I56" s="175">
        <f>SUM(I57:I61)</f>
        <v>0</v>
      </c>
      <c r="J56" s="186">
        <f t="shared" si="0"/>
        <v>10928000</v>
      </c>
      <c r="K56" s="625"/>
    </row>
    <row r="57" spans="1:11" ht="12.75">
      <c r="A57" s="187"/>
      <c r="B57" s="187"/>
      <c r="C57" s="191" t="s">
        <v>2</v>
      </c>
      <c r="D57" s="192"/>
      <c r="E57" s="193" t="s">
        <v>433</v>
      </c>
      <c r="F57" s="189">
        <v>1000000</v>
      </c>
      <c r="G57" s="189">
        <v>0</v>
      </c>
      <c r="H57" s="189">
        <v>0</v>
      </c>
      <c r="I57" s="189">
        <v>0</v>
      </c>
      <c r="J57" s="186">
        <f t="shared" si="0"/>
        <v>1000000</v>
      </c>
      <c r="K57" s="625"/>
    </row>
    <row r="58" spans="1:11" ht="12.75">
      <c r="A58" s="187"/>
      <c r="B58" s="187"/>
      <c r="C58" s="188"/>
      <c r="D58" s="192"/>
      <c r="E58" s="193" t="s">
        <v>470</v>
      </c>
      <c r="F58" s="189">
        <v>1000000</v>
      </c>
      <c r="G58" s="189">
        <v>0</v>
      </c>
      <c r="H58" s="189">
        <v>0</v>
      </c>
      <c r="I58" s="189">
        <v>0</v>
      </c>
      <c r="J58" s="186">
        <f t="shared" si="0"/>
        <v>1000000</v>
      </c>
      <c r="K58" s="625"/>
    </row>
    <row r="59" spans="1:11" ht="12.75">
      <c r="A59" s="187"/>
      <c r="B59" s="187"/>
      <c r="C59" s="188"/>
      <c r="D59" s="192"/>
      <c r="E59" s="193" t="s">
        <v>719</v>
      </c>
      <c r="F59" s="189">
        <v>495000</v>
      </c>
      <c r="G59" s="189">
        <v>0</v>
      </c>
      <c r="H59" s="189">
        <v>0</v>
      </c>
      <c r="I59" s="189">
        <v>0</v>
      </c>
      <c r="J59" s="186">
        <f t="shared" si="0"/>
        <v>495000</v>
      </c>
      <c r="K59" s="625"/>
    </row>
    <row r="60" spans="1:11" ht="22.5">
      <c r="A60" s="187"/>
      <c r="B60" s="187"/>
      <c r="C60" s="188"/>
      <c r="D60" s="192"/>
      <c r="E60" s="623" t="s">
        <v>833</v>
      </c>
      <c r="F60" s="853">
        <f>23433000-20000000</f>
        <v>3433000</v>
      </c>
      <c r="G60" s="853"/>
      <c r="H60" s="853"/>
      <c r="I60" s="853"/>
      <c r="J60" s="854">
        <f t="shared" si="0"/>
        <v>3433000</v>
      </c>
      <c r="K60" s="625"/>
    </row>
    <row r="61" spans="1:11" ht="27.75" customHeight="1">
      <c r="A61" s="187"/>
      <c r="B61" s="187"/>
      <c r="C61" s="188"/>
      <c r="D61" s="192"/>
      <c r="E61" s="855" t="s">
        <v>1028</v>
      </c>
      <c r="F61" s="853">
        <v>5000000</v>
      </c>
      <c r="G61" s="853">
        <v>0</v>
      </c>
      <c r="H61" s="853">
        <v>0</v>
      </c>
      <c r="I61" s="853">
        <v>0</v>
      </c>
      <c r="J61" s="854">
        <f t="shared" si="0"/>
        <v>5000000</v>
      </c>
      <c r="K61" s="625"/>
    </row>
    <row r="62" spans="1:11" ht="12" customHeight="1">
      <c r="A62" s="185" t="s">
        <v>123</v>
      </c>
      <c r="B62" s="949" t="s">
        <v>375</v>
      </c>
      <c r="C62" s="950"/>
      <c r="D62" s="950"/>
      <c r="E62" s="951"/>
      <c r="F62" s="172">
        <f>264185263+12223750+525300+8644085+335750+76200+15576620+10986734-11201400+495250+151044+299888+1846997+8983129+120000+2497100</f>
        <v>315745710</v>
      </c>
      <c r="G62" s="172">
        <v>1229404</v>
      </c>
      <c r="H62" s="172">
        <f>304800+1687190+2412553</f>
        <v>4404543</v>
      </c>
      <c r="I62" s="172">
        <v>103900</v>
      </c>
      <c r="J62" s="172">
        <f t="shared" si="0"/>
        <v>321483557</v>
      </c>
      <c r="K62" s="624"/>
    </row>
    <row r="63" spans="1:11" ht="12.75">
      <c r="A63" s="185" t="s">
        <v>125</v>
      </c>
      <c r="B63" s="949" t="s">
        <v>124</v>
      </c>
      <c r="C63" s="950"/>
      <c r="D63" s="950"/>
      <c r="E63" s="951"/>
      <c r="F63" s="172">
        <f>6310000-3810000+508000+17634204+389000+2606050+22279919+850900+3000000+5000000+6528562</f>
        <v>61296635</v>
      </c>
      <c r="G63" s="172">
        <v>0</v>
      </c>
      <c r="H63" s="172">
        <v>0</v>
      </c>
      <c r="I63" s="172"/>
      <c r="J63" s="172">
        <f t="shared" si="0"/>
        <v>61296635</v>
      </c>
      <c r="K63" s="624"/>
    </row>
    <row r="64" spans="1:11" ht="12.75">
      <c r="A64" s="185" t="s">
        <v>127</v>
      </c>
      <c r="B64" s="949" t="s">
        <v>126</v>
      </c>
      <c r="C64" s="950"/>
      <c r="D64" s="950"/>
      <c r="E64" s="951"/>
      <c r="F64" s="172">
        <f>SUM(F65:F73)</f>
        <v>1609020</v>
      </c>
      <c r="G64" s="172">
        <f>SUM(G65:G73)</f>
        <v>0</v>
      </c>
      <c r="H64" s="172">
        <f>SUM(H65:H73)</f>
        <v>0</v>
      </c>
      <c r="I64" s="172">
        <f>SUM(I65:I73)</f>
        <v>0</v>
      </c>
      <c r="J64" s="172">
        <f t="shared" si="0"/>
        <v>1609020</v>
      </c>
      <c r="K64" s="624"/>
    </row>
    <row r="65" spans="1:11" ht="12.75" hidden="1">
      <c r="A65" s="168"/>
      <c r="B65" s="168" t="s">
        <v>197</v>
      </c>
      <c r="C65" s="939" t="s">
        <v>198</v>
      </c>
      <c r="D65" s="939"/>
      <c r="E65" s="939"/>
      <c r="F65" s="171">
        <v>0</v>
      </c>
      <c r="G65" s="171">
        <v>0</v>
      </c>
      <c r="H65" s="171">
        <v>0</v>
      </c>
      <c r="I65" s="171">
        <v>0</v>
      </c>
      <c r="J65" s="172">
        <f t="shared" si="0"/>
        <v>0</v>
      </c>
      <c r="K65" s="624"/>
    </row>
    <row r="66" spans="1:11" ht="12.75" hidden="1">
      <c r="A66" s="168"/>
      <c r="B66" s="168" t="s">
        <v>199</v>
      </c>
      <c r="C66" s="939" t="s">
        <v>200</v>
      </c>
      <c r="D66" s="939"/>
      <c r="E66" s="939"/>
      <c r="F66" s="171">
        <v>0</v>
      </c>
      <c r="G66" s="171">
        <v>0</v>
      </c>
      <c r="H66" s="171">
        <v>0</v>
      </c>
      <c r="I66" s="171">
        <v>0</v>
      </c>
      <c r="J66" s="172">
        <f t="shared" si="0"/>
        <v>0</v>
      </c>
      <c r="K66" s="624"/>
    </row>
    <row r="67" spans="1:11" ht="12.75" hidden="1">
      <c r="A67" s="168" t="s">
        <v>196</v>
      </c>
      <c r="B67" s="168" t="s">
        <v>201</v>
      </c>
      <c r="C67" s="939" t="s">
        <v>202</v>
      </c>
      <c r="D67" s="939"/>
      <c r="E67" s="939"/>
      <c r="F67" s="171">
        <v>0</v>
      </c>
      <c r="G67" s="171">
        <v>0</v>
      </c>
      <c r="H67" s="171">
        <v>0</v>
      </c>
      <c r="I67" s="171">
        <v>0</v>
      </c>
      <c r="J67" s="172">
        <f t="shared" si="0"/>
        <v>0</v>
      </c>
      <c r="K67" s="624"/>
    </row>
    <row r="68" spans="1:11" ht="12.75" hidden="1">
      <c r="A68" s="168"/>
      <c r="B68" s="168" t="s">
        <v>203</v>
      </c>
      <c r="C68" s="939" t="s">
        <v>204</v>
      </c>
      <c r="D68" s="939"/>
      <c r="E68" s="939"/>
      <c r="F68" s="171">
        <v>0</v>
      </c>
      <c r="G68" s="171">
        <v>0</v>
      </c>
      <c r="H68" s="171">
        <v>0</v>
      </c>
      <c r="I68" s="171">
        <v>0</v>
      </c>
      <c r="J68" s="172">
        <f t="shared" si="0"/>
        <v>0</v>
      </c>
      <c r="K68" s="624"/>
    </row>
    <row r="69" spans="1:11" ht="12.75" hidden="1">
      <c r="A69" s="168"/>
      <c r="B69" s="168" t="s">
        <v>205</v>
      </c>
      <c r="C69" s="939" t="s">
        <v>206</v>
      </c>
      <c r="D69" s="939"/>
      <c r="E69" s="939"/>
      <c r="F69" s="171">
        <v>0</v>
      </c>
      <c r="G69" s="171">
        <v>0</v>
      </c>
      <c r="H69" s="171">
        <v>0</v>
      </c>
      <c r="I69" s="171">
        <v>0</v>
      </c>
      <c r="J69" s="172">
        <f t="shared" si="0"/>
        <v>0</v>
      </c>
      <c r="K69" s="624"/>
    </row>
    <row r="70" spans="1:11" ht="12.75" hidden="1">
      <c r="A70" s="168"/>
      <c r="B70" s="168" t="s">
        <v>207</v>
      </c>
      <c r="C70" s="939" t="s">
        <v>208</v>
      </c>
      <c r="D70" s="939"/>
      <c r="E70" s="939"/>
      <c r="F70" s="171">
        <v>0</v>
      </c>
      <c r="G70" s="171">
        <v>0</v>
      </c>
      <c r="H70" s="171">
        <v>0</v>
      </c>
      <c r="I70" s="171">
        <v>0</v>
      </c>
      <c r="J70" s="172">
        <f t="shared" si="0"/>
        <v>0</v>
      </c>
      <c r="K70" s="624"/>
    </row>
    <row r="71" spans="1:11" ht="12.75" hidden="1">
      <c r="A71" s="168"/>
      <c r="B71" s="168" t="s">
        <v>209</v>
      </c>
      <c r="C71" s="939" t="s">
        <v>210</v>
      </c>
      <c r="D71" s="939"/>
      <c r="E71" s="939"/>
      <c r="F71" s="171">
        <v>0</v>
      </c>
      <c r="G71" s="171">
        <v>0</v>
      </c>
      <c r="H71" s="171">
        <v>0</v>
      </c>
      <c r="I71" s="171">
        <v>0</v>
      </c>
      <c r="J71" s="172">
        <f>SUM(F71:I71)</f>
        <v>0</v>
      </c>
      <c r="K71" s="624"/>
    </row>
    <row r="72" spans="1:11" ht="12.75" hidden="1">
      <c r="A72" s="168"/>
      <c r="B72" s="168" t="s">
        <v>211</v>
      </c>
      <c r="C72" s="939" t="s">
        <v>597</v>
      </c>
      <c r="D72" s="939"/>
      <c r="E72" s="939"/>
      <c r="F72" s="171">
        <v>0</v>
      </c>
      <c r="G72" s="171">
        <v>0</v>
      </c>
      <c r="H72" s="171">
        <v>0</v>
      </c>
      <c r="I72" s="171">
        <v>0</v>
      </c>
      <c r="J72" s="172">
        <f>SUM(F72:I72)</f>
        <v>0</v>
      </c>
      <c r="K72" s="624"/>
    </row>
    <row r="73" spans="1:11" ht="12.75">
      <c r="A73" s="168"/>
      <c r="B73" s="168" t="s">
        <v>596</v>
      </c>
      <c r="C73" s="939" t="s">
        <v>718</v>
      </c>
      <c r="D73" s="939"/>
      <c r="E73" s="939"/>
      <c r="F73" s="171">
        <f>449520+1159500</f>
        <v>1609020</v>
      </c>
      <c r="G73" s="171">
        <v>0</v>
      </c>
      <c r="H73" s="171">
        <v>0</v>
      </c>
      <c r="I73" s="171">
        <v>0</v>
      </c>
      <c r="J73" s="172">
        <f>SUM(F73:I73)</f>
        <v>1609020</v>
      </c>
      <c r="K73" s="624"/>
    </row>
    <row r="74" spans="1:11" ht="12.75">
      <c r="A74" s="185" t="s">
        <v>129</v>
      </c>
      <c r="B74" s="949" t="s">
        <v>128</v>
      </c>
      <c r="C74" s="950"/>
      <c r="D74" s="950"/>
      <c r="E74" s="951"/>
      <c r="F74" s="172">
        <v>18041236</v>
      </c>
      <c r="G74" s="172">
        <v>0</v>
      </c>
      <c r="H74" s="172">
        <v>0</v>
      </c>
      <c r="I74" s="172">
        <v>0</v>
      </c>
      <c r="J74" s="172">
        <f>SUM(F74:I74)</f>
        <v>18041236</v>
      </c>
      <c r="K74" s="624"/>
    </row>
    <row r="75" spans="1:10" ht="12.75">
      <c r="A75" s="194"/>
      <c r="B75" s="195"/>
      <c r="C75" s="195"/>
      <c r="D75" s="195"/>
      <c r="E75" s="195"/>
      <c r="F75" s="196"/>
      <c r="G75" s="197"/>
      <c r="H75" s="197"/>
      <c r="I75" s="197"/>
      <c r="J75" s="198"/>
    </row>
    <row r="76" spans="1:10" ht="15.75">
      <c r="A76" s="958" t="s">
        <v>212</v>
      </c>
      <c r="B76" s="959"/>
      <c r="C76" s="959"/>
      <c r="D76" s="959"/>
      <c r="E76" s="960"/>
      <c r="F76" s="199">
        <f>SUM(F7+F8+F9+F10+F23+F62+F63+F64+F74)</f>
        <v>1240443664</v>
      </c>
      <c r="G76" s="199">
        <f>SUM(G7+G8+G9+G10+G23+G62+G63+G64+G74)</f>
        <v>129085233</v>
      </c>
      <c r="H76" s="199">
        <f>SUM(H7+H8+H9+H10+H23+H62+H63+H64+H74)</f>
        <v>305536782</v>
      </c>
      <c r="I76" s="199">
        <f>SUM(I7+I8+I9+I10+I23+I62+I63+I64+I74)</f>
        <v>27223590</v>
      </c>
      <c r="J76" s="199">
        <f>SUM(J7+J8+J9+J10+J23+J62+J63+J64+J74)</f>
        <v>1702289269</v>
      </c>
    </row>
    <row r="79" spans="1:2" ht="12.75">
      <c r="A79" s="876">
        <v>8</v>
      </c>
      <c r="B79" s="876" t="s">
        <v>1041</v>
      </c>
    </row>
  </sheetData>
  <sheetProtection/>
  <mergeCells count="45">
    <mergeCell ref="C73:E73"/>
    <mergeCell ref="B74:E74"/>
    <mergeCell ref="A76:E76"/>
    <mergeCell ref="C67:E67"/>
    <mergeCell ref="C68:E68"/>
    <mergeCell ref="C69:E69"/>
    <mergeCell ref="C70:E70"/>
    <mergeCell ref="C71:E71"/>
    <mergeCell ref="C72:E72"/>
    <mergeCell ref="B64:E64"/>
    <mergeCell ref="C65:E65"/>
    <mergeCell ref="C66:E66"/>
    <mergeCell ref="B63:E63"/>
    <mergeCell ref="D45:E45"/>
    <mergeCell ref="D56:E56"/>
    <mergeCell ref="B62:E62"/>
    <mergeCell ref="D29:E29"/>
    <mergeCell ref="D40:E40"/>
    <mergeCell ref="D41:E41"/>
    <mergeCell ref="D42:E42"/>
    <mergeCell ref="D43:E43"/>
    <mergeCell ref="D44:E44"/>
    <mergeCell ref="B23:E23"/>
    <mergeCell ref="D26:E26"/>
    <mergeCell ref="D27:E27"/>
    <mergeCell ref="D28:E28"/>
    <mergeCell ref="B10:E10"/>
    <mergeCell ref="B8:E8"/>
    <mergeCell ref="B9:E9"/>
    <mergeCell ref="D13:E13"/>
    <mergeCell ref="D14:E14"/>
    <mergeCell ref="C15:E15"/>
    <mergeCell ref="A1:J1"/>
    <mergeCell ref="A3:J3"/>
    <mergeCell ref="A5:E5"/>
    <mergeCell ref="B6:E6"/>
    <mergeCell ref="B7:E7"/>
    <mergeCell ref="C12:E12"/>
    <mergeCell ref="C11:E11"/>
    <mergeCell ref="D21:E21"/>
    <mergeCell ref="D22:E22"/>
    <mergeCell ref="C16:E16"/>
    <mergeCell ref="C18:E18"/>
    <mergeCell ref="C19:E19"/>
    <mergeCell ref="C20:E20"/>
  </mergeCells>
  <printOptions horizontalCentered="1"/>
  <pageMargins left="0.35433070866141736" right="0.35433070866141736" top="0.5905511811023623" bottom="0.5905511811023623" header="0.5118110236220472" footer="0.5118110236220472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J61"/>
  <sheetViews>
    <sheetView zoomScalePageLayoutView="0" workbookViewId="0" topLeftCell="C1">
      <selection activeCell="D13" sqref="D13"/>
    </sheetView>
  </sheetViews>
  <sheetFormatPr defaultColWidth="9.00390625" defaultRowHeight="12.75"/>
  <cols>
    <col min="1" max="1" width="4.125" style="90" bestFit="1" customWidth="1"/>
    <col min="2" max="2" width="55.125" style="38" bestFit="1" customWidth="1"/>
    <col min="3" max="3" width="12.00390625" style="38" bestFit="1" customWidth="1"/>
    <col min="4" max="5" width="13.375" style="38" bestFit="1" customWidth="1"/>
    <col min="6" max="6" width="53.875" style="38" bestFit="1" customWidth="1"/>
    <col min="7" max="7" width="13.25390625" style="38" bestFit="1" customWidth="1"/>
    <col min="8" max="9" width="14.125" style="38" bestFit="1" customWidth="1"/>
    <col min="10" max="16384" width="9.125" style="38" customWidth="1"/>
  </cols>
  <sheetData>
    <row r="1" spans="6:10" ht="12.75" customHeight="1">
      <c r="F1" s="964" t="s">
        <v>1043</v>
      </c>
      <c r="G1" s="965"/>
      <c r="H1" s="965"/>
      <c r="I1" s="965"/>
      <c r="J1" s="82"/>
    </row>
    <row r="2" spans="2:9" ht="15.75">
      <c r="B2" s="966" t="s">
        <v>835</v>
      </c>
      <c r="C2" s="966"/>
      <c r="D2" s="966"/>
      <c r="E2" s="966"/>
      <c r="F2" s="966"/>
      <c r="G2" s="966"/>
      <c r="H2" s="966"/>
      <c r="I2" s="966"/>
    </row>
    <row r="3" ht="8.25" customHeight="1"/>
    <row r="4" spans="1:9" s="39" customFormat="1" ht="15" customHeight="1">
      <c r="A4" s="968" t="s">
        <v>440</v>
      </c>
      <c r="B4" s="967" t="s">
        <v>446</v>
      </c>
      <c r="C4" s="967"/>
      <c r="D4" s="967"/>
      <c r="E4" s="967"/>
      <c r="F4" s="967" t="s">
        <v>370</v>
      </c>
      <c r="G4" s="967"/>
      <c r="H4" s="967"/>
      <c r="I4" s="967"/>
    </row>
    <row r="5" spans="1:9" s="42" customFormat="1" ht="14.25">
      <c r="A5" s="968"/>
      <c r="B5" s="40" t="s">
        <v>369</v>
      </c>
      <c r="C5" s="41" t="s">
        <v>344</v>
      </c>
      <c r="D5" s="41" t="s">
        <v>343</v>
      </c>
      <c r="E5" s="41" t="s">
        <v>429</v>
      </c>
      <c r="F5" s="40" t="s">
        <v>369</v>
      </c>
      <c r="G5" s="41" t="s">
        <v>344</v>
      </c>
      <c r="H5" s="41" t="s">
        <v>343</v>
      </c>
      <c r="I5" s="41" t="s">
        <v>429</v>
      </c>
    </row>
    <row r="6" spans="1:9" s="89" customFormat="1" ht="12">
      <c r="A6" s="968"/>
      <c r="B6" s="88" t="s">
        <v>434</v>
      </c>
      <c r="C6" s="88" t="s">
        <v>435</v>
      </c>
      <c r="D6" s="88" t="s">
        <v>436</v>
      </c>
      <c r="E6" s="88" t="s">
        <v>437</v>
      </c>
      <c r="F6" s="88" t="s">
        <v>438</v>
      </c>
      <c r="G6" s="88" t="s">
        <v>439</v>
      </c>
      <c r="H6" s="88" t="s">
        <v>441</v>
      </c>
      <c r="I6" s="88" t="s">
        <v>442</v>
      </c>
    </row>
    <row r="7" spans="1:9" s="58" customFormat="1" ht="14.25">
      <c r="A7" s="88">
        <v>1</v>
      </c>
      <c r="B7" s="57" t="s">
        <v>531</v>
      </c>
      <c r="C7" s="75">
        <f>SUM(C8)</f>
        <v>1230545968</v>
      </c>
      <c r="D7" s="75">
        <f>SUM(D32,D8)</f>
        <v>125013461</v>
      </c>
      <c r="E7" s="75">
        <f aca="true" t="shared" si="0" ref="E7:E30">SUM(C7:D7)</f>
        <v>1355559429</v>
      </c>
      <c r="F7" s="57" t="s">
        <v>532</v>
      </c>
      <c r="G7" s="75">
        <f>SUM(G8,G32)</f>
        <v>1294858821</v>
      </c>
      <c r="H7" s="75">
        <f>SUM(H8,H32)</f>
        <v>389389212</v>
      </c>
      <c r="I7" s="75">
        <f aca="true" t="shared" si="1" ref="I7:I17">SUM(G7:H7)</f>
        <v>1684248033</v>
      </c>
    </row>
    <row r="8" spans="1:9" s="67" customFormat="1" ht="12.75">
      <c r="A8" s="91">
        <v>2</v>
      </c>
      <c r="B8" s="64" t="s">
        <v>464</v>
      </c>
      <c r="C8" s="65">
        <f>SUM(C28+C18+C13+C9)</f>
        <v>1230545968</v>
      </c>
      <c r="D8" s="65">
        <f>SUM(D28+D18+D13+D9)</f>
        <v>0</v>
      </c>
      <c r="E8" s="65">
        <f t="shared" si="0"/>
        <v>1230545968</v>
      </c>
      <c r="F8" s="66" t="s">
        <v>467</v>
      </c>
      <c r="G8" s="65">
        <f>SUM(G9:G13)</f>
        <v>1294858821</v>
      </c>
      <c r="H8" s="65">
        <f>SUM(H9:H13)</f>
        <v>5000000</v>
      </c>
      <c r="I8" s="65">
        <f t="shared" si="1"/>
        <v>1299858821</v>
      </c>
    </row>
    <row r="9" spans="1:9" s="45" customFormat="1" ht="12.75">
      <c r="A9" s="91">
        <v>3</v>
      </c>
      <c r="B9" s="73" t="s">
        <v>15</v>
      </c>
      <c r="C9" s="54">
        <f>SUM(C10:C12)</f>
        <v>953888095</v>
      </c>
      <c r="D9" s="54">
        <v>0</v>
      </c>
      <c r="E9" s="54">
        <f t="shared" si="0"/>
        <v>953888095</v>
      </c>
      <c r="F9" s="74" t="s">
        <v>468</v>
      </c>
      <c r="G9" s="54">
        <f>147547916+29033148+2158500+514000+34895474+10871880+21446460+25000+2846984+16985805+80000+2168500+27145152+83641200+2428400+7343000-7297240-336000+40610080+28103985+27815502+12762600+30800+2200+385000+1420400+433600+66000+3600833+21649000+9187815</f>
        <v>527565994</v>
      </c>
      <c r="H9" s="54">
        <v>0</v>
      </c>
      <c r="I9" s="54">
        <f t="shared" si="1"/>
        <v>527565994</v>
      </c>
    </row>
    <row r="10" spans="1:9" s="45" customFormat="1" ht="12.75">
      <c r="A10" s="88">
        <v>4</v>
      </c>
      <c r="B10" s="51" t="s">
        <v>16</v>
      </c>
      <c r="C10" s="56">
        <f>200053809+112608900+165550125+10661310+367584+1341084+1096532+10529284</f>
        <v>502208628</v>
      </c>
      <c r="D10" s="56">
        <v>0</v>
      </c>
      <c r="E10" s="56">
        <f t="shared" si="0"/>
        <v>502208628</v>
      </c>
      <c r="F10" s="74" t="s">
        <v>732</v>
      </c>
      <c r="G10" s="54">
        <f>31659765+7533426+424933+489933+6862023+1105308+2180390+4388+573827+3345516+41361+426883+6999328+15658358+478841+1437188-1422962-65520+3959404+2740077+6738701+2999211+6006+429+75075+293205+84552+12870+834330+5088000+2040168</f>
        <v>102605014</v>
      </c>
      <c r="H10" s="54">
        <v>0</v>
      </c>
      <c r="I10" s="54">
        <f t="shared" si="1"/>
        <v>102605014</v>
      </c>
    </row>
    <row r="11" spans="1:9" s="45" customFormat="1" ht="12.75">
      <c r="A11" s="91">
        <v>5</v>
      </c>
      <c r="B11" s="51" t="s">
        <v>730</v>
      </c>
      <c r="C11" s="56">
        <v>0</v>
      </c>
      <c r="D11" s="56">
        <v>0</v>
      </c>
      <c r="E11" s="56">
        <f t="shared" si="0"/>
        <v>0</v>
      </c>
      <c r="F11" s="74" t="s">
        <v>38</v>
      </c>
      <c r="G11" s="54">
        <f>56208129+14127980+26820278+55480+6220254+1157503+8729294+1270000+736016+11239754+23139400+254000+19910394+360000+18217394+120000+2736870+1917850+54297921+117194+17800000+2114700+26209434+2400000+7848600+20108238+1100000+3400630+49530+13986001+3-5500000+5000000-200000-5715000-2600000+200000+936+141447+9850000+1100000+4650000+1000000-3000000-848360-96000-170000+2045415+8057715+54417221+15053577-103900-120000+256193+13337603+16670259+19871884</f>
        <v>475951837</v>
      </c>
      <c r="H11" s="54">
        <v>0</v>
      </c>
      <c r="I11" s="54">
        <f t="shared" si="1"/>
        <v>475951837</v>
      </c>
    </row>
    <row r="12" spans="1:9" s="45" customFormat="1" ht="12.75">
      <c r="A12" s="91">
        <v>6</v>
      </c>
      <c r="B12" s="51" t="s">
        <v>17</v>
      </c>
      <c r="C12" s="56">
        <f>38966057+11977188+23626850+3652363+21588000+3971695+6245115+6018160+63035474+2000000+581210+46614899+38901777+88971424+32379432+1969798+17772766+43407259</f>
        <v>451679467</v>
      </c>
      <c r="D12" s="56">
        <v>0</v>
      </c>
      <c r="E12" s="56">
        <f t="shared" si="0"/>
        <v>451679467</v>
      </c>
      <c r="F12" s="74" t="s">
        <v>39</v>
      </c>
      <c r="G12" s="54">
        <f>2942222+6018160</f>
        <v>8960382</v>
      </c>
      <c r="H12" s="54">
        <v>0</v>
      </c>
      <c r="I12" s="54">
        <f t="shared" si="1"/>
        <v>8960382</v>
      </c>
    </row>
    <row r="13" spans="1:9" s="45" customFormat="1" ht="12.75">
      <c r="A13" s="88">
        <v>7</v>
      </c>
      <c r="B13" s="73" t="s">
        <v>21</v>
      </c>
      <c r="C13" s="54">
        <f>SUM(C14:C17)</f>
        <v>227595000</v>
      </c>
      <c r="D13" s="54">
        <f>SUM(D14:D17)</f>
        <v>0</v>
      </c>
      <c r="E13" s="54">
        <f t="shared" si="0"/>
        <v>227595000</v>
      </c>
      <c r="F13" s="77" t="s">
        <v>41</v>
      </c>
      <c r="G13" s="54">
        <f>SUM(G14:G18)</f>
        <v>179775594</v>
      </c>
      <c r="H13" s="54">
        <f>SUM(H14:H18)</f>
        <v>5000000</v>
      </c>
      <c r="I13" s="54">
        <f t="shared" si="1"/>
        <v>184775594</v>
      </c>
    </row>
    <row r="14" spans="1:9" s="46" customFormat="1" ht="12.75">
      <c r="A14" s="91">
        <v>8</v>
      </c>
      <c r="B14" s="51" t="s">
        <v>111</v>
      </c>
      <c r="C14" s="56">
        <v>202400000</v>
      </c>
      <c r="D14" s="56">
        <v>0</v>
      </c>
      <c r="E14" s="56">
        <f t="shared" si="0"/>
        <v>202400000</v>
      </c>
      <c r="F14" s="53" t="s">
        <v>836</v>
      </c>
      <c r="G14" s="56">
        <f>34037935+66110+32640</f>
        <v>34136685</v>
      </c>
      <c r="H14" s="56">
        <v>0</v>
      </c>
      <c r="I14" s="56">
        <f t="shared" si="1"/>
        <v>34136685</v>
      </c>
    </row>
    <row r="15" spans="1:9" s="46" customFormat="1" ht="12.75">
      <c r="A15" s="91"/>
      <c r="B15" s="52" t="s">
        <v>923</v>
      </c>
      <c r="C15" s="56">
        <v>50000</v>
      </c>
      <c r="D15" s="56">
        <v>0</v>
      </c>
      <c r="E15" s="56">
        <f t="shared" si="0"/>
        <v>50000</v>
      </c>
      <c r="F15" s="53" t="s">
        <v>731</v>
      </c>
      <c r="G15" s="56">
        <v>0</v>
      </c>
      <c r="H15" s="56">
        <v>0</v>
      </c>
      <c r="I15" s="56">
        <f t="shared" si="1"/>
        <v>0</v>
      </c>
    </row>
    <row r="16" spans="1:9" s="46" customFormat="1" ht="12.75">
      <c r="A16" s="91">
        <v>9</v>
      </c>
      <c r="B16" s="52" t="s">
        <v>924</v>
      </c>
      <c r="C16" s="56">
        <v>24000000</v>
      </c>
      <c r="D16" s="56">
        <v>0</v>
      </c>
      <c r="E16" s="56">
        <f t="shared" si="0"/>
        <v>24000000</v>
      </c>
      <c r="F16" s="53" t="s">
        <v>40</v>
      </c>
      <c r="G16" s="56">
        <f>38436000+9850000+1000000+25828000+17049000+16441000+4592665+40519000-9850000-1100000-4650000-1000000+1031200+1564044</f>
        <v>139710909</v>
      </c>
      <c r="H16" s="56">
        <v>0</v>
      </c>
      <c r="I16" s="56">
        <f t="shared" si="1"/>
        <v>139710909</v>
      </c>
    </row>
    <row r="17" spans="1:9" s="46" customFormat="1" ht="12.75">
      <c r="A17" s="88">
        <v>10</v>
      </c>
      <c r="B17" s="51" t="s">
        <v>925</v>
      </c>
      <c r="C17" s="56">
        <v>1145000</v>
      </c>
      <c r="D17" s="56">
        <v>0</v>
      </c>
      <c r="E17" s="56">
        <f t="shared" si="0"/>
        <v>1145000</v>
      </c>
      <c r="F17" s="53" t="s">
        <v>42</v>
      </c>
      <c r="G17" s="56">
        <f>73496000-47568000-20000000</f>
        <v>5928000</v>
      </c>
      <c r="H17" s="56">
        <v>5000000</v>
      </c>
      <c r="I17" s="56">
        <f t="shared" si="1"/>
        <v>10928000</v>
      </c>
    </row>
    <row r="18" spans="1:9" s="46" customFormat="1" ht="12.75">
      <c r="A18" s="91">
        <v>11</v>
      </c>
      <c r="B18" s="73" t="s">
        <v>22</v>
      </c>
      <c r="C18" s="54">
        <f>SUM(C19:C27)</f>
        <v>48693302</v>
      </c>
      <c r="D18" s="54">
        <f>SUM(D19:D27)</f>
        <v>0</v>
      </c>
      <c r="E18" s="54">
        <f t="shared" si="0"/>
        <v>48693302</v>
      </c>
      <c r="F18" s="53"/>
      <c r="G18" s="56"/>
      <c r="H18" s="56"/>
      <c r="I18" s="56"/>
    </row>
    <row r="19" spans="1:9" s="45" customFormat="1" ht="12.75">
      <c r="A19" s="91">
        <v>12</v>
      </c>
      <c r="B19" s="51" t="s">
        <v>598</v>
      </c>
      <c r="C19" s="56">
        <f>400000+5848600</f>
        <v>6248600</v>
      </c>
      <c r="D19" s="56">
        <v>0</v>
      </c>
      <c r="E19" s="56">
        <f t="shared" si="0"/>
        <v>6248600</v>
      </c>
      <c r="F19" s="77"/>
      <c r="G19" s="54"/>
      <c r="H19" s="54"/>
      <c r="I19" s="54"/>
    </row>
    <row r="20" spans="1:9" s="45" customFormat="1" ht="12.75">
      <c r="A20" s="88">
        <v>13</v>
      </c>
      <c r="B20" s="51" t="s">
        <v>23</v>
      </c>
      <c r="C20" s="56">
        <f>14236474+4500000+250000+100559+2851094</f>
        <v>21938127</v>
      </c>
      <c r="D20" s="56">
        <v>0</v>
      </c>
      <c r="E20" s="56">
        <f t="shared" si="0"/>
        <v>21938127</v>
      </c>
      <c r="F20" s="53"/>
      <c r="G20" s="56"/>
      <c r="H20" s="56"/>
      <c r="I20" s="56"/>
    </row>
    <row r="21" spans="1:9" s="45" customFormat="1" ht="12.75">
      <c r="A21" s="91">
        <v>14</v>
      </c>
      <c r="B21" s="51" t="s">
        <v>24</v>
      </c>
      <c r="C21" s="56">
        <f>2486532+652000+101556+3949049+360500</f>
        <v>7549637</v>
      </c>
      <c r="D21" s="56">
        <v>0</v>
      </c>
      <c r="E21" s="56">
        <f t="shared" si="0"/>
        <v>7549637</v>
      </c>
      <c r="F21" s="53"/>
      <c r="G21" s="56"/>
      <c r="H21" s="56"/>
      <c r="I21" s="56"/>
    </row>
    <row r="22" spans="1:9" s="45" customFormat="1" ht="12.75">
      <c r="A22" s="91">
        <v>15</v>
      </c>
      <c r="B22" s="51" t="s">
        <v>553</v>
      </c>
      <c r="C22" s="56">
        <v>639000</v>
      </c>
      <c r="D22" s="56">
        <v>0</v>
      </c>
      <c r="E22" s="56">
        <f t="shared" si="0"/>
        <v>639000</v>
      </c>
      <c r="F22" s="53"/>
      <c r="G22" s="56"/>
      <c r="H22" s="56"/>
      <c r="I22" s="56"/>
    </row>
    <row r="23" spans="1:9" s="45" customFormat="1" ht="12.75">
      <c r="A23" s="88">
        <v>16</v>
      </c>
      <c r="B23" s="51" t="s">
        <v>25</v>
      </c>
      <c r="C23" s="56">
        <f>963355+5498780</f>
        <v>6462135</v>
      </c>
      <c r="D23" s="56">
        <v>0</v>
      </c>
      <c r="E23" s="56">
        <f t="shared" si="0"/>
        <v>6462135</v>
      </c>
      <c r="F23" s="53"/>
      <c r="G23" s="56"/>
      <c r="H23" s="56"/>
      <c r="I23" s="56"/>
    </row>
    <row r="24" spans="1:9" s="45" customFormat="1" ht="12.75">
      <c r="A24" s="91">
        <v>17</v>
      </c>
      <c r="B24" s="51" t="s">
        <v>26</v>
      </c>
      <c r="C24" s="56">
        <f>259712+551266+176040+1323000+1484671+15638+977417+27151+705130+1</f>
        <v>5520026</v>
      </c>
      <c r="D24" s="56">
        <v>0</v>
      </c>
      <c r="E24" s="56">
        <f t="shared" si="0"/>
        <v>5520026</v>
      </c>
      <c r="F24" s="44"/>
      <c r="G24" s="56"/>
      <c r="H24" s="55"/>
      <c r="I24" s="55"/>
    </row>
    <row r="25" spans="1:9" s="45" customFormat="1" ht="12.75">
      <c r="A25" s="91">
        <v>18</v>
      </c>
      <c r="B25" s="51" t="s">
        <v>305</v>
      </c>
      <c r="C25" s="56">
        <v>0</v>
      </c>
      <c r="D25" s="56">
        <v>0</v>
      </c>
      <c r="E25" s="56">
        <f t="shared" si="0"/>
        <v>0</v>
      </c>
      <c r="F25" s="44"/>
      <c r="G25" s="56"/>
      <c r="H25" s="55"/>
      <c r="I25" s="55"/>
    </row>
    <row r="26" spans="1:9" s="45" customFormat="1" ht="12.75">
      <c r="A26" s="91">
        <v>19</v>
      </c>
      <c r="B26" s="51" t="s">
        <v>755</v>
      </c>
      <c r="C26" s="56">
        <v>3000</v>
      </c>
      <c r="D26" s="56">
        <v>0</v>
      </c>
      <c r="E26" s="56">
        <f t="shared" si="0"/>
        <v>3000</v>
      </c>
      <c r="F26" s="44"/>
      <c r="G26" s="56"/>
      <c r="H26" s="55"/>
      <c r="I26" s="55"/>
    </row>
    <row r="27" spans="1:9" s="43" customFormat="1" ht="12.75">
      <c r="A27" s="88">
        <v>20</v>
      </c>
      <c r="B27" s="51" t="s">
        <v>756</v>
      </c>
      <c r="C27" s="56">
        <f>10801933+60128-10529284</f>
        <v>332777</v>
      </c>
      <c r="D27" s="56">
        <v>0</v>
      </c>
      <c r="E27" s="56">
        <f t="shared" si="0"/>
        <v>332777</v>
      </c>
      <c r="F27" s="44"/>
      <c r="G27" s="55"/>
      <c r="H27" s="55"/>
      <c r="I27" s="55"/>
    </row>
    <row r="28" spans="1:9" s="43" customFormat="1" ht="12.75">
      <c r="A28" s="91">
        <v>21</v>
      </c>
      <c r="B28" s="73" t="s">
        <v>32</v>
      </c>
      <c r="C28" s="54">
        <f>SUM(C29:C30)</f>
        <v>369571</v>
      </c>
      <c r="D28" s="54">
        <v>0</v>
      </c>
      <c r="E28" s="54">
        <f t="shared" si="0"/>
        <v>369571</v>
      </c>
      <c r="F28" s="44"/>
      <c r="G28" s="55"/>
      <c r="H28" s="55"/>
      <c r="I28" s="55"/>
    </row>
    <row r="29" spans="1:9" s="43" customFormat="1" ht="12.75">
      <c r="A29" s="91">
        <v>22</v>
      </c>
      <c r="B29" s="51" t="s">
        <v>33</v>
      </c>
      <c r="C29" s="56">
        <v>0</v>
      </c>
      <c r="D29" s="56">
        <v>0</v>
      </c>
      <c r="E29" s="56">
        <f t="shared" si="0"/>
        <v>0</v>
      </c>
      <c r="F29" s="44"/>
      <c r="G29" s="55"/>
      <c r="H29" s="55"/>
      <c r="I29" s="55"/>
    </row>
    <row r="30" spans="1:9" s="43" customFormat="1" ht="12.75">
      <c r="A30" s="88">
        <v>23</v>
      </c>
      <c r="B30" s="51" t="s">
        <v>34</v>
      </c>
      <c r="C30" s="56">
        <f>302525+67046</f>
        <v>369571</v>
      </c>
      <c r="D30" s="56">
        <v>0</v>
      </c>
      <c r="E30" s="56">
        <f t="shared" si="0"/>
        <v>369571</v>
      </c>
      <c r="F30" s="44"/>
      <c r="G30" s="55"/>
      <c r="H30" s="55"/>
      <c r="I30" s="55"/>
    </row>
    <row r="31" spans="1:9" s="43" customFormat="1" ht="12.75">
      <c r="A31" s="91">
        <v>24</v>
      </c>
      <c r="B31" s="51"/>
      <c r="C31" s="56"/>
      <c r="D31" s="56"/>
      <c r="E31" s="56"/>
      <c r="F31" s="44"/>
      <c r="G31" s="55"/>
      <c r="H31" s="55"/>
      <c r="I31" s="55"/>
    </row>
    <row r="32" spans="1:9" s="67" customFormat="1" ht="12.75">
      <c r="A32" s="91">
        <v>25</v>
      </c>
      <c r="B32" s="68" t="s">
        <v>466</v>
      </c>
      <c r="C32" s="65">
        <f>SUM(C41+C36+C33)</f>
        <v>0</v>
      </c>
      <c r="D32" s="65">
        <f>SUM(D41+D36+D33)</f>
        <v>125013461</v>
      </c>
      <c r="E32" s="65">
        <f>SUM(D32:D32)</f>
        <v>125013461</v>
      </c>
      <c r="F32" s="66" t="s">
        <v>339</v>
      </c>
      <c r="G32" s="65">
        <f>SUM(G33:G35)</f>
        <v>0</v>
      </c>
      <c r="H32" s="65">
        <f>SUM(H33:H35)</f>
        <v>384389212</v>
      </c>
      <c r="I32" s="65">
        <f aca="true" t="shared" si="2" ref="I32:I40">SUM(G32:H32)</f>
        <v>384389212</v>
      </c>
    </row>
    <row r="33" spans="1:9" s="43" customFormat="1" ht="12.75">
      <c r="A33" s="88">
        <v>26</v>
      </c>
      <c r="B33" s="73" t="s">
        <v>18</v>
      </c>
      <c r="C33" s="54">
        <f>SUM(C34:C35)</f>
        <v>0</v>
      </c>
      <c r="D33" s="54">
        <f>SUM(D34:D35)</f>
        <v>66946114</v>
      </c>
      <c r="E33" s="54">
        <f>SUM(D33:D33)</f>
        <v>66946114</v>
      </c>
      <c r="F33" s="74" t="s">
        <v>43</v>
      </c>
      <c r="G33" s="54">
        <v>0</v>
      </c>
      <c r="H33" s="54">
        <f>304800+264185263+12223750+525300+8644085+335750+76200+15576620+10986734+1229404-11201400+495250+151044+299888+1846997+8983129+103900+120000+2497100+1687190+2412553</f>
        <v>321483557</v>
      </c>
      <c r="I33" s="54">
        <f t="shared" si="2"/>
        <v>321483557</v>
      </c>
    </row>
    <row r="34" spans="1:9" s="43" customFormat="1" ht="12.75">
      <c r="A34" s="91">
        <v>27</v>
      </c>
      <c r="B34" s="51" t="s">
        <v>19</v>
      </c>
      <c r="C34" s="56">
        <v>0</v>
      </c>
      <c r="D34" s="56">
        <v>0</v>
      </c>
      <c r="E34" s="56">
        <f aca="true" t="shared" si="3" ref="E34:E43">SUM(D34:D34)</f>
        <v>0</v>
      </c>
      <c r="F34" s="74" t="s">
        <v>44</v>
      </c>
      <c r="G34" s="54">
        <v>0</v>
      </c>
      <c r="H34" s="54">
        <f>6310000+508000+17634204+389000+2606050+22279919-3810000+850900+3000000+5000000+6528562</f>
        <v>61296635</v>
      </c>
      <c r="I34" s="54">
        <f t="shared" si="2"/>
        <v>61296635</v>
      </c>
    </row>
    <row r="35" spans="1:9" s="43" customFormat="1" ht="12.75">
      <c r="A35" s="91">
        <v>28</v>
      </c>
      <c r="B35" s="51" t="s">
        <v>20</v>
      </c>
      <c r="C35" s="56">
        <v>0</v>
      </c>
      <c r="D35" s="56">
        <f>2500000+21694288+6019000+5000000+9889960+299888+1846997+15511691+2497100+1687190</f>
        <v>66946114</v>
      </c>
      <c r="E35" s="56">
        <f t="shared" si="3"/>
        <v>66946114</v>
      </c>
      <c r="F35" s="74" t="s">
        <v>45</v>
      </c>
      <c r="G35" s="54">
        <f>SUM(G36:G40)</f>
        <v>0</v>
      </c>
      <c r="H35" s="54">
        <f>SUM(H36:H40)</f>
        <v>1609020</v>
      </c>
      <c r="I35" s="54">
        <f t="shared" si="2"/>
        <v>1609020</v>
      </c>
    </row>
    <row r="36" spans="1:9" s="43" customFormat="1" ht="12.75">
      <c r="A36" s="88">
        <v>29</v>
      </c>
      <c r="B36" s="73" t="s">
        <v>27</v>
      </c>
      <c r="C36" s="54">
        <f>SUM(C37:C40)</f>
        <v>0</v>
      </c>
      <c r="D36" s="54">
        <f>SUM(D37:D40)</f>
        <v>58067347</v>
      </c>
      <c r="E36" s="54">
        <f t="shared" si="3"/>
        <v>58067347</v>
      </c>
      <c r="F36" s="53" t="s">
        <v>46</v>
      </c>
      <c r="G36" s="56">
        <v>0</v>
      </c>
      <c r="H36" s="56">
        <v>0</v>
      </c>
      <c r="I36" s="56">
        <f t="shared" si="2"/>
        <v>0</v>
      </c>
    </row>
    <row r="37" spans="1:9" s="43" customFormat="1" ht="12.75">
      <c r="A37" s="91">
        <v>30</v>
      </c>
      <c r="B37" s="51" t="s">
        <v>28</v>
      </c>
      <c r="C37" s="56">
        <v>0</v>
      </c>
      <c r="D37" s="56">
        <v>0</v>
      </c>
      <c r="E37" s="56">
        <f t="shared" si="3"/>
        <v>0</v>
      </c>
      <c r="F37" s="53" t="s">
        <v>47</v>
      </c>
      <c r="G37" s="56">
        <v>0</v>
      </c>
      <c r="H37" s="56">
        <v>0</v>
      </c>
      <c r="I37" s="56">
        <f t="shared" si="2"/>
        <v>0</v>
      </c>
    </row>
    <row r="38" spans="1:9" s="45" customFormat="1" ht="12.75">
      <c r="A38" s="91">
        <v>31</v>
      </c>
      <c r="B38" s="51" t="s">
        <v>29</v>
      </c>
      <c r="C38" s="56">
        <f>SUM(C39:C40)</f>
        <v>0</v>
      </c>
      <c r="D38" s="56">
        <f>62747330-3831623-848360</f>
        <v>58067347</v>
      </c>
      <c r="E38" s="56">
        <f t="shared" si="3"/>
        <v>58067347</v>
      </c>
      <c r="F38" s="53" t="s">
        <v>48</v>
      </c>
      <c r="G38" s="56">
        <v>0</v>
      </c>
      <c r="H38" s="56">
        <v>0</v>
      </c>
      <c r="I38" s="56">
        <f t="shared" si="2"/>
        <v>0</v>
      </c>
    </row>
    <row r="39" spans="1:9" s="45" customFormat="1" ht="12.75">
      <c r="A39" s="88">
        <v>32</v>
      </c>
      <c r="B39" s="51" t="s">
        <v>30</v>
      </c>
      <c r="C39" s="56">
        <v>0</v>
      </c>
      <c r="D39" s="56">
        <v>0</v>
      </c>
      <c r="E39" s="56">
        <f t="shared" si="3"/>
        <v>0</v>
      </c>
      <c r="F39" s="53" t="s">
        <v>49</v>
      </c>
      <c r="G39" s="56">
        <v>0</v>
      </c>
      <c r="H39" s="56">
        <v>0</v>
      </c>
      <c r="I39" s="56">
        <f t="shared" si="2"/>
        <v>0</v>
      </c>
    </row>
    <row r="40" spans="1:9" s="47" customFormat="1" ht="13.5">
      <c r="A40" s="91">
        <v>33</v>
      </c>
      <c r="B40" s="51" t="s">
        <v>31</v>
      </c>
      <c r="C40" s="56">
        <v>0</v>
      </c>
      <c r="D40" s="56">
        <v>0</v>
      </c>
      <c r="E40" s="56">
        <f t="shared" si="3"/>
        <v>0</v>
      </c>
      <c r="F40" s="53" t="s">
        <v>50</v>
      </c>
      <c r="G40" s="56">
        <v>0</v>
      </c>
      <c r="H40" s="56">
        <v>1609020</v>
      </c>
      <c r="I40" s="56">
        <f t="shared" si="2"/>
        <v>1609020</v>
      </c>
    </row>
    <row r="41" spans="1:9" s="47" customFormat="1" ht="13.5">
      <c r="A41" s="91">
        <v>34</v>
      </c>
      <c r="B41" s="73" t="s">
        <v>35</v>
      </c>
      <c r="C41" s="54">
        <f>SUM(C42:C43)</f>
        <v>0</v>
      </c>
      <c r="D41" s="54">
        <f>SUM(D42:D43)</f>
        <v>0</v>
      </c>
      <c r="E41" s="54">
        <f t="shared" si="3"/>
        <v>0</v>
      </c>
      <c r="F41" s="53"/>
      <c r="G41" s="56"/>
      <c r="H41" s="56"/>
      <c r="I41" s="56"/>
    </row>
    <row r="42" spans="1:9" s="47" customFormat="1" ht="13.5">
      <c r="A42" s="88">
        <v>35</v>
      </c>
      <c r="B42" s="51" t="s">
        <v>723</v>
      </c>
      <c r="C42" s="56">
        <v>0</v>
      </c>
      <c r="D42" s="56">
        <v>0</v>
      </c>
      <c r="E42" s="56">
        <f t="shared" si="3"/>
        <v>0</v>
      </c>
      <c r="F42" s="48"/>
      <c r="G42" s="56"/>
      <c r="H42" s="56"/>
      <c r="I42" s="56"/>
    </row>
    <row r="43" spans="1:9" s="47" customFormat="1" ht="13.5">
      <c r="A43" s="91">
        <v>36</v>
      </c>
      <c r="B43" s="51" t="s">
        <v>722</v>
      </c>
      <c r="C43" s="56">
        <v>0</v>
      </c>
      <c r="D43" s="56">
        <v>0</v>
      </c>
      <c r="E43" s="56">
        <f t="shared" si="3"/>
        <v>0</v>
      </c>
      <c r="F43" s="48"/>
      <c r="G43" s="56"/>
      <c r="H43" s="56"/>
      <c r="I43" s="56"/>
    </row>
    <row r="44" spans="1:9" s="49" customFormat="1" ht="6" customHeight="1">
      <c r="A44" s="969"/>
      <c r="B44" s="970"/>
      <c r="C44" s="970"/>
      <c r="D44" s="970"/>
      <c r="E44" s="970"/>
      <c r="F44" s="970"/>
      <c r="G44" s="970"/>
      <c r="H44" s="970"/>
      <c r="I44" s="971"/>
    </row>
    <row r="45" spans="1:9" s="49" customFormat="1" ht="15">
      <c r="A45" s="91">
        <v>37</v>
      </c>
      <c r="B45" s="972" t="s">
        <v>533</v>
      </c>
      <c r="C45" s="973"/>
      <c r="D45" s="973"/>
      <c r="E45" s="973"/>
      <c r="F45" s="973"/>
      <c r="G45" s="135">
        <f>C7-G7</f>
        <v>-64312853</v>
      </c>
      <c r="H45" s="135">
        <f>D7-H7</f>
        <v>-264375751</v>
      </c>
      <c r="I45" s="135">
        <f>SUM(G45:H45)</f>
        <v>-328688604</v>
      </c>
    </row>
    <row r="46" spans="1:9" s="49" customFormat="1" ht="6" customHeight="1">
      <c r="A46" s="961"/>
      <c r="B46" s="962"/>
      <c r="C46" s="962"/>
      <c r="D46" s="962"/>
      <c r="E46" s="962"/>
      <c r="F46" s="962"/>
      <c r="G46" s="962"/>
      <c r="H46" s="962"/>
      <c r="I46" s="963"/>
    </row>
    <row r="47" spans="1:9" s="61" customFormat="1" ht="28.5">
      <c r="A47" s="91">
        <v>38</v>
      </c>
      <c r="B47" s="57" t="s">
        <v>340</v>
      </c>
      <c r="C47" s="59">
        <f>SUM(C48)</f>
        <v>54566914</v>
      </c>
      <c r="D47" s="59">
        <f>SUM(D48)</f>
        <v>292162926</v>
      </c>
      <c r="E47" s="59">
        <f aca="true" t="shared" si="4" ref="E47:E54">SUM(C47:D47)</f>
        <v>346729840</v>
      </c>
      <c r="F47" s="60"/>
      <c r="G47" s="59"/>
      <c r="H47" s="59"/>
      <c r="I47" s="59"/>
    </row>
    <row r="48" spans="1:9" s="70" customFormat="1" ht="13.5">
      <c r="A48" s="88">
        <v>39</v>
      </c>
      <c r="B48" s="71" t="s">
        <v>724</v>
      </c>
      <c r="C48" s="65">
        <f>22840902+626145+31099867</f>
        <v>54566914</v>
      </c>
      <c r="D48" s="65">
        <f>297951773-8201400+2412553</f>
        <v>292162926</v>
      </c>
      <c r="E48" s="65">
        <f t="shared" si="4"/>
        <v>346729840</v>
      </c>
      <c r="F48" s="66"/>
      <c r="G48" s="65"/>
      <c r="H48" s="65"/>
      <c r="I48" s="65"/>
    </row>
    <row r="49" spans="1:9" s="70" customFormat="1" ht="13.5">
      <c r="A49" s="88">
        <v>40</v>
      </c>
      <c r="B49" s="71" t="s">
        <v>725</v>
      </c>
      <c r="C49" s="65"/>
      <c r="D49" s="65"/>
      <c r="E49" s="65"/>
      <c r="F49" s="66"/>
      <c r="G49" s="65"/>
      <c r="H49" s="65"/>
      <c r="I49" s="65"/>
    </row>
    <row r="50" spans="1:9" s="858" customFormat="1" ht="28.5">
      <c r="A50" s="850">
        <v>41</v>
      </c>
      <c r="B50" s="57" t="s">
        <v>341</v>
      </c>
      <c r="C50" s="856">
        <f>SUM(C51:C53)</f>
        <v>0</v>
      </c>
      <c r="D50" s="856">
        <f>SUM(D51:D53)</f>
        <v>0</v>
      </c>
      <c r="E50" s="856">
        <f t="shared" si="4"/>
        <v>0</v>
      </c>
      <c r="F50" s="857" t="s">
        <v>342</v>
      </c>
      <c r="G50" s="856">
        <f>SUM(G51:G53)</f>
        <v>18041236</v>
      </c>
      <c r="H50" s="856">
        <f>SUM(H51:H53)</f>
        <v>0</v>
      </c>
      <c r="I50" s="856">
        <f>SUM(G50:H50)</f>
        <v>18041236</v>
      </c>
    </row>
    <row r="51" spans="1:9" s="70" customFormat="1" ht="13.5">
      <c r="A51" s="91">
        <v>42</v>
      </c>
      <c r="B51" s="69" t="s">
        <v>726</v>
      </c>
      <c r="C51" s="65">
        <v>0</v>
      </c>
      <c r="D51" s="65">
        <v>0</v>
      </c>
      <c r="E51" s="65">
        <f t="shared" si="4"/>
        <v>0</v>
      </c>
      <c r="F51" s="66" t="s">
        <v>728</v>
      </c>
      <c r="G51" s="65">
        <v>0</v>
      </c>
      <c r="H51" s="65">
        <v>0</v>
      </c>
      <c r="I51" s="65">
        <f>SUM(G51:H51)</f>
        <v>0</v>
      </c>
    </row>
    <row r="52" spans="1:9" s="72" customFormat="1" ht="12.75">
      <c r="A52" s="91">
        <v>43</v>
      </c>
      <c r="B52" s="69" t="s">
        <v>727</v>
      </c>
      <c r="C52" s="65">
        <v>0</v>
      </c>
      <c r="D52" s="65">
        <v>0</v>
      </c>
      <c r="E52" s="65">
        <f>SUM(C52:D52)</f>
        <v>0</v>
      </c>
      <c r="F52" s="66" t="s">
        <v>729</v>
      </c>
      <c r="G52" s="65">
        <v>0</v>
      </c>
      <c r="H52" s="65">
        <v>0</v>
      </c>
      <c r="I52" s="65">
        <f>SUM(G52:H52)</f>
        <v>0</v>
      </c>
    </row>
    <row r="53" spans="1:9" s="72" customFormat="1" ht="12.75">
      <c r="A53" s="91">
        <v>44</v>
      </c>
      <c r="B53" s="69" t="s">
        <v>720</v>
      </c>
      <c r="C53" s="65">
        <v>0</v>
      </c>
      <c r="D53" s="65">
        <v>0</v>
      </c>
      <c r="E53" s="65">
        <f>SUM(C53:D53)</f>
        <v>0</v>
      </c>
      <c r="F53" s="69" t="s">
        <v>721</v>
      </c>
      <c r="G53" s="65">
        <v>18041236</v>
      </c>
      <c r="H53" s="65">
        <v>0</v>
      </c>
      <c r="I53" s="65">
        <f>SUM(G53:H53)</f>
        <v>18041236</v>
      </c>
    </row>
    <row r="54" spans="1:9" s="63" customFormat="1" ht="15.75">
      <c r="A54" s="91">
        <v>45</v>
      </c>
      <c r="B54" s="62" t="s">
        <v>447</v>
      </c>
      <c r="C54" s="76">
        <f>SUM(C7,C47,C50)</f>
        <v>1285112882</v>
      </c>
      <c r="D54" s="76">
        <f>SUM(D7,D47,D50)</f>
        <v>417176387</v>
      </c>
      <c r="E54" s="76">
        <f t="shared" si="4"/>
        <v>1702289269</v>
      </c>
      <c r="F54" s="62" t="s">
        <v>351</v>
      </c>
      <c r="G54" s="76">
        <f>SUM(G7,G50)</f>
        <v>1312900057</v>
      </c>
      <c r="H54" s="76">
        <f>SUM(H7,H50)</f>
        <v>389389212</v>
      </c>
      <c r="I54" s="76">
        <f>SUM(G54:H54)</f>
        <v>1702289269</v>
      </c>
    </row>
    <row r="57" spans="1:2" ht="15">
      <c r="A57" s="877">
        <v>9</v>
      </c>
      <c r="B57" s="876" t="s">
        <v>1041</v>
      </c>
    </row>
    <row r="61" ht="15">
      <c r="B61" s="50"/>
    </row>
  </sheetData>
  <sheetProtection/>
  <mergeCells count="8">
    <mergeCell ref="A46:I46"/>
    <mergeCell ref="F1:I1"/>
    <mergeCell ref="B2:I2"/>
    <mergeCell ref="B4:E4"/>
    <mergeCell ref="F4:I4"/>
    <mergeCell ref="A4:A6"/>
    <mergeCell ref="A44:I44"/>
    <mergeCell ref="B45:F45"/>
  </mergeCells>
  <printOptions horizontalCentered="1"/>
  <pageMargins left="0" right="0" top="0.5905511811023623" bottom="0.1968503937007874" header="0.5118110236220472" footer="0.5118110236220472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Y57"/>
  <sheetViews>
    <sheetView zoomScale="95" zoomScaleNormal="95" zoomScalePageLayoutView="0" workbookViewId="0" topLeftCell="A1">
      <pane ySplit="7" topLeftCell="A8" activePane="bottomLeft" state="frozen"/>
      <selection pane="topLeft" activeCell="A1" sqref="A1"/>
      <selection pane="bottomLeft" activeCell="Q1" sqref="Q1:V1"/>
    </sheetView>
  </sheetViews>
  <sheetFormatPr defaultColWidth="8.875" defaultRowHeight="12.75"/>
  <cols>
    <col min="1" max="1" width="1.37890625" style="500" hidden="1" customWidth="1"/>
    <col min="2" max="2" width="8.00390625" style="501" hidden="1" customWidth="1"/>
    <col min="3" max="3" width="8.00390625" style="501" customWidth="1"/>
    <col min="4" max="4" width="6.25390625" style="502" customWidth="1"/>
    <col min="5" max="5" width="30.375" style="500" customWidth="1"/>
    <col min="6" max="6" width="9.25390625" style="503" hidden="1" customWidth="1"/>
    <col min="7" max="7" width="11.375" style="500" bestFit="1" customWidth="1"/>
    <col min="8" max="8" width="11.125" style="500" customWidth="1"/>
    <col min="9" max="9" width="11.375" style="500" customWidth="1"/>
    <col min="10" max="11" width="10.25390625" style="500" customWidth="1"/>
    <col min="12" max="12" width="11.625" style="500" customWidth="1"/>
    <col min="13" max="13" width="9.875" style="500" customWidth="1"/>
    <col min="14" max="14" width="7.75390625" style="500" customWidth="1"/>
    <col min="15" max="15" width="9.25390625" style="500" customWidth="1"/>
    <col min="16" max="16" width="10.00390625" style="500" customWidth="1"/>
    <col min="17" max="17" width="10.375" style="500" bestFit="1" customWidth="1"/>
    <col min="18" max="18" width="11.375" style="500" bestFit="1" customWidth="1"/>
    <col min="19" max="19" width="10.625" style="500" customWidth="1"/>
    <col min="20" max="20" width="11.125" style="500" customWidth="1"/>
    <col min="21" max="21" width="10.625" style="500" customWidth="1"/>
    <col min="22" max="22" width="15.75390625" style="557" bestFit="1" customWidth="1"/>
    <col min="23" max="23" width="14.375" style="500" customWidth="1"/>
    <col min="24" max="24" width="9.875" style="500" bestFit="1" customWidth="1"/>
    <col min="25" max="16384" width="8.875" style="500" customWidth="1"/>
  </cols>
  <sheetData>
    <row r="1" spans="3:22" ht="15">
      <c r="C1" s="988"/>
      <c r="M1" s="177"/>
      <c r="N1" s="177"/>
      <c r="O1" s="177"/>
      <c r="P1" s="177"/>
      <c r="Q1" s="989" t="s">
        <v>1051</v>
      </c>
      <c r="R1" s="990"/>
      <c r="S1" s="990"/>
      <c r="T1" s="990"/>
      <c r="U1" s="990"/>
      <c r="V1" s="990"/>
    </row>
    <row r="2" spans="1:22" ht="15.75">
      <c r="A2" s="504"/>
      <c r="B2" s="505"/>
      <c r="C2" s="988"/>
      <c r="D2" s="505"/>
      <c r="E2" s="991" t="s">
        <v>837</v>
      </c>
      <c r="F2" s="991"/>
      <c r="G2" s="991"/>
      <c r="H2" s="991"/>
      <c r="I2" s="991"/>
      <c r="J2" s="991"/>
      <c r="K2" s="991"/>
      <c r="L2" s="991"/>
      <c r="M2" s="991"/>
      <c r="N2" s="991"/>
      <c r="O2" s="991"/>
      <c r="P2" s="991"/>
      <c r="Q2" s="991"/>
      <c r="R2" s="991"/>
      <c r="S2" s="991"/>
      <c r="T2" s="991"/>
      <c r="U2" s="991"/>
      <c r="V2" s="991"/>
    </row>
    <row r="3" ht="12.75" thickBot="1">
      <c r="V3" s="506"/>
    </row>
    <row r="4" spans="2:22" s="507" customFormat="1" ht="12.75" customHeight="1">
      <c r="B4" s="508"/>
      <c r="C4" s="508"/>
      <c r="D4" s="992" t="s">
        <v>440</v>
      </c>
      <c r="E4" s="995" t="s">
        <v>369</v>
      </c>
      <c r="F4" s="974" t="s">
        <v>376</v>
      </c>
      <c r="G4" s="980" t="s">
        <v>377</v>
      </c>
      <c r="H4" s="981"/>
      <c r="I4" s="981"/>
      <c r="J4" s="981"/>
      <c r="K4" s="981"/>
      <c r="L4" s="981"/>
      <c r="M4" s="981"/>
      <c r="N4" s="981"/>
      <c r="O4" s="981"/>
      <c r="P4" s="981"/>
      <c r="Q4" s="981"/>
      <c r="R4" s="981"/>
      <c r="S4" s="981"/>
      <c r="T4" s="981"/>
      <c r="U4" s="982"/>
      <c r="V4" s="983" t="s">
        <v>378</v>
      </c>
    </row>
    <row r="5" spans="2:22" s="509" customFormat="1" ht="12" customHeight="1">
      <c r="B5" s="510"/>
      <c r="C5" s="510"/>
      <c r="D5" s="993"/>
      <c r="E5" s="996"/>
      <c r="F5" s="975"/>
      <c r="G5" s="511" t="s">
        <v>1</v>
      </c>
      <c r="H5" s="511" t="s">
        <v>3</v>
      </c>
      <c r="I5" s="511" t="s">
        <v>5</v>
      </c>
      <c r="J5" s="511" t="s">
        <v>8</v>
      </c>
      <c r="K5" s="977" t="s">
        <v>674</v>
      </c>
      <c r="L5" s="978"/>
      <c r="M5" s="978"/>
      <c r="N5" s="978"/>
      <c r="O5" s="978"/>
      <c r="P5" s="978"/>
      <c r="Q5" s="979"/>
      <c r="R5" s="513" t="s">
        <v>123</v>
      </c>
      <c r="S5" s="513" t="s">
        <v>125</v>
      </c>
      <c r="T5" s="511" t="s">
        <v>127</v>
      </c>
      <c r="U5" s="511" t="s">
        <v>129</v>
      </c>
      <c r="V5" s="984"/>
    </row>
    <row r="6" spans="2:22" s="509" customFormat="1" ht="63.75" customHeight="1">
      <c r="B6" s="510"/>
      <c r="C6" s="510"/>
      <c r="D6" s="993"/>
      <c r="E6" s="997"/>
      <c r="F6" s="976"/>
      <c r="G6" s="514" t="s">
        <v>350</v>
      </c>
      <c r="H6" s="514" t="s">
        <v>665</v>
      </c>
      <c r="I6" s="514" t="s">
        <v>371</v>
      </c>
      <c r="J6" s="514" t="s">
        <v>9</v>
      </c>
      <c r="K6" s="514" t="s">
        <v>146</v>
      </c>
      <c r="L6" s="514" t="s">
        <v>122</v>
      </c>
      <c r="M6" s="514" t="s">
        <v>433</v>
      </c>
      <c r="N6" s="514" t="s">
        <v>445</v>
      </c>
      <c r="O6" s="514" t="s">
        <v>470</v>
      </c>
      <c r="P6" s="514" t="s">
        <v>848</v>
      </c>
      <c r="Q6" s="514" t="s">
        <v>846</v>
      </c>
      <c r="R6" s="512" t="s">
        <v>347</v>
      </c>
      <c r="S6" s="512" t="s">
        <v>380</v>
      </c>
      <c r="T6" s="514" t="s">
        <v>673</v>
      </c>
      <c r="U6" s="514" t="s">
        <v>128</v>
      </c>
      <c r="V6" s="985"/>
    </row>
    <row r="7" spans="2:22" s="515" customFormat="1" ht="12">
      <c r="B7" s="516"/>
      <c r="C7" s="516"/>
      <c r="D7" s="994"/>
      <c r="E7" s="517" t="s">
        <v>434</v>
      </c>
      <c r="F7" s="518" t="s">
        <v>435</v>
      </c>
      <c r="G7" s="519" t="s">
        <v>435</v>
      </c>
      <c r="H7" s="519" t="s">
        <v>436</v>
      </c>
      <c r="I7" s="520" t="s">
        <v>437</v>
      </c>
      <c r="J7" s="517" t="s">
        <v>438</v>
      </c>
      <c r="K7" s="517" t="s">
        <v>439</v>
      </c>
      <c r="L7" s="520" t="s">
        <v>441</v>
      </c>
      <c r="M7" s="520" t="s">
        <v>442</v>
      </c>
      <c r="N7" s="520" t="s">
        <v>393</v>
      </c>
      <c r="O7" s="520" t="s">
        <v>394</v>
      </c>
      <c r="P7" s="519" t="s">
        <v>395</v>
      </c>
      <c r="Q7" s="519" t="s">
        <v>396</v>
      </c>
      <c r="R7" s="520" t="s">
        <v>397</v>
      </c>
      <c r="S7" s="520" t="s">
        <v>398</v>
      </c>
      <c r="T7" s="521" t="s">
        <v>399</v>
      </c>
      <c r="U7" s="522" t="s">
        <v>400</v>
      </c>
      <c r="V7" s="523" t="s">
        <v>1029</v>
      </c>
    </row>
    <row r="8" spans="1:22" s="531" customFormat="1" ht="24">
      <c r="A8" s="500"/>
      <c r="B8" s="501"/>
      <c r="C8" s="501" t="s">
        <v>62</v>
      </c>
      <c r="D8" s="524" t="s">
        <v>401</v>
      </c>
      <c r="E8" s="525" t="s">
        <v>63</v>
      </c>
      <c r="F8" s="526"/>
      <c r="G8" s="527">
        <f>29033148+30800</f>
        <v>29063948</v>
      </c>
      <c r="H8" s="527">
        <f>7533426+6006</f>
        <v>7539432</v>
      </c>
      <c r="I8" s="528">
        <v>14127980</v>
      </c>
      <c r="J8" s="528">
        <v>0</v>
      </c>
      <c r="K8" s="528">
        <v>0</v>
      </c>
      <c r="L8" s="528">
        <v>1031200</v>
      </c>
      <c r="M8" s="528">
        <v>0</v>
      </c>
      <c r="N8" s="528">
        <v>0</v>
      </c>
      <c r="O8" s="528">
        <v>0</v>
      </c>
      <c r="P8" s="528">
        <v>0</v>
      </c>
      <c r="Q8" s="528">
        <v>0</v>
      </c>
      <c r="R8" s="527">
        <v>0</v>
      </c>
      <c r="S8" s="528">
        <v>0</v>
      </c>
      <c r="T8" s="529">
        <v>0</v>
      </c>
      <c r="U8" s="528">
        <v>0</v>
      </c>
      <c r="V8" s="530">
        <f aca="true" t="shared" si="0" ref="V8:V51">SUM(G8:U8)</f>
        <v>51762560</v>
      </c>
    </row>
    <row r="9" spans="1:22" s="531" customFormat="1" ht="24">
      <c r="A9" s="500"/>
      <c r="B9" s="501" t="s">
        <v>54</v>
      </c>
      <c r="C9" s="501" t="s">
        <v>57</v>
      </c>
      <c r="D9" s="532" t="s">
        <v>402</v>
      </c>
      <c r="E9" s="533" t="s">
        <v>58</v>
      </c>
      <c r="F9" s="534"/>
      <c r="G9" s="535">
        <v>0</v>
      </c>
      <c r="H9" s="535">
        <v>0</v>
      </c>
      <c r="I9" s="529">
        <v>26820278</v>
      </c>
      <c r="J9" s="529">
        <v>0</v>
      </c>
      <c r="K9" s="529">
        <v>0</v>
      </c>
      <c r="L9" s="529">
        <v>38436000</v>
      </c>
      <c r="M9" s="529">
        <v>0</v>
      </c>
      <c r="N9" s="529">
        <v>0</v>
      </c>
      <c r="O9" s="529">
        <v>0</v>
      </c>
      <c r="P9" s="529">
        <v>0</v>
      </c>
      <c r="Q9" s="529">
        <v>0</v>
      </c>
      <c r="R9" s="535">
        <v>0</v>
      </c>
      <c r="S9" s="529">
        <f>2500000+3000000+5000000</f>
        <v>10500000</v>
      </c>
      <c r="T9" s="529">
        <v>1609020</v>
      </c>
      <c r="U9" s="529">
        <v>0</v>
      </c>
      <c r="V9" s="530">
        <f t="shared" si="0"/>
        <v>77365298</v>
      </c>
    </row>
    <row r="10" spans="1:22" s="531" customFormat="1" ht="36">
      <c r="A10" s="500"/>
      <c r="B10" s="501" t="s">
        <v>55</v>
      </c>
      <c r="C10" s="501" t="s">
        <v>59</v>
      </c>
      <c r="D10" s="532" t="s">
        <v>403</v>
      </c>
      <c r="E10" s="533" t="s">
        <v>555</v>
      </c>
      <c r="F10" s="534"/>
      <c r="G10" s="535">
        <v>2158500</v>
      </c>
      <c r="H10" s="535">
        <v>424933</v>
      </c>
      <c r="I10" s="529">
        <v>55480</v>
      </c>
      <c r="J10" s="529">
        <v>0</v>
      </c>
      <c r="K10" s="529">
        <v>0</v>
      </c>
      <c r="L10" s="529">
        <v>0</v>
      </c>
      <c r="M10" s="529">
        <v>0</v>
      </c>
      <c r="N10" s="529">
        <v>0</v>
      </c>
      <c r="O10" s="529">
        <v>0</v>
      </c>
      <c r="P10" s="529">
        <v>0</v>
      </c>
      <c r="Q10" s="529">
        <v>0</v>
      </c>
      <c r="R10" s="535">
        <v>0</v>
      </c>
      <c r="S10" s="529">
        <v>0</v>
      </c>
      <c r="T10" s="529">
        <v>0</v>
      </c>
      <c r="U10" s="529">
        <v>0</v>
      </c>
      <c r="V10" s="530">
        <f t="shared" si="0"/>
        <v>2638913</v>
      </c>
    </row>
    <row r="11" spans="1:22" s="531" customFormat="1" ht="24">
      <c r="A11" s="500"/>
      <c r="B11" s="501" t="s">
        <v>56</v>
      </c>
      <c r="C11" s="501" t="s">
        <v>64</v>
      </c>
      <c r="D11" s="532" t="s">
        <v>404</v>
      </c>
      <c r="E11" s="533" t="s">
        <v>385</v>
      </c>
      <c r="F11" s="534"/>
      <c r="G11" s="535">
        <v>514000</v>
      </c>
      <c r="H11" s="535">
        <v>489933</v>
      </c>
      <c r="I11" s="529">
        <f>6220254-5500000</f>
        <v>720254</v>
      </c>
      <c r="J11" s="529">
        <v>0</v>
      </c>
      <c r="K11" s="529">
        <v>0</v>
      </c>
      <c r="L11" s="529">
        <v>0</v>
      </c>
      <c r="M11" s="529">
        <v>0</v>
      </c>
      <c r="N11" s="529">
        <v>0</v>
      </c>
      <c r="O11" s="529">
        <v>0</v>
      </c>
      <c r="P11" s="529">
        <v>0</v>
      </c>
      <c r="Q11" s="529">
        <v>0</v>
      </c>
      <c r="R11" s="535">
        <v>0</v>
      </c>
      <c r="S11" s="529">
        <v>0</v>
      </c>
      <c r="T11" s="529">
        <v>0</v>
      </c>
      <c r="U11" s="529">
        <v>0</v>
      </c>
      <c r="V11" s="530">
        <f t="shared" si="0"/>
        <v>1724187</v>
      </c>
    </row>
    <row r="12" spans="1:22" s="531" customFormat="1" ht="23.25" customHeight="1">
      <c r="A12" s="500"/>
      <c r="B12" s="501"/>
      <c r="C12" s="501" t="s">
        <v>938</v>
      </c>
      <c r="D12" s="532" t="s">
        <v>405</v>
      </c>
      <c r="E12" s="533" t="s">
        <v>838</v>
      </c>
      <c r="F12" s="534"/>
      <c r="G12" s="535">
        <v>0</v>
      </c>
      <c r="H12" s="535">
        <v>0</v>
      </c>
      <c r="I12" s="535">
        <v>0</v>
      </c>
      <c r="J12" s="535">
        <v>0</v>
      </c>
      <c r="K12" s="535">
        <f>34037935+66110+32640</f>
        <v>34136685</v>
      </c>
      <c r="L12" s="535">
        <v>0</v>
      </c>
      <c r="M12" s="535">
        <v>0</v>
      </c>
      <c r="N12" s="535">
        <v>0</v>
      </c>
      <c r="O12" s="535">
        <v>0</v>
      </c>
      <c r="P12" s="535">
        <v>0</v>
      </c>
      <c r="Q12" s="535">
        <v>0</v>
      </c>
      <c r="R12" s="535">
        <v>0</v>
      </c>
      <c r="S12" s="529">
        <v>0</v>
      </c>
      <c r="T12" s="529">
        <v>0</v>
      </c>
      <c r="U12" s="529">
        <v>0</v>
      </c>
      <c r="V12" s="530">
        <f t="shared" si="0"/>
        <v>34136685</v>
      </c>
    </row>
    <row r="13" spans="1:22" s="531" customFormat="1" ht="23.25" customHeight="1">
      <c r="A13" s="500"/>
      <c r="B13" s="501"/>
      <c r="C13" s="501" t="s">
        <v>661</v>
      </c>
      <c r="D13" s="532" t="s">
        <v>406</v>
      </c>
      <c r="E13" s="533" t="s">
        <v>662</v>
      </c>
      <c r="F13" s="534"/>
      <c r="G13" s="535">
        <v>0</v>
      </c>
      <c r="H13" s="535">
        <v>0</v>
      </c>
      <c r="I13" s="535">
        <f>1157503+936+141447</f>
        <v>1299886</v>
      </c>
      <c r="J13" s="535">
        <v>0</v>
      </c>
      <c r="K13" s="535">
        <v>0</v>
      </c>
      <c r="L13" s="535">
        <v>0</v>
      </c>
      <c r="M13" s="535">
        <v>0</v>
      </c>
      <c r="N13" s="535">
        <v>0</v>
      </c>
      <c r="O13" s="535">
        <v>0</v>
      </c>
      <c r="P13" s="535">
        <v>0</v>
      </c>
      <c r="Q13" s="535">
        <v>0</v>
      </c>
      <c r="R13" s="535">
        <v>0</v>
      </c>
      <c r="S13" s="529">
        <v>0</v>
      </c>
      <c r="T13" s="529">
        <v>0</v>
      </c>
      <c r="U13" s="529">
        <v>18041236</v>
      </c>
      <c r="V13" s="530">
        <f t="shared" si="0"/>
        <v>19341122</v>
      </c>
    </row>
    <row r="14" spans="1:22" s="531" customFormat="1" ht="24">
      <c r="A14" s="500">
        <v>20215</v>
      </c>
      <c r="B14" s="501" t="s">
        <v>57</v>
      </c>
      <c r="C14" s="501" t="s">
        <v>67</v>
      </c>
      <c r="D14" s="532" t="s">
        <v>407</v>
      </c>
      <c r="E14" s="533" t="s">
        <v>68</v>
      </c>
      <c r="F14" s="534"/>
      <c r="G14" s="535">
        <f>34895474+2200</f>
        <v>34897674</v>
      </c>
      <c r="H14" s="535">
        <f>6862023+429</f>
        <v>6862452</v>
      </c>
      <c r="I14" s="529">
        <f>8729294-120000</f>
        <v>8609294</v>
      </c>
      <c r="J14" s="529">
        <v>0</v>
      </c>
      <c r="K14" s="529">
        <v>0</v>
      </c>
      <c r="L14" s="529">
        <v>0</v>
      </c>
      <c r="M14" s="529">
        <v>0</v>
      </c>
      <c r="N14" s="529">
        <v>0</v>
      </c>
      <c r="O14" s="529">
        <v>0</v>
      </c>
      <c r="P14" s="529">
        <v>0</v>
      </c>
      <c r="Q14" s="529">
        <v>0</v>
      </c>
      <c r="R14" s="535">
        <f>120000</f>
        <v>120000</v>
      </c>
      <c r="S14" s="529">
        <v>508000</v>
      </c>
      <c r="T14" s="529">
        <v>0</v>
      </c>
      <c r="U14" s="529">
        <v>0</v>
      </c>
      <c r="V14" s="530">
        <f t="shared" si="0"/>
        <v>50997420</v>
      </c>
    </row>
    <row r="15" spans="1:22" s="531" customFormat="1" ht="36">
      <c r="A15" s="500"/>
      <c r="B15" s="501"/>
      <c r="C15" s="501"/>
      <c r="D15" s="986" t="s">
        <v>971</v>
      </c>
      <c r="E15" s="533" t="s">
        <v>972</v>
      </c>
      <c r="F15" s="534"/>
      <c r="G15" s="535">
        <v>0</v>
      </c>
      <c r="H15" s="535">
        <v>0</v>
      </c>
      <c r="I15" s="535">
        <v>0</v>
      </c>
      <c r="J15" s="535">
        <v>0</v>
      </c>
      <c r="K15" s="535">
        <v>0</v>
      </c>
      <c r="L15" s="535">
        <v>0</v>
      </c>
      <c r="M15" s="535">
        <v>0</v>
      </c>
      <c r="N15" s="535">
        <v>0</v>
      </c>
      <c r="O15" s="535">
        <v>0</v>
      </c>
      <c r="P15" s="535">
        <v>0</v>
      </c>
      <c r="Q15" s="535">
        <v>0</v>
      </c>
      <c r="R15" s="535">
        <v>242642019</v>
      </c>
      <c r="S15" s="529">
        <v>0</v>
      </c>
      <c r="T15" s="535">
        <v>0</v>
      </c>
      <c r="U15" s="529">
        <v>0</v>
      </c>
      <c r="V15" s="530">
        <f t="shared" si="0"/>
        <v>242642019</v>
      </c>
    </row>
    <row r="16" spans="1:22" s="531" customFormat="1" ht="36">
      <c r="A16" s="500"/>
      <c r="B16" s="501"/>
      <c r="C16" s="501"/>
      <c r="D16" s="986"/>
      <c r="E16" s="533" t="s">
        <v>973</v>
      </c>
      <c r="F16" s="534"/>
      <c r="G16" s="535">
        <v>0</v>
      </c>
      <c r="H16" s="535">
        <v>0</v>
      </c>
      <c r="I16" s="535">
        <v>0</v>
      </c>
      <c r="J16" s="535">
        <v>0</v>
      </c>
      <c r="K16" s="535">
        <v>0</v>
      </c>
      <c r="L16" s="535">
        <v>0</v>
      </c>
      <c r="M16" s="535">
        <v>0</v>
      </c>
      <c r="N16" s="535">
        <v>0</v>
      </c>
      <c r="O16" s="535">
        <v>0</v>
      </c>
      <c r="P16" s="535">
        <v>0</v>
      </c>
      <c r="Q16" s="535">
        <v>0</v>
      </c>
      <c r="R16" s="535">
        <v>3832400</v>
      </c>
      <c r="S16" s="529">
        <v>0</v>
      </c>
      <c r="T16" s="535">
        <v>0</v>
      </c>
      <c r="U16" s="529">
        <v>0</v>
      </c>
      <c r="V16" s="530">
        <f t="shared" si="0"/>
        <v>3832400</v>
      </c>
    </row>
    <row r="17" spans="1:22" s="531" customFormat="1" ht="36">
      <c r="A17" s="500"/>
      <c r="B17" s="501"/>
      <c r="C17" s="501" t="s">
        <v>849</v>
      </c>
      <c r="D17" s="986"/>
      <c r="E17" s="533" t="s">
        <v>974</v>
      </c>
      <c r="F17" s="534"/>
      <c r="G17" s="535">
        <v>0</v>
      </c>
      <c r="H17" s="535">
        <v>0</v>
      </c>
      <c r="I17" s="535">
        <v>0</v>
      </c>
      <c r="J17" s="535">
        <v>0</v>
      </c>
      <c r="K17" s="535">
        <v>0</v>
      </c>
      <c r="L17" s="535">
        <v>0</v>
      </c>
      <c r="M17" s="535">
        <v>0</v>
      </c>
      <c r="N17" s="535">
        <v>0</v>
      </c>
      <c r="O17" s="535">
        <v>0</v>
      </c>
      <c r="P17" s="535">
        <v>0</v>
      </c>
      <c r="Q17" s="535">
        <v>0</v>
      </c>
      <c r="R17" s="535">
        <v>17861888</v>
      </c>
      <c r="S17" s="529">
        <v>0</v>
      </c>
      <c r="T17" s="535">
        <v>0</v>
      </c>
      <c r="U17" s="529">
        <v>0</v>
      </c>
      <c r="V17" s="530">
        <f t="shared" si="0"/>
        <v>17861888</v>
      </c>
    </row>
    <row r="18" spans="1:22" s="531" customFormat="1" ht="24">
      <c r="A18" s="500"/>
      <c r="B18" s="501"/>
      <c r="C18" s="501" t="s">
        <v>850</v>
      </c>
      <c r="D18" s="532" t="s">
        <v>409</v>
      </c>
      <c r="E18" s="533" t="s">
        <v>841</v>
      </c>
      <c r="F18" s="534"/>
      <c r="G18" s="535">
        <f>10871880+28103985</f>
        <v>38975865</v>
      </c>
      <c r="H18" s="535">
        <f>1105308+2740077</f>
        <v>3845385</v>
      </c>
      <c r="I18" s="535">
        <f>8057715</f>
        <v>8057715</v>
      </c>
      <c r="J18" s="535">
        <v>0</v>
      </c>
      <c r="K18" s="535">
        <v>0</v>
      </c>
      <c r="L18" s="535">
        <v>0</v>
      </c>
      <c r="M18" s="535">
        <v>0</v>
      </c>
      <c r="N18" s="535">
        <v>0</v>
      </c>
      <c r="O18" s="535">
        <v>0</v>
      </c>
      <c r="P18" s="535">
        <v>0</v>
      </c>
      <c r="Q18" s="535">
        <v>0</v>
      </c>
      <c r="R18" s="535">
        <f>1846997</f>
        <v>1846997</v>
      </c>
      <c r="S18" s="529">
        <v>0</v>
      </c>
      <c r="T18" s="535">
        <v>0</v>
      </c>
      <c r="U18" s="529">
        <v>0</v>
      </c>
      <c r="V18" s="530">
        <f t="shared" si="0"/>
        <v>52725962</v>
      </c>
    </row>
    <row r="19" spans="1:22" s="531" customFormat="1" ht="24">
      <c r="A19" s="500"/>
      <c r="B19" s="501"/>
      <c r="C19" s="501" t="s">
        <v>851</v>
      </c>
      <c r="D19" s="532" t="s">
        <v>410</v>
      </c>
      <c r="E19" s="533" t="s">
        <v>842</v>
      </c>
      <c r="F19" s="534"/>
      <c r="G19" s="535">
        <f>21446460+40610080</f>
        <v>62056540</v>
      </c>
      <c r="H19" s="535">
        <f>2180390+3959404</f>
        <v>6139794</v>
      </c>
      <c r="I19" s="535">
        <f>2045415</f>
        <v>2045415</v>
      </c>
      <c r="J19" s="535">
        <v>0</v>
      </c>
      <c r="K19" s="535">
        <v>0</v>
      </c>
      <c r="L19" s="535">
        <v>0</v>
      </c>
      <c r="M19" s="535">
        <v>0</v>
      </c>
      <c r="N19" s="535">
        <v>0</v>
      </c>
      <c r="O19" s="535">
        <v>0</v>
      </c>
      <c r="P19" s="535">
        <v>0</v>
      </c>
      <c r="Q19" s="535">
        <v>0</v>
      </c>
      <c r="R19" s="535">
        <f>299888</f>
        <v>299888</v>
      </c>
      <c r="S19" s="529">
        <v>0</v>
      </c>
      <c r="T19" s="535">
        <v>0</v>
      </c>
      <c r="U19" s="529">
        <v>0</v>
      </c>
      <c r="V19" s="530">
        <f t="shared" si="0"/>
        <v>70541637</v>
      </c>
    </row>
    <row r="20" spans="1:22" s="531" customFormat="1" ht="22.5" customHeight="1">
      <c r="A20" s="500"/>
      <c r="B20" s="501"/>
      <c r="C20" s="501" t="s">
        <v>664</v>
      </c>
      <c r="D20" s="532" t="s">
        <v>411</v>
      </c>
      <c r="E20" s="533" t="s">
        <v>663</v>
      </c>
      <c r="F20" s="534"/>
      <c r="G20" s="535">
        <v>0</v>
      </c>
      <c r="H20" s="535">
        <v>0</v>
      </c>
      <c r="I20" s="535">
        <v>0</v>
      </c>
      <c r="J20" s="535">
        <v>0</v>
      </c>
      <c r="K20" s="535">
        <v>0</v>
      </c>
      <c r="L20" s="535">
        <v>0</v>
      </c>
      <c r="M20" s="535">
        <v>0</v>
      </c>
      <c r="N20" s="535">
        <v>0</v>
      </c>
      <c r="O20" s="535">
        <v>0</v>
      </c>
      <c r="P20" s="535">
        <v>0</v>
      </c>
      <c r="Q20" s="535">
        <v>0</v>
      </c>
      <c r="R20" s="535">
        <v>12223750</v>
      </c>
      <c r="S20" s="529">
        <v>0</v>
      </c>
      <c r="T20" s="535">
        <v>0</v>
      </c>
      <c r="U20" s="529">
        <v>0</v>
      </c>
      <c r="V20" s="530">
        <f t="shared" si="0"/>
        <v>12223750</v>
      </c>
    </row>
    <row r="21" spans="2:22" ht="24">
      <c r="B21" s="501" t="s">
        <v>62</v>
      </c>
      <c r="C21" s="501" t="s">
        <v>55</v>
      </c>
      <c r="D21" s="532" t="s">
        <v>412</v>
      </c>
      <c r="E21" s="533" t="s">
        <v>556</v>
      </c>
      <c r="F21" s="534"/>
      <c r="G21" s="535">
        <v>0</v>
      </c>
      <c r="H21" s="535">
        <v>0</v>
      </c>
      <c r="I21" s="529">
        <v>14850000</v>
      </c>
      <c r="J21" s="529">
        <v>0</v>
      </c>
      <c r="K21" s="529">
        <v>0</v>
      </c>
      <c r="L21" s="529">
        <v>0</v>
      </c>
      <c r="M21" s="529">
        <v>0</v>
      </c>
      <c r="N21" s="529">
        <v>0</v>
      </c>
      <c r="O21" s="529">
        <v>0</v>
      </c>
      <c r="P21" s="529">
        <v>0</v>
      </c>
      <c r="Q21" s="529">
        <v>0</v>
      </c>
      <c r="R21" s="529">
        <v>525300</v>
      </c>
      <c r="S21" s="529">
        <v>17634204</v>
      </c>
      <c r="T21" s="529">
        <v>0</v>
      </c>
      <c r="U21" s="529">
        <v>0</v>
      </c>
      <c r="V21" s="530">
        <f t="shared" si="0"/>
        <v>33009504</v>
      </c>
    </row>
    <row r="22" spans="2:22" ht="24">
      <c r="B22" s="501" t="s">
        <v>64</v>
      </c>
      <c r="C22" s="501" t="s">
        <v>69</v>
      </c>
      <c r="D22" s="532" t="s">
        <v>413</v>
      </c>
      <c r="E22" s="533" t="s">
        <v>70</v>
      </c>
      <c r="F22" s="534"/>
      <c r="G22" s="535">
        <v>0</v>
      </c>
      <c r="H22" s="535">
        <v>0</v>
      </c>
      <c r="I22" s="529">
        <v>1270000</v>
      </c>
      <c r="J22" s="529">
        <v>0</v>
      </c>
      <c r="K22" s="529">
        <v>0</v>
      </c>
      <c r="L22" s="529">
        <v>0</v>
      </c>
      <c r="M22" s="529">
        <v>0</v>
      </c>
      <c r="N22" s="529">
        <v>0</v>
      </c>
      <c r="O22" s="529">
        <v>0</v>
      </c>
      <c r="P22" s="529">
        <v>0</v>
      </c>
      <c r="Q22" s="529">
        <v>0</v>
      </c>
      <c r="R22" s="529">
        <v>8644085</v>
      </c>
      <c r="S22" s="529">
        <v>0</v>
      </c>
      <c r="T22" s="529">
        <v>0</v>
      </c>
      <c r="U22" s="529">
        <v>0</v>
      </c>
      <c r="V22" s="530">
        <f t="shared" si="0"/>
        <v>9914085</v>
      </c>
    </row>
    <row r="23" spans="1:22" ht="24">
      <c r="A23" s="500">
        <v>751791</v>
      </c>
      <c r="B23" s="501" t="s">
        <v>65</v>
      </c>
      <c r="C23" s="501" t="s">
        <v>51</v>
      </c>
      <c r="D23" s="532" t="s">
        <v>414</v>
      </c>
      <c r="E23" s="533" t="s">
        <v>52</v>
      </c>
      <c r="F23" s="536"/>
      <c r="G23" s="529">
        <v>0</v>
      </c>
      <c r="H23" s="535">
        <v>0</v>
      </c>
      <c r="I23" s="529">
        <v>1736016</v>
      </c>
      <c r="J23" s="529">
        <v>0</v>
      </c>
      <c r="K23" s="529">
        <v>0</v>
      </c>
      <c r="L23" s="529">
        <v>0</v>
      </c>
      <c r="M23" s="529">
        <v>0</v>
      </c>
      <c r="N23" s="529">
        <v>0</v>
      </c>
      <c r="O23" s="529">
        <v>0</v>
      </c>
      <c r="P23" s="529">
        <v>0</v>
      </c>
      <c r="Q23" s="529">
        <v>0</v>
      </c>
      <c r="R23" s="529">
        <v>0</v>
      </c>
      <c r="S23" s="529">
        <v>0</v>
      </c>
      <c r="T23" s="529">
        <v>0</v>
      </c>
      <c r="U23" s="529">
        <v>0</v>
      </c>
      <c r="V23" s="530">
        <f t="shared" si="0"/>
        <v>1736016</v>
      </c>
    </row>
    <row r="24" spans="1:22" ht="24">
      <c r="A24" s="500">
        <v>751834</v>
      </c>
      <c r="B24" s="501" t="s">
        <v>66</v>
      </c>
      <c r="C24" s="501" t="s">
        <v>53</v>
      </c>
      <c r="D24" s="532" t="s">
        <v>415</v>
      </c>
      <c r="E24" s="533" t="s">
        <v>383</v>
      </c>
      <c r="F24" s="534"/>
      <c r="G24" s="535">
        <v>0</v>
      </c>
      <c r="H24" s="535">
        <v>0</v>
      </c>
      <c r="I24" s="529">
        <f>11239754-848360</f>
        <v>10391394</v>
      </c>
      <c r="J24" s="529">
        <v>0</v>
      </c>
      <c r="K24" s="529">
        <v>0</v>
      </c>
      <c r="L24" s="529">
        <v>0</v>
      </c>
      <c r="M24" s="529">
        <v>0</v>
      </c>
      <c r="N24" s="529">
        <v>0</v>
      </c>
      <c r="O24" s="529">
        <v>0</v>
      </c>
      <c r="P24" s="529">
        <v>0</v>
      </c>
      <c r="Q24" s="529">
        <v>0</v>
      </c>
      <c r="R24" s="529">
        <v>0</v>
      </c>
      <c r="S24" s="529">
        <v>0</v>
      </c>
      <c r="T24" s="529">
        <v>0</v>
      </c>
      <c r="U24" s="529">
        <v>0</v>
      </c>
      <c r="V24" s="530">
        <f t="shared" si="0"/>
        <v>10391394</v>
      </c>
    </row>
    <row r="25" spans="3:22" ht="24" customHeight="1">
      <c r="C25" s="501" t="s">
        <v>843</v>
      </c>
      <c r="D25" s="532" t="s">
        <v>416</v>
      </c>
      <c r="E25" s="533" t="s">
        <v>844</v>
      </c>
      <c r="F25" s="534"/>
      <c r="G25" s="535">
        <v>0</v>
      </c>
      <c r="H25" s="529">
        <v>0</v>
      </c>
      <c r="I25" s="529">
        <v>0</v>
      </c>
      <c r="J25" s="529">
        <v>0</v>
      </c>
      <c r="K25" s="529">
        <v>0</v>
      </c>
      <c r="L25" s="529">
        <v>0</v>
      </c>
      <c r="M25" s="529">
        <v>0</v>
      </c>
      <c r="N25" s="529">
        <v>0</v>
      </c>
      <c r="O25" s="529">
        <v>0</v>
      </c>
      <c r="P25" s="529">
        <v>0</v>
      </c>
      <c r="Q25" s="529">
        <v>0</v>
      </c>
      <c r="R25" s="535">
        <v>0</v>
      </c>
      <c r="S25" s="529">
        <v>389000</v>
      </c>
      <c r="T25" s="529">
        <v>0</v>
      </c>
      <c r="U25" s="529">
        <v>0</v>
      </c>
      <c r="V25" s="530">
        <f t="shared" si="0"/>
        <v>389000</v>
      </c>
    </row>
    <row r="26" spans="1:22" ht="24" customHeight="1">
      <c r="A26" s="500">
        <v>751966</v>
      </c>
      <c r="B26" s="501" t="s">
        <v>67</v>
      </c>
      <c r="C26" s="501" t="s">
        <v>65</v>
      </c>
      <c r="D26" s="532" t="s">
        <v>417</v>
      </c>
      <c r="E26" s="533" t="s">
        <v>386</v>
      </c>
      <c r="F26" s="534"/>
      <c r="G26" s="535">
        <v>0</v>
      </c>
      <c r="H26" s="529">
        <v>0</v>
      </c>
      <c r="I26" s="529">
        <v>23139400</v>
      </c>
      <c r="J26" s="529">
        <v>0</v>
      </c>
      <c r="K26" s="529">
        <v>0</v>
      </c>
      <c r="L26" s="529">
        <v>0</v>
      </c>
      <c r="M26" s="529">
        <v>0</v>
      </c>
      <c r="N26" s="529">
        <v>0</v>
      </c>
      <c r="O26" s="529">
        <v>0</v>
      </c>
      <c r="P26" s="529">
        <v>0</v>
      </c>
      <c r="Q26" s="529">
        <v>0</v>
      </c>
      <c r="R26" s="535">
        <v>0</v>
      </c>
      <c r="S26" s="529">
        <v>0</v>
      </c>
      <c r="T26" s="529">
        <v>0</v>
      </c>
      <c r="U26" s="529">
        <v>0</v>
      </c>
      <c r="V26" s="530">
        <f t="shared" si="0"/>
        <v>23139400</v>
      </c>
    </row>
    <row r="27" spans="1:22" ht="24" customHeight="1">
      <c r="A27" s="500">
        <v>751999</v>
      </c>
      <c r="B27" s="501" t="s">
        <v>69</v>
      </c>
      <c r="C27" s="501" t="s">
        <v>61</v>
      </c>
      <c r="D27" s="532" t="s">
        <v>418</v>
      </c>
      <c r="E27" s="533" t="s">
        <v>557</v>
      </c>
      <c r="F27" s="534"/>
      <c r="G27" s="535">
        <v>0</v>
      </c>
      <c r="H27" s="535">
        <v>0</v>
      </c>
      <c r="I27" s="529">
        <f>254000+1100000</f>
        <v>1354000</v>
      </c>
      <c r="J27" s="529">
        <v>0</v>
      </c>
      <c r="K27" s="529">
        <v>0</v>
      </c>
      <c r="L27" s="529">
        <f>25828000-1100000</f>
        <v>24728000</v>
      </c>
      <c r="M27" s="529">
        <v>0</v>
      </c>
      <c r="N27" s="529">
        <v>0</v>
      </c>
      <c r="O27" s="529">
        <v>0</v>
      </c>
      <c r="P27" s="529">
        <v>0</v>
      </c>
      <c r="Q27" s="529">
        <v>0</v>
      </c>
      <c r="R27" s="535">
        <v>0</v>
      </c>
      <c r="S27" s="529">
        <v>2606050</v>
      </c>
      <c r="T27" s="529">
        <v>0</v>
      </c>
      <c r="U27" s="529">
        <v>0</v>
      </c>
      <c r="V27" s="530">
        <f t="shared" si="0"/>
        <v>28688050</v>
      </c>
    </row>
    <row r="28" spans="2:23" ht="24">
      <c r="B28" s="501" t="s">
        <v>71</v>
      </c>
      <c r="C28" s="501" t="s">
        <v>66</v>
      </c>
      <c r="D28" s="532" t="s">
        <v>419</v>
      </c>
      <c r="E28" s="533" t="s">
        <v>558</v>
      </c>
      <c r="F28" s="534"/>
      <c r="G28" s="535">
        <v>25000</v>
      </c>
      <c r="H28" s="535">
        <v>4388</v>
      </c>
      <c r="I28" s="529">
        <f>19910394+4650000-200000-5715000</f>
        <v>18645394</v>
      </c>
      <c r="J28" s="529">
        <v>0</v>
      </c>
      <c r="K28" s="529">
        <v>0</v>
      </c>
      <c r="L28" s="529">
        <f>17049000-4650000</f>
        <v>12399000</v>
      </c>
      <c r="M28" s="529">
        <v>0</v>
      </c>
      <c r="N28" s="529">
        <v>0</v>
      </c>
      <c r="O28" s="529">
        <v>0</v>
      </c>
      <c r="P28" s="529">
        <v>0</v>
      </c>
      <c r="Q28" s="529">
        <v>0</v>
      </c>
      <c r="R28" s="535">
        <f>335750+495250</f>
        <v>831000</v>
      </c>
      <c r="S28" s="529">
        <v>0</v>
      </c>
      <c r="T28" s="529">
        <v>0</v>
      </c>
      <c r="U28" s="529">
        <v>0</v>
      </c>
      <c r="V28" s="530">
        <f t="shared" si="0"/>
        <v>31904782</v>
      </c>
      <c r="W28" s="537"/>
    </row>
    <row r="29" spans="2:23" ht="24" customHeight="1">
      <c r="B29" s="501" t="s">
        <v>72</v>
      </c>
      <c r="C29" s="501" t="s">
        <v>72</v>
      </c>
      <c r="D29" s="987" t="s">
        <v>852</v>
      </c>
      <c r="E29" s="533" t="s">
        <v>388</v>
      </c>
      <c r="F29" s="538"/>
      <c r="G29" s="529">
        <v>0</v>
      </c>
      <c r="H29" s="529">
        <v>0</v>
      </c>
      <c r="I29" s="529">
        <v>360000</v>
      </c>
      <c r="J29" s="529">
        <v>0</v>
      </c>
      <c r="K29" s="529">
        <v>0</v>
      </c>
      <c r="L29" s="529">
        <v>0</v>
      </c>
      <c r="M29" s="529">
        <v>0</v>
      </c>
      <c r="N29" s="529">
        <v>0</v>
      </c>
      <c r="O29" s="529">
        <v>0</v>
      </c>
      <c r="P29" s="529">
        <v>0</v>
      </c>
      <c r="Q29" s="529">
        <v>0</v>
      </c>
      <c r="R29" s="529">
        <v>0</v>
      </c>
      <c r="S29" s="529">
        <v>0</v>
      </c>
      <c r="T29" s="529">
        <v>0</v>
      </c>
      <c r="U29" s="529">
        <v>0</v>
      </c>
      <c r="V29" s="530">
        <f t="shared" si="0"/>
        <v>360000</v>
      </c>
      <c r="W29" s="537"/>
    </row>
    <row r="30" spans="2:24" ht="24" customHeight="1">
      <c r="B30" s="501" t="s">
        <v>73</v>
      </c>
      <c r="C30" s="501" t="s">
        <v>73</v>
      </c>
      <c r="D30" s="987"/>
      <c r="E30" s="533" t="s">
        <v>389</v>
      </c>
      <c r="F30" s="538"/>
      <c r="G30" s="529">
        <v>2846984</v>
      </c>
      <c r="H30" s="529">
        <v>573827</v>
      </c>
      <c r="I30" s="529">
        <v>18217394</v>
      </c>
      <c r="J30" s="529">
        <v>0</v>
      </c>
      <c r="K30" s="529">
        <v>0</v>
      </c>
      <c r="L30" s="529">
        <v>0</v>
      </c>
      <c r="M30" s="529">
        <v>0</v>
      </c>
      <c r="N30" s="529">
        <v>0</v>
      </c>
      <c r="O30" s="529">
        <v>0</v>
      </c>
      <c r="P30" s="529">
        <v>0</v>
      </c>
      <c r="Q30" s="529">
        <v>0</v>
      </c>
      <c r="R30" s="529">
        <v>76200</v>
      </c>
      <c r="S30" s="529">
        <v>0</v>
      </c>
      <c r="T30" s="529">
        <v>0</v>
      </c>
      <c r="U30" s="529">
        <v>0</v>
      </c>
      <c r="V30" s="530">
        <f t="shared" si="0"/>
        <v>21714405</v>
      </c>
      <c r="X30" s="500" t="s">
        <v>778</v>
      </c>
    </row>
    <row r="31" spans="1:24" ht="24" customHeight="1">
      <c r="A31" s="500">
        <v>851286</v>
      </c>
      <c r="B31" s="501" t="s">
        <v>74</v>
      </c>
      <c r="C31" s="501" t="s">
        <v>74</v>
      </c>
      <c r="D31" s="987"/>
      <c r="E31" s="533" t="s">
        <v>390</v>
      </c>
      <c r="F31" s="538"/>
      <c r="G31" s="529">
        <v>0</v>
      </c>
      <c r="H31" s="529">
        <v>0</v>
      </c>
      <c r="I31" s="529">
        <v>120000</v>
      </c>
      <c r="J31" s="529">
        <v>0</v>
      </c>
      <c r="K31" s="529">
        <v>0</v>
      </c>
      <c r="L31" s="529">
        <v>0</v>
      </c>
      <c r="M31" s="529">
        <v>0</v>
      </c>
      <c r="N31" s="529">
        <v>0</v>
      </c>
      <c r="O31" s="529">
        <v>0</v>
      </c>
      <c r="P31" s="529">
        <v>0</v>
      </c>
      <c r="Q31" s="529">
        <v>0</v>
      </c>
      <c r="R31" s="529">
        <v>0</v>
      </c>
      <c r="S31" s="529">
        <v>0</v>
      </c>
      <c r="T31" s="529">
        <v>0</v>
      </c>
      <c r="U31" s="529">
        <v>0</v>
      </c>
      <c r="V31" s="530">
        <f t="shared" si="0"/>
        <v>120000</v>
      </c>
      <c r="X31" s="537">
        <f>SUM(V29:V32)</f>
        <v>45262596</v>
      </c>
    </row>
    <row r="32" spans="1:22" s="531" customFormat="1" ht="27" customHeight="1">
      <c r="A32" s="500">
        <v>851297</v>
      </c>
      <c r="B32" s="501" t="s">
        <v>75</v>
      </c>
      <c r="C32" s="501" t="s">
        <v>75</v>
      </c>
      <c r="D32" s="987"/>
      <c r="E32" s="533" t="s">
        <v>444</v>
      </c>
      <c r="F32" s="538"/>
      <c r="G32" s="529">
        <v>16985805</v>
      </c>
      <c r="H32" s="529">
        <v>3345516</v>
      </c>
      <c r="I32" s="529">
        <v>2736870</v>
      </c>
      <c r="J32" s="529">
        <v>0</v>
      </c>
      <c r="K32" s="529">
        <v>0</v>
      </c>
      <c r="L32" s="529">
        <v>0</v>
      </c>
      <c r="M32" s="529">
        <v>0</v>
      </c>
      <c r="N32" s="529">
        <v>0</v>
      </c>
      <c r="O32" s="529">
        <v>0</v>
      </c>
      <c r="P32" s="529">
        <v>0</v>
      </c>
      <c r="Q32" s="529">
        <v>0</v>
      </c>
      <c r="R32" s="529">
        <v>0</v>
      </c>
      <c r="S32" s="529">
        <v>0</v>
      </c>
      <c r="T32" s="529">
        <v>0</v>
      </c>
      <c r="U32" s="529">
        <v>0</v>
      </c>
      <c r="V32" s="530">
        <f t="shared" si="0"/>
        <v>23068191</v>
      </c>
    </row>
    <row r="33" spans="1:22" s="531" customFormat="1" ht="24" customHeight="1">
      <c r="A33" s="500">
        <v>853322</v>
      </c>
      <c r="B33" s="501" t="s">
        <v>76</v>
      </c>
      <c r="C33" s="501" t="s">
        <v>84</v>
      </c>
      <c r="D33" s="532" t="s">
        <v>421</v>
      </c>
      <c r="E33" s="533" t="s">
        <v>85</v>
      </c>
      <c r="F33" s="539"/>
      <c r="G33" s="529">
        <v>0</v>
      </c>
      <c r="H33" s="529">
        <v>0</v>
      </c>
      <c r="I33" s="529">
        <v>0</v>
      </c>
      <c r="J33" s="529">
        <v>0</v>
      </c>
      <c r="K33" s="529">
        <v>0</v>
      </c>
      <c r="L33" s="529">
        <v>16441000</v>
      </c>
      <c r="M33" s="529">
        <v>0</v>
      </c>
      <c r="N33" s="529">
        <v>0</v>
      </c>
      <c r="O33" s="529">
        <v>0</v>
      </c>
      <c r="P33" s="529">
        <v>0</v>
      </c>
      <c r="Q33" s="529">
        <v>0</v>
      </c>
      <c r="R33" s="529">
        <f>15576620-11201400</f>
        <v>4375220</v>
      </c>
      <c r="S33" s="529">
        <v>0</v>
      </c>
      <c r="T33" s="529">
        <v>0</v>
      </c>
      <c r="U33" s="529">
        <v>0</v>
      </c>
      <c r="V33" s="530">
        <f t="shared" si="0"/>
        <v>20816220</v>
      </c>
    </row>
    <row r="34" spans="1:22" s="531" customFormat="1" ht="24">
      <c r="A34" s="500"/>
      <c r="B34" s="501" t="s">
        <v>77</v>
      </c>
      <c r="C34" s="501" t="s">
        <v>554</v>
      </c>
      <c r="D34" s="532" t="s">
        <v>422</v>
      </c>
      <c r="E34" s="540" t="s">
        <v>628</v>
      </c>
      <c r="F34" s="539"/>
      <c r="G34" s="529">
        <v>80000</v>
      </c>
      <c r="H34" s="529">
        <v>41361</v>
      </c>
      <c r="I34" s="529">
        <v>1917850</v>
      </c>
      <c r="J34" s="529">
        <v>0</v>
      </c>
      <c r="K34" s="529">
        <v>0</v>
      </c>
      <c r="L34" s="529">
        <v>0</v>
      </c>
      <c r="M34" s="529">
        <v>0</v>
      </c>
      <c r="N34" s="529">
        <v>0</v>
      </c>
      <c r="O34" s="529">
        <v>0</v>
      </c>
      <c r="P34" s="529">
        <v>0</v>
      </c>
      <c r="Q34" s="529">
        <v>0</v>
      </c>
      <c r="R34" s="529">
        <v>0</v>
      </c>
      <c r="S34" s="529">
        <f>22279919+850900</f>
        <v>23130819</v>
      </c>
      <c r="T34" s="529">
        <v>0</v>
      </c>
      <c r="U34" s="529">
        <v>0</v>
      </c>
      <c r="V34" s="530">
        <f t="shared" si="0"/>
        <v>25170030</v>
      </c>
    </row>
    <row r="35" spans="1:22" s="531" customFormat="1" ht="36">
      <c r="A35" s="500"/>
      <c r="B35" s="501"/>
      <c r="C35" s="501" t="s">
        <v>962</v>
      </c>
      <c r="D35" s="532" t="s">
        <v>499</v>
      </c>
      <c r="E35" s="264" t="s">
        <v>967</v>
      </c>
      <c r="F35" s="539"/>
      <c r="G35" s="529">
        <v>3600833</v>
      </c>
      <c r="H35" s="529">
        <v>834330</v>
      </c>
      <c r="I35" s="529">
        <v>13337603</v>
      </c>
      <c r="J35" s="529">
        <v>0</v>
      </c>
      <c r="K35" s="529">
        <v>0</v>
      </c>
      <c r="L35" s="529">
        <v>0</v>
      </c>
      <c r="M35" s="529">
        <v>0</v>
      </c>
      <c r="N35" s="529">
        <v>0</v>
      </c>
      <c r="O35" s="529">
        <v>0</v>
      </c>
      <c r="P35" s="529">
        <v>0</v>
      </c>
      <c r="Q35" s="529">
        <v>0</v>
      </c>
      <c r="R35" s="529">
        <v>2497100</v>
      </c>
      <c r="S35" s="529">
        <v>0</v>
      </c>
      <c r="T35" s="529">
        <v>0</v>
      </c>
      <c r="U35" s="529">
        <v>0</v>
      </c>
      <c r="V35" s="530">
        <f t="shared" si="0"/>
        <v>20269866</v>
      </c>
    </row>
    <row r="36" spans="2:24" ht="24">
      <c r="B36" s="501" t="s">
        <v>79</v>
      </c>
      <c r="C36" s="501" t="s">
        <v>623</v>
      </c>
      <c r="D36" s="532" t="s">
        <v>500</v>
      </c>
      <c r="E36" s="533" t="s">
        <v>624</v>
      </c>
      <c r="F36" s="538"/>
      <c r="G36" s="529">
        <v>0</v>
      </c>
      <c r="H36" s="529">
        <v>0</v>
      </c>
      <c r="I36" s="529">
        <v>0</v>
      </c>
      <c r="J36" s="529">
        <v>0</v>
      </c>
      <c r="K36" s="541">
        <v>0</v>
      </c>
      <c r="L36" s="541">
        <v>4592665</v>
      </c>
      <c r="M36" s="529">
        <v>0</v>
      </c>
      <c r="N36" s="529">
        <v>0</v>
      </c>
      <c r="O36" s="529">
        <v>0</v>
      </c>
      <c r="P36" s="529">
        <v>0</v>
      </c>
      <c r="Q36" s="529">
        <v>0</v>
      </c>
      <c r="R36" s="529">
        <v>0</v>
      </c>
      <c r="S36" s="529">
        <v>0</v>
      </c>
      <c r="T36" s="529">
        <v>0</v>
      </c>
      <c r="U36" s="529">
        <v>0</v>
      </c>
      <c r="V36" s="530">
        <f t="shared" si="0"/>
        <v>4592665</v>
      </c>
      <c r="X36" s="537">
        <f>SUM(V36:V36)</f>
        <v>4592665</v>
      </c>
    </row>
    <row r="37" spans="3:22" ht="24">
      <c r="C37" s="501" t="s">
        <v>669</v>
      </c>
      <c r="D37" s="542" t="s">
        <v>501</v>
      </c>
      <c r="E37" s="533" t="s">
        <v>670</v>
      </c>
      <c r="F37" s="538"/>
      <c r="G37" s="529">
        <v>2168500</v>
      </c>
      <c r="H37" s="529">
        <v>426883</v>
      </c>
      <c r="I37" s="529">
        <v>54297921</v>
      </c>
      <c r="J37" s="529">
        <v>0</v>
      </c>
      <c r="K37" s="529">
        <v>0</v>
      </c>
      <c r="L37" s="529">
        <v>0</v>
      </c>
      <c r="M37" s="529">
        <v>0</v>
      </c>
      <c r="N37" s="529">
        <v>0</v>
      </c>
      <c r="O37" s="529">
        <v>0</v>
      </c>
      <c r="P37" s="529">
        <v>0</v>
      </c>
      <c r="Q37" s="529">
        <v>0</v>
      </c>
      <c r="R37" s="529">
        <v>10986734</v>
      </c>
      <c r="S37" s="529">
        <v>0</v>
      </c>
      <c r="T37" s="529">
        <v>0</v>
      </c>
      <c r="U37" s="529">
        <v>0</v>
      </c>
      <c r="V37" s="530">
        <f t="shared" si="0"/>
        <v>67880038</v>
      </c>
    </row>
    <row r="38" spans="3:22" ht="24">
      <c r="C38" s="501" t="s">
        <v>625</v>
      </c>
      <c r="D38" s="542" t="s">
        <v>469</v>
      </c>
      <c r="E38" s="533" t="s">
        <v>626</v>
      </c>
      <c r="F38" s="538"/>
      <c r="G38" s="529">
        <v>0</v>
      </c>
      <c r="H38" s="529">
        <v>0</v>
      </c>
      <c r="I38" s="529">
        <v>117194</v>
      </c>
      <c r="J38" s="529">
        <v>0</v>
      </c>
      <c r="K38" s="541">
        <v>0</v>
      </c>
      <c r="L38" s="541">
        <v>0</v>
      </c>
      <c r="M38" s="529">
        <v>0</v>
      </c>
      <c r="N38" s="529">
        <v>0</v>
      </c>
      <c r="O38" s="529">
        <v>0</v>
      </c>
      <c r="P38" s="529">
        <v>0</v>
      </c>
      <c r="Q38" s="529">
        <v>0</v>
      </c>
      <c r="R38" s="529">
        <v>0</v>
      </c>
      <c r="S38" s="529">
        <v>0</v>
      </c>
      <c r="T38" s="529">
        <v>0</v>
      </c>
      <c r="U38" s="529">
        <v>0</v>
      </c>
      <c r="V38" s="530">
        <f t="shared" si="0"/>
        <v>117194</v>
      </c>
    </row>
    <row r="39" spans="2:22" ht="24" customHeight="1">
      <c r="B39" s="501" t="s">
        <v>80</v>
      </c>
      <c r="C39" s="501" t="s">
        <v>666</v>
      </c>
      <c r="D39" s="542" t="s">
        <v>502</v>
      </c>
      <c r="E39" s="533" t="s">
        <v>667</v>
      </c>
      <c r="F39" s="538"/>
      <c r="G39" s="529">
        <v>0</v>
      </c>
      <c r="H39" s="529">
        <v>0</v>
      </c>
      <c r="I39" s="529">
        <f>17800000-2600000</f>
        <v>15200000</v>
      </c>
      <c r="J39" s="529">
        <v>0</v>
      </c>
      <c r="K39" s="529">
        <v>0</v>
      </c>
      <c r="L39" s="529">
        <v>21971000</v>
      </c>
      <c r="M39" s="529">
        <v>0</v>
      </c>
      <c r="N39" s="529">
        <v>0</v>
      </c>
      <c r="O39" s="529">
        <v>0</v>
      </c>
      <c r="P39" s="529">
        <v>0</v>
      </c>
      <c r="Q39" s="529">
        <v>0</v>
      </c>
      <c r="R39" s="529">
        <v>0</v>
      </c>
      <c r="S39" s="529">
        <v>0</v>
      </c>
      <c r="T39" s="529">
        <v>0</v>
      </c>
      <c r="U39" s="529">
        <v>0</v>
      </c>
      <c r="V39" s="530">
        <f t="shared" si="0"/>
        <v>37171000</v>
      </c>
    </row>
    <row r="40" spans="3:22" ht="24" customHeight="1">
      <c r="C40" s="501" t="s">
        <v>939</v>
      </c>
      <c r="D40" s="542" t="s">
        <v>423</v>
      </c>
      <c r="E40" s="533" t="s">
        <v>940</v>
      </c>
      <c r="F40" s="538"/>
      <c r="G40" s="529">
        <v>0</v>
      </c>
      <c r="H40" s="529">
        <v>0</v>
      </c>
      <c r="I40" s="529">
        <v>0</v>
      </c>
      <c r="J40" s="529">
        <v>0</v>
      </c>
      <c r="K40" s="529">
        <v>0</v>
      </c>
      <c r="L40" s="529">
        <v>4562000</v>
      </c>
      <c r="M40" s="529">
        <v>0</v>
      </c>
      <c r="N40" s="529">
        <v>0</v>
      </c>
      <c r="O40" s="529">
        <v>0</v>
      </c>
      <c r="P40" s="529">
        <v>0</v>
      </c>
      <c r="Q40" s="529">
        <v>0</v>
      </c>
      <c r="R40" s="529">
        <v>0</v>
      </c>
      <c r="S40" s="529">
        <v>0</v>
      </c>
      <c r="T40" s="529">
        <v>0</v>
      </c>
      <c r="U40" s="529">
        <v>0</v>
      </c>
      <c r="V40" s="530">
        <f t="shared" si="0"/>
        <v>4562000</v>
      </c>
    </row>
    <row r="41" spans="3:22" ht="24">
      <c r="C41" s="501" t="s">
        <v>671</v>
      </c>
      <c r="D41" s="542" t="s">
        <v>424</v>
      </c>
      <c r="E41" s="533" t="s">
        <v>672</v>
      </c>
      <c r="F41" s="538"/>
      <c r="G41" s="529">
        <v>0</v>
      </c>
      <c r="H41" s="529">
        <v>0</v>
      </c>
      <c r="I41" s="529">
        <v>2114700</v>
      </c>
      <c r="J41" s="529">
        <v>0</v>
      </c>
      <c r="K41" s="529">
        <v>0</v>
      </c>
      <c r="L41" s="529">
        <v>0</v>
      </c>
      <c r="M41" s="529">
        <v>0</v>
      </c>
      <c r="N41" s="529">
        <v>0</v>
      </c>
      <c r="O41" s="529">
        <v>0</v>
      </c>
      <c r="P41" s="529">
        <v>0</v>
      </c>
      <c r="Q41" s="529">
        <v>0</v>
      </c>
      <c r="R41" s="529">
        <v>0</v>
      </c>
      <c r="S41" s="529">
        <v>0</v>
      </c>
      <c r="T41" s="529">
        <v>0</v>
      </c>
      <c r="U41" s="529">
        <v>0</v>
      </c>
      <c r="V41" s="530">
        <f t="shared" si="0"/>
        <v>2114700</v>
      </c>
    </row>
    <row r="42" spans="4:22" ht="36">
      <c r="D42" s="986" t="s">
        <v>975</v>
      </c>
      <c r="E42" s="292" t="s">
        <v>977</v>
      </c>
      <c r="F42" s="538"/>
      <c r="G42" s="529">
        <v>27815502</v>
      </c>
      <c r="H42" s="529">
        <v>6738701</v>
      </c>
      <c r="I42" s="529">
        <v>54417221</v>
      </c>
      <c r="J42" s="529">
        <v>0</v>
      </c>
      <c r="K42" s="529">
        <v>0</v>
      </c>
      <c r="L42" s="529">
        <v>0</v>
      </c>
      <c r="M42" s="529">
        <v>0</v>
      </c>
      <c r="N42" s="529">
        <v>0</v>
      </c>
      <c r="O42" s="529">
        <v>0</v>
      </c>
      <c r="P42" s="529">
        <v>0</v>
      </c>
      <c r="Q42" s="529">
        <v>0</v>
      </c>
      <c r="R42" s="529">
        <v>8983129</v>
      </c>
      <c r="S42" s="529">
        <v>6528562</v>
      </c>
      <c r="T42" s="529">
        <v>0</v>
      </c>
      <c r="U42" s="529">
        <v>0</v>
      </c>
      <c r="V42" s="530">
        <f t="shared" si="0"/>
        <v>104483115</v>
      </c>
    </row>
    <row r="43" spans="4:22" ht="48">
      <c r="D43" s="986"/>
      <c r="E43" s="292" t="s">
        <v>965</v>
      </c>
      <c r="F43" s="538"/>
      <c r="G43" s="529">
        <v>12762600</v>
      </c>
      <c r="H43" s="529">
        <v>2999211</v>
      </c>
      <c r="I43" s="529">
        <v>15053577</v>
      </c>
      <c r="J43" s="529">
        <v>0</v>
      </c>
      <c r="K43" s="529">
        <v>0</v>
      </c>
      <c r="L43" s="529">
        <v>1564044</v>
      </c>
      <c r="M43" s="529">
        <v>0</v>
      </c>
      <c r="N43" s="529">
        <v>0</v>
      </c>
      <c r="O43" s="529">
        <v>0</v>
      </c>
      <c r="P43" s="529">
        <v>0</v>
      </c>
      <c r="Q43" s="529">
        <v>0</v>
      </c>
      <c r="R43" s="529">
        <v>0</v>
      </c>
      <c r="S43" s="529">
        <v>0</v>
      </c>
      <c r="T43" s="529">
        <v>0</v>
      </c>
      <c r="U43" s="529">
        <v>0</v>
      </c>
      <c r="V43" s="530">
        <f t="shared" si="0"/>
        <v>32379432</v>
      </c>
    </row>
    <row r="44" spans="3:24" ht="24" customHeight="1">
      <c r="C44" s="501" t="s">
        <v>80</v>
      </c>
      <c r="D44" s="986"/>
      <c r="E44" s="292" t="s">
        <v>976</v>
      </c>
      <c r="F44" s="538"/>
      <c r="G44" s="529">
        <f>27145152</f>
        <v>27145152</v>
      </c>
      <c r="H44" s="529">
        <f>6999328</f>
        <v>6999328</v>
      </c>
      <c r="I44" s="529">
        <f>26209434</f>
        <v>26209434</v>
      </c>
      <c r="J44" s="529">
        <v>0</v>
      </c>
      <c r="K44" s="529">
        <v>0</v>
      </c>
      <c r="L44" s="529">
        <v>0</v>
      </c>
      <c r="M44" s="529">
        <v>0</v>
      </c>
      <c r="N44" s="529">
        <v>0</v>
      </c>
      <c r="O44" s="529">
        <v>0</v>
      </c>
      <c r="P44" s="529">
        <v>0</v>
      </c>
      <c r="Q44" s="529">
        <v>0</v>
      </c>
      <c r="R44" s="529">
        <v>0</v>
      </c>
      <c r="S44" s="529">
        <v>0</v>
      </c>
      <c r="T44" s="529">
        <v>0</v>
      </c>
      <c r="U44" s="529">
        <v>0</v>
      </c>
      <c r="V44" s="530">
        <f t="shared" si="0"/>
        <v>60353914</v>
      </c>
      <c r="X44" s="537">
        <f>SUM(V42:V44)</f>
        <v>197216461</v>
      </c>
    </row>
    <row r="45" spans="3:24" ht="24" customHeight="1">
      <c r="C45" s="501" t="s">
        <v>941</v>
      </c>
      <c r="D45" s="542" t="s">
        <v>503</v>
      </c>
      <c r="E45" s="533" t="s">
        <v>942</v>
      </c>
      <c r="F45" s="538"/>
      <c r="G45" s="529">
        <v>0</v>
      </c>
      <c r="H45" s="529">
        <v>0</v>
      </c>
      <c r="I45" s="529">
        <v>0</v>
      </c>
      <c r="J45" s="529">
        <v>0</v>
      </c>
      <c r="K45" s="529">
        <v>0</v>
      </c>
      <c r="L45" s="529">
        <v>3712000</v>
      </c>
      <c r="M45" s="529">
        <v>0</v>
      </c>
      <c r="N45" s="529">
        <v>0</v>
      </c>
      <c r="O45" s="529">
        <v>0</v>
      </c>
      <c r="P45" s="529">
        <v>0</v>
      </c>
      <c r="Q45" s="529">
        <v>0</v>
      </c>
      <c r="R45" s="529">
        <v>0</v>
      </c>
      <c r="S45" s="529">
        <v>0</v>
      </c>
      <c r="T45" s="529">
        <v>0</v>
      </c>
      <c r="U45" s="529">
        <v>0</v>
      </c>
      <c r="V45" s="530">
        <f t="shared" si="0"/>
        <v>3712000</v>
      </c>
      <c r="X45" s="537"/>
    </row>
    <row r="46" spans="3:24" ht="24" customHeight="1">
      <c r="C46" s="501" t="s">
        <v>943</v>
      </c>
      <c r="D46" s="542" t="s">
        <v>426</v>
      </c>
      <c r="E46" s="533" t="s">
        <v>944</v>
      </c>
      <c r="F46" s="538"/>
      <c r="G46" s="529">
        <v>0</v>
      </c>
      <c r="H46" s="529">
        <v>0</v>
      </c>
      <c r="I46" s="529">
        <v>0</v>
      </c>
      <c r="J46" s="529">
        <v>0</v>
      </c>
      <c r="K46" s="529">
        <v>0</v>
      </c>
      <c r="L46" s="529">
        <v>4717000</v>
      </c>
      <c r="M46" s="529">
        <v>0</v>
      </c>
      <c r="N46" s="529">
        <v>0</v>
      </c>
      <c r="O46" s="529">
        <v>0</v>
      </c>
      <c r="P46" s="529">
        <v>0</v>
      </c>
      <c r="Q46" s="529">
        <v>0</v>
      </c>
      <c r="R46" s="529">
        <v>0</v>
      </c>
      <c r="S46" s="529">
        <v>0</v>
      </c>
      <c r="T46" s="529">
        <v>0</v>
      </c>
      <c r="U46" s="529">
        <v>0</v>
      </c>
      <c r="V46" s="530">
        <f t="shared" si="0"/>
        <v>4717000</v>
      </c>
      <c r="X46" s="537"/>
    </row>
    <row r="47" spans="2:22" ht="24" customHeight="1">
      <c r="B47" s="501" t="s">
        <v>82</v>
      </c>
      <c r="C47" s="501" t="s">
        <v>78</v>
      </c>
      <c r="D47" s="542" t="s">
        <v>443</v>
      </c>
      <c r="E47" s="533" t="s">
        <v>465</v>
      </c>
      <c r="F47" s="538"/>
      <c r="G47" s="529">
        <v>0</v>
      </c>
      <c r="H47" s="529">
        <v>0</v>
      </c>
      <c r="I47" s="529">
        <f>2400000+200000</f>
        <v>2600000</v>
      </c>
      <c r="J47" s="529">
        <v>0</v>
      </c>
      <c r="K47" s="529">
        <v>0</v>
      </c>
      <c r="L47" s="529">
        <v>1838000</v>
      </c>
      <c r="M47" s="529">
        <v>0</v>
      </c>
      <c r="N47" s="529">
        <v>0</v>
      </c>
      <c r="O47" s="529">
        <v>0</v>
      </c>
      <c r="P47" s="529">
        <v>0</v>
      </c>
      <c r="Q47" s="529">
        <v>0</v>
      </c>
      <c r="R47" s="529">
        <v>0</v>
      </c>
      <c r="S47" s="529">
        <v>0</v>
      </c>
      <c r="T47" s="529">
        <v>0</v>
      </c>
      <c r="U47" s="529">
        <v>0</v>
      </c>
      <c r="V47" s="530">
        <f t="shared" si="0"/>
        <v>4438000</v>
      </c>
    </row>
    <row r="48" spans="2:22" ht="24" customHeight="1">
      <c r="B48" s="501" t="s">
        <v>82</v>
      </c>
      <c r="C48" s="501" t="s">
        <v>945</v>
      </c>
      <c r="D48" s="542" t="s">
        <v>504</v>
      </c>
      <c r="E48" s="533" t="s">
        <v>946</v>
      </c>
      <c r="F48" s="538"/>
      <c r="G48" s="529">
        <v>0</v>
      </c>
      <c r="H48" s="529">
        <v>0</v>
      </c>
      <c r="I48" s="529">
        <v>0</v>
      </c>
      <c r="J48" s="529">
        <v>0</v>
      </c>
      <c r="K48" s="529">
        <v>0</v>
      </c>
      <c r="L48" s="529">
        <v>3719000</v>
      </c>
      <c r="M48" s="529">
        <v>0</v>
      </c>
      <c r="N48" s="529">
        <v>0</v>
      </c>
      <c r="O48" s="529">
        <v>0</v>
      </c>
      <c r="P48" s="529">
        <v>0</v>
      </c>
      <c r="Q48" s="529">
        <v>0</v>
      </c>
      <c r="R48" s="529">
        <v>0</v>
      </c>
      <c r="S48" s="529">
        <v>0</v>
      </c>
      <c r="T48" s="529">
        <v>0</v>
      </c>
      <c r="U48" s="529">
        <v>0</v>
      </c>
      <c r="V48" s="530">
        <f t="shared" si="0"/>
        <v>3719000</v>
      </c>
    </row>
    <row r="49" spans="2:22" ht="24">
      <c r="B49" s="501" t="s">
        <v>84</v>
      </c>
      <c r="C49" s="501" t="s">
        <v>81</v>
      </c>
      <c r="D49" s="542" t="s">
        <v>505</v>
      </c>
      <c r="E49" s="533" t="s">
        <v>668</v>
      </c>
      <c r="F49" s="538"/>
      <c r="G49" s="529">
        <v>0</v>
      </c>
      <c r="H49" s="529">
        <v>0</v>
      </c>
      <c r="I49" s="529">
        <v>0</v>
      </c>
      <c r="J49" s="529">
        <v>2942222</v>
      </c>
      <c r="K49" s="529">
        <v>0</v>
      </c>
      <c r="L49" s="529">
        <v>0</v>
      </c>
      <c r="M49" s="529">
        <v>0</v>
      </c>
      <c r="N49" s="529">
        <v>0</v>
      </c>
      <c r="O49" s="529">
        <v>0</v>
      </c>
      <c r="P49" s="529">
        <v>0</v>
      </c>
      <c r="Q49" s="529">
        <v>0</v>
      </c>
      <c r="R49" s="529">
        <v>0</v>
      </c>
      <c r="S49" s="529">
        <v>0</v>
      </c>
      <c r="T49" s="543">
        <v>0</v>
      </c>
      <c r="U49" s="529">
        <v>0</v>
      </c>
      <c r="V49" s="530">
        <f t="shared" si="0"/>
        <v>2942222</v>
      </c>
    </row>
    <row r="50" spans="4:22" ht="24">
      <c r="D50" s="542" t="s">
        <v>947</v>
      </c>
      <c r="E50" s="533" t="s">
        <v>387</v>
      </c>
      <c r="F50" s="544"/>
      <c r="G50" s="545">
        <v>0</v>
      </c>
      <c r="H50" s="543">
        <v>0</v>
      </c>
      <c r="I50" s="543">
        <v>0</v>
      </c>
      <c r="J50" s="543">
        <v>0</v>
      </c>
      <c r="K50" s="543">
        <v>0</v>
      </c>
      <c r="L50" s="543">
        <v>0</v>
      </c>
      <c r="M50" s="543">
        <v>1000000</v>
      </c>
      <c r="N50" s="543">
        <v>495000</v>
      </c>
      <c r="O50" s="543">
        <v>1000000</v>
      </c>
      <c r="P50" s="543">
        <f>23433000-20000000</f>
        <v>3433000</v>
      </c>
      <c r="Q50" s="543">
        <v>5000000</v>
      </c>
      <c r="R50" s="543">
        <v>0</v>
      </c>
      <c r="S50" s="543">
        <v>0</v>
      </c>
      <c r="T50" s="545">
        <v>0</v>
      </c>
      <c r="U50" s="543">
        <v>0</v>
      </c>
      <c r="V50" s="530">
        <f t="shared" si="0"/>
        <v>10928000</v>
      </c>
    </row>
    <row r="51" spans="3:22" ht="24">
      <c r="C51" s="501" t="s">
        <v>847</v>
      </c>
      <c r="D51" s="542" t="s">
        <v>948</v>
      </c>
      <c r="E51" s="547" t="s">
        <v>627</v>
      </c>
      <c r="F51" s="544"/>
      <c r="G51" s="545">
        <v>0</v>
      </c>
      <c r="H51" s="545">
        <v>0</v>
      </c>
      <c r="I51" s="545">
        <v>7848600</v>
      </c>
      <c r="J51" s="545">
        <v>0</v>
      </c>
      <c r="K51" s="545">
        <v>0</v>
      </c>
      <c r="L51" s="545">
        <v>0</v>
      </c>
      <c r="M51" s="545">
        <v>0</v>
      </c>
      <c r="N51" s="545">
        <v>0</v>
      </c>
      <c r="O51" s="545">
        <v>0</v>
      </c>
      <c r="P51" s="545">
        <v>0</v>
      </c>
      <c r="Q51" s="545">
        <v>0</v>
      </c>
      <c r="R51" s="545">
        <v>0</v>
      </c>
      <c r="S51" s="545">
        <v>0</v>
      </c>
      <c r="T51" s="545">
        <v>0</v>
      </c>
      <c r="U51" s="545">
        <v>0</v>
      </c>
      <c r="V51" s="530">
        <f t="shared" si="0"/>
        <v>7848600</v>
      </c>
    </row>
    <row r="52" spans="1:25" s="548" customFormat="1" ht="24" customHeight="1" thickBot="1">
      <c r="A52" s="548">
        <v>999997</v>
      </c>
      <c r="B52" s="546"/>
      <c r="D52" s="549" t="s">
        <v>954</v>
      </c>
      <c r="E52" s="550" t="s">
        <v>373</v>
      </c>
      <c r="F52" s="551">
        <f>SUM(F8:F49)</f>
        <v>0</v>
      </c>
      <c r="G52" s="552">
        <f aca="true" t="shared" si="1" ref="G52:V52">SUM(G8:G51)</f>
        <v>261096903</v>
      </c>
      <c r="H52" s="552">
        <f t="shared" si="1"/>
        <v>47265474</v>
      </c>
      <c r="I52" s="552">
        <f t="shared" si="1"/>
        <v>347670870</v>
      </c>
      <c r="J52" s="552">
        <f t="shared" si="1"/>
        <v>2942222</v>
      </c>
      <c r="K52" s="552">
        <f t="shared" si="1"/>
        <v>34136685</v>
      </c>
      <c r="L52" s="552">
        <f t="shared" si="1"/>
        <v>139710909</v>
      </c>
      <c r="M52" s="552">
        <f t="shared" si="1"/>
        <v>1000000</v>
      </c>
      <c r="N52" s="552">
        <f t="shared" si="1"/>
        <v>495000</v>
      </c>
      <c r="O52" s="552">
        <f t="shared" si="1"/>
        <v>1000000</v>
      </c>
      <c r="P52" s="552">
        <f t="shared" si="1"/>
        <v>3433000</v>
      </c>
      <c r="Q52" s="552">
        <f t="shared" si="1"/>
        <v>5000000</v>
      </c>
      <c r="R52" s="552">
        <f t="shared" si="1"/>
        <v>315745710</v>
      </c>
      <c r="S52" s="552">
        <f t="shared" si="1"/>
        <v>61296635</v>
      </c>
      <c r="T52" s="552">
        <f t="shared" si="1"/>
        <v>1609020</v>
      </c>
      <c r="U52" s="552">
        <f t="shared" si="1"/>
        <v>18041236</v>
      </c>
      <c r="V52" s="553">
        <f t="shared" si="1"/>
        <v>1240443664</v>
      </c>
      <c r="W52" s="554">
        <f>SUM(G52:U52)</f>
        <v>1240443664</v>
      </c>
      <c r="X52" s="555"/>
      <c r="Y52" s="555"/>
    </row>
    <row r="53" ht="12.75">
      <c r="E53" s="556"/>
    </row>
    <row r="57" spans="3:6" ht="12.75">
      <c r="C57" s="878" t="s">
        <v>410</v>
      </c>
      <c r="D57" s="876" t="s">
        <v>1041</v>
      </c>
      <c r="F57" s="558"/>
    </row>
  </sheetData>
  <sheetProtection/>
  <mergeCells count="12">
    <mergeCell ref="C1:C2"/>
    <mergeCell ref="Q1:V1"/>
    <mergeCell ref="E2:V2"/>
    <mergeCell ref="D4:D7"/>
    <mergeCell ref="E4:E6"/>
    <mergeCell ref="F4:F6"/>
    <mergeCell ref="K5:Q5"/>
    <mergeCell ref="G4:U4"/>
    <mergeCell ref="V4:V6"/>
    <mergeCell ref="D15:D17"/>
    <mergeCell ref="D42:D44"/>
    <mergeCell ref="D29:D32"/>
  </mergeCells>
  <printOptions horizontalCentered="1"/>
  <pageMargins left="0.07874015748031496" right="0.07874015748031496" top="0.7874015748031497" bottom="0.7874015748031497" header="0.11811023622047245" footer="0.1968503937007874"/>
  <pageSetup horizontalDpi="600" verticalDpi="600" orientation="landscape" paperSize="9" scale="67" r:id="rId1"/>
  <rowBreaks count="1" manualBreakCount="1">
    <brk id="2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L38"/>
  <sheetViews>
    <sheetView zoomScalePageLayoutView="0" workbookViewId="0" topLeftCell="A1">
      <selection activeCell="I2" sqref="I2"/>
    </sheetView>
  </sheetViews>
  <sheetFormatPr defaultColWidth="8.875" defaultRowHeight="12.75"/>
  <cols>
    <col min="1" max="1" width="7.625" style="502" customWidth="1"/>
    <col min="2" max="2" width="38.00390625" style="500" customWidth="1"/>
    <col min="3" max="8" width="13.125" style="500" customWidth="1"/>
    <col min="9" max="9" width="16.75390625" style="557" customWidth="1"/>
    <col min="10" max="10" width="14.375" style="500" customWidth="1"/>
    <col min="11" max="11" width="9.875" style="500" bestFit="1" customWidth="1"/>
    <col min="12" max="16384" width="8.875" style="500" customWidth="1"/>
  </cols>
  <sheetData>
    <row r="1" spans="7:9" ht="15">
      <c r="G1" s="990"/>
      <c r="H1" s="990"/>
      <c r="I1" s="990"/>
    </row>
    <row r="2" spans="5:12" ht="15">
      <c r="E2" s="618"/>
      <c r="F2" s="618"/>
      <c r="G2" s="618"/>
      <c r="H2" s="619"/>
      <c r="I2" s="618" t="s">
        <v>1050</v>
      </c>
      <c r="J2" s="619"/>
      <c r="K2" s="619"/>
      <c r="L2" s="619"/>
    </row>
    <row r="3" spans="5:12" ht="15">
      <c r="E3" s="618"/>
      <c r="F3" s="618"/>
      <c r="G3" s="618"/>
      <c r="H3" s="619"/>
      <c r="I3" s="618"/>
      <c r="J3" s="619"/>
      <c r="K3" s="619"/>
      <c r="L3" s="619"/>
    </row>
    <row r="4" spans="1:9" s="757" customFormat="1" ht="39" customHeight="1">
      <c r="A4" s="998" t="s">
        <v>921</v>
      </c>
      <c r="B4" s="998"/>
      <c r="C4" s="998"/>
      <c r="D4" s="998"/>
      <c r="E4" s="998"/>
      <c r="F4" s="998"/>
      <c r="G4" s="998"/>
      <c r="H4" s="998"/>
      <c r="I4" s="998"/>
    </row>
    <row r="5" ht="12">
      <c r="I5" s="758"/>
    </row>
    <row r="6" ht="12">
      <c r="I6" s="758"/>
    </row>
    <row r="7" ht="12.75" thickBot="1">
      <c r="I7" s="506"/>
    </row>
    <row r="8" spans="1:9" s="507" customFormat="1" ht="12.75" customHeight="1">
      <c r="A8" s="992" t="s">
        <v>440</v>
      </c>
      <c r="B8" s="995" t="s">
        <v>369</v>
      </c>
      <c r="C8" s="980" t="s">
        <v>377</v>
      </c>
      <c r="D8" s="981"/>
      <c r="E8" s="981"/>
      <c r="F8" s="981"/>
      <c r="G8" s="981"/>
      <c r="H8" s="981"/>
      <c r="I8" s="983" t="s">
        <v>378</v>
      </c>
    </row>
    <row r="9" spans="1:9" s="509" customFormat="1" ht="12" customHeight="1">
      <c r="A9" s="993"/>
      <c r="B9" s="996"/>
      <c r="C9" s="511" t="s">
        <v>1</v>
      </c>
      <c r="D9" s="511" t="s">
        <v>3</v>
      </c>
      <c r="E9" s="511" t="s">
        <v>5</v>
      </c>
      <c r="F9" s="513" t="s">
        <v>8</v>
      </c>
      <c r="G9" s="513" t="s">
        <v>123</v>
      </c>
      <c r="H9" s="513" t="s">
        <v>125</v>
      </c>
      <c r="I9" s="984"/>
    </row>
    <row r="10" spans="1:9" s="509" customFormat="1" ht="63.75" customHeight="1">
      <c r="A10" s="993"/>
      <c r="B10" s="997"/>
      <c r="C10" s="514" t="s">
        <v>350</v>
      </c>
      <c r="D10" s="514" t="s">
        <v>665</v>
      </c>
      <c r="E10" s="514" t="s">
        <v>371</v>
      </c>
      <c r="F10" s="512" t="s">
        <v>9</v>
      </c>
      <c r="G10" s="512" t="s">
        <v>347</v>
      </c>
      <c r="H10" s="512" t="s">
        <v>380</v>
      </c>
      <c r="I10" s="985"/>
    </row>
    <row r="11" spans="1:9" s="626" customFormat="1" ht="12.75" thickBot="1">
      <c r="A11" s="993"/>
      <c r="B11" s="627" t="s">
        <v>434</v>
      </c>
      <c r="C11" s="628" t="s">
        <v>435</v>
      </c>
      <c r="D11" s="628" t="s">
        <v>436</v>
      </c>
      <c r="E11" s="629" t="s">
        <v>437</v>
      </c>
      <c r="F11" s="629" t="s">
        <v>438</v>
      </c>
      <c r="G11" s="629" t="s">
        <v>439</v>
      </c>
      <c r="H11" s="629" t="s">
        <v>441</v>
      </c>
      <c r="I11" s="630" t="s">
        <v>442</v>
      </c>
    </row>
    <row r="12" spans="1:9" s="531" customFormat="1" ht="36" customHeight="1">
      <c r="A12" s="1005" t="s">
        <v>379</v>
      </c>
      <c r="B12" s="1006"/>
      <c r="C12" s="1006"/>
      <c r="D12" s="1006"/>
      <c r="E12" s="1006"/>
      <c r="F12" s="1006"/>
      <c r="G12" s="1006"/>
      <c r="H12" s="1006"/>
      <c r="I12" s="1007"/>
    </row>
    <row r="13" spans="1:9" s="632" customFormat="1" ht="34.5" customHeight="1">
      <c r="A13" s="633" t="s">
        <v>401</v>
      </c>
      <c r="B13" s="634" t="s">
        <v>926</v>
      </c>
      <c r="C13" s="636">
        <f>83641200+385000</f>
        <v>84026200</v>
      </c>
      <c r="D13" s="636">
        <f>15658358+75075</f>
        <v>15733433</v>
      </c>
      <c r="E13" s="636">
        <v>20108238</v>
      </c>
      <c r="F13" s="636">
        <v>0</v>
      </c>
      <c r="G13" s="636">
        <v>1229404</v>
      </c>
      <c r="H13" s="636">
        <v>0</v>
      </c>
      <c r="I13" s="637">
        <f>SUM(C13:H13)</f>
        <v>121097275</v>
      </c>
    </row>
    <row r="14" spans="1:9" s="632" customFormat="1" ht="30.75" customHeight="1">
      <c r="A14" s="633" t="s">
        <v>402</v>
      </c>
      <c r="B14" s="634" t="s">
        <v>922</v>
      </c>
      <c r="C14" s="636">
        <v>0</v>
      </c>
      <c r="D14" s="636">
        <v>0</v>
      </c>
      <c r="E14" s="636">
        <v>0</v>
      </c>
      <c r="F14" s="636">
        <v>6018160</v>
      </c>
      <c r="G14" s="636">
        <v>0</v>
      </c>
      <c r="H14" s="636">
        <v>0</v>
      </c>
      <c r="I14" s="637">
        <f>SUM(C14:H14)</f>
        <v>6018160</v>
      </c>
    </row>
    <row r="15" spans="1:9" s="632" customFormat="1" ht="30.75" customHeight="1">
      <c r="A15" s="638" t="s">
        <v>403</v>
      </c>
      <c r="B15" s="639" t="s">
        <v>963</v>
      </c>
      <c r="C15" s="640">
        <v>1420400</v>
      </c>
      <c r="D15" s="640">
        <v>293205</v>
      </c>
      <c r="E15" s="640">
        <v>256193</v>
      </c>
      <c r="F15" s="640">
        <v>0</v>
      </c>
      <c r="G15" s="640">
        <v>0</v>
      </c>
      <c r="H15" s="640">
        <v>0</v>
      </c>
      <c r="I15" s="637">
        <f>SUM(C15:H15)</f>
        <v>1969798</v>
      </c>
    </row>
    <row r="16" spans="1:12" s="641" customFormat="1" ht="24" customHeight="1" thickBot="1">
      <c r="A16" s="648" t="s">
        <v>404</v>
      </c>
      <c r="B16" s="649" t="s">
        <v>373</v>
      </c>
      <c r="C16" s="650">
        <f aca="true" t="shared" si="0" ref="C16:H16">SUM(C13:C15)</f>
        <v>85446600</v>
      </c>
      <c r="D16" s="650">
        <f t="shared" si="0"/>
        <v>16026638</v>
      </c>
      <c r="E16" s="650">
        <f t="shared" si="0"/>
        <v>20364431</v>
      </c>
      <c r="F16" s="650">
        <f t="shared" si="0"/>
        <v>6018160</v>
      </c>
      <c r="G16" s="650">
        <f t="shared" si="0"/>
        <v>1229404</v>
      </c>
      <c r="H16" s="650">
        <f t="shared" si="0"/>
        <v>0</v>
      </c>
      <c r="I16" s="651">
        <f>SUM(I10:I15)</f>
        <v>129085233</v>
      </c>
      <c r="J16" s="646">
        <f>SUM(C16:H16)</f>
        <v>129085233</v>
      </c>
      <c r="K16" s="647"/>
      <c r="L16" s="647"/>
    </row>
    <row r="17" spans="1:9" s="631" customFormat="1" ht="36.75" customHeight="1">
      <c r="A17" s="999" t="s">
        <v>801</v>
      </c>
      <c r="B17" s="1000"/>
      <c r="C17" s="1000"/>
      <c r="D17" s="1000"/>
      <c r="E17" s="1000"/>
      <c r="F17" s="1000"/>
      <c r="G17" s="1000"/>
      <c r="H17" s="1000"/>
      <c r="I17" s="1001"/>
    </row>
    <row r="18" spans="1:9" s="632" customFormat="1" ht="23.25" customHeight="1">
      <c r="A18" s="633" t="s">
        <v>401</v>
      </c>
      <c r="B18" s="634" t="s">
        <v>853</v>
      </c>
      <c r="C18" s="635">
        <v>0</v>
      </c>
      <c r="D18" s="635">
        <v>0</v>
      </c>
      <c r="E18" s="635">
        <v>30823296</v>
      </c>
      <c r="F18" s="636">
        <v>0</v>
      </c>
      <c r="G18" s="635">
        <v>0</v>
      </c>
      <c r="H18" s="636">
        <v>0</v>
      </c>
      <c r="I18" s="637">
        <f aca="true" t="shared" si="1" ref="I18:I27">SUM(C18:H18)</f>
        <v>30823296</v>
      </c>
    </row>
    <row r="19" spans="1:9" s="632" customFormat="1" ht="23.25" customHeight="1">
      <c r="A19" s="633" t="s">
        <v>402</v>
      </c>
      <c r="B19" s="634" t="s">
        <v>854</v>
      </c>
      <c r="C19" s="635">
        <f>94274236-7297240-336000+433600</f>
        <v>87074596</v>
      </c>
      <c r="D19" s="635">
        <f>21189574-1422962-65520+84552</f>
        <v>19785644</v>
      </c>
      <c r="E19" s="635">
        <f>12894538-96000-170000</f>
        <v>12628538</v>
      </c>
      <c r="F19" s="636">
        <v>0</v>
      </c>
      <c r="G19" s="635">
        <v>139700</v>
      </c>
      <c r="H19" s="636">
        <v>0</v>
      </c>
      <c r="I19" s="637">
        <f t="shared" si="1"/>
        <v>119628478</v>
      </c>
    </row>
    <row r="20" spans="1:9" s="632" customFormat="1" ht="23.25" customHeight="1">
      <c r="A20" s="633" t="s">
        <v>403</v>
      </c>
      <c r="B20" s="634" t="s">
        <v>855</v>
      </c>
      <c r="C20" s="635">
        <v>10997572</v>
      </c>
      <c r="D20" s="635">
        <v>2155423</v>
      </c>
      <c r="E20" s="635">
        <v>296100</v>
      </c>
      <c r="F20" s="636">
        <v>0</v>
      </c>
      <c r="G20" s="635">
        <v>0</v>
      </c>
      <c r="H20" s="636">
        <v>0</v>
      </c>
      <c r="I20" s="637">
        <f t="shared" si="1"/>
        <v>13449095</v>
      </c>
    </row>
    <row r="21" spans="1:9" s="632" customFormat="1" ht="23.25" customHeight="1">
      <c r="A21" s="633" t="s">
        <v>404</v>
      </c>
      <c r="B21" s="634" t="s">
        <v>560</v>
      </c>
      <c r="C21" s="635">
        <v>4613500</v>
      </c>
      <c r="D21" s="635">
        <v>910195</v>
      </c>
      <c r="E21" s="635">
        <f>721417+3</f>
        <v>721420</v>
      </c>
      <c r="F21" s="636">
        <v>0</v>
      </c>
      <c r="G21" s="635">
        <v>0</v>
      </c>
      <c r="H21" s="636">
        <v>0</v>
      </c>
      <c r="I21" s="637">
        <f t="shared" si="1"/>
        <v>6245115</v>
      </c>
    </row>
    <row r="22" spans="1:9" s="632" customFormat="1" ht="23.25" customHeight="1">
      <c r="A22" s="633" t="s">
        <v>405</v>
      </c>
      <c r="B22" s="634" t="s">
        <v>600</v>
      </c>
      <c r="C22" s="635">
        <v>15997239</v>
      </c>
      <c r="D22" s="635">
        <v>3155478</v>
      </c>
      <c r="E22" s="635">
        <v>4844076</v>
      </c>
      <c r="F22" s="636">
        <v>0</v>
      </c>
      <c r="G22" s="635">
        <v>88900</v>
      </c>
      <c r="H22" s="636">
        <v>0</v>
      </c>
      <c r="I22" s="637">
        <f t="shared" si="1"/>
        <v>24085693</v>
      </c>
    </row>
    <row r="23" spans="1:9" s="632" customFormat="1" ht="23.25" customHeight="1">
      <c r="A23" s="633" t="s">
        <v>406</v>
      </c>
      <c r="B23" s="634" t="s">
        <v>735</v>
      </c>
      <c r="C23" s="635">
        <v>13019321</v>
      </c>
      <c r="D23" s="635">
        <v>2547963</v>
      </c>
      <c r="E23" s="635">
        <v>2803888</v>
      </c>
      <c r="F23" s="636">
        <v>0</v>
      </c>
      <c r="G23" s="635">
        <v>76200</v>
      </c>
      <c r="H23" s="636">
        <v>0</v>
      </c>
      <c r="I23" s="637">
        <f t="shared" si="1"/>
        <v>18447372</v>
      </c>
    </row>
    <row r="24" spans="1:9" s="632" customFormat="1" ht="23.25" customHeight="1">
      <c r="A24" s="633" t="s">
        <v>407</v>
      </c>
      <c r="B24" s="634" t="s">
        <v>736</v>
      </c>
      <c r="C24" s="635">
        <f>8646048+66000</f>
        <v>8712048</v>
      </c>
      <c r="D24" s="635">
        <f>1701132+12870</f>
        <v>1714002</v>
      </c>
      <c r="E24" s="635">
        <v>1159551</v>
      </c>
      <c r="F24" s="636">
        <v>0</v>
      </c>
      <c r="G24" s="635">
        <v>0</v>
      </c>
      <c r="H24" s="636">
        <v>0</v>
      </c>
      <c r="I24" s="637">
        <f t="shared" si="1"/>
        <v>11585601</v>
      </c>
    </row>
    <row r="25" spans="1:9" s="632" customFormat="1" ht="23.25" customHeight="1">
      <c r="A25" s="633" t="s">
        <v>408</v>
      </c>
      <c r="B25" s="634" t="s">
        <v>856</v>
      </c>
      <c r="C25" s="636">
        <v>0</v>
      </c>
      <c r="D25" s="636">
        <v>0</v>
      </c>
      <c r="E25" s="636">
        <v>2665263</v>
      </c>
      <c r="F25" s="636">
        <v>0</v>
      </c>
      <c r="G25" s="636">
        <v>0</v>
      </c>
      <c r="H25" s="636">
        <v>0</v>
      </c>
      <c r="I25" s="637">
        <f t="shared" si="1"/>
        <v>2665263</v>
      </c>
    </row>
    <row r="26" spans="1:9" s="632" customFormat="1" ht="57">
      <c r="A26" s="633" t="s">
        <v>409</v>
      </c>
      <c r="B26" s="634" t="s">
        <v>965</v>
      </c>
      <c r="C26" s="636">
        <v>21649000</v>
      </c>
      <c r="D26" s="636">
        <v>5088000</v>
      </c>
      <c r="E26" s="636">
        <v>16670259</v>
      </c>
      <c r="F26" s="636">
        <v>0</v>
      </c>
      <c r="G26" s="636">
        <v>1687190</v>
      </c>
      <c r="H26" s="636">
        <v>0</v>
      </c>
      <c r="I26" s="637">
        <f t="shared" si="1"/>
        <v>45094449</v>
      </c>
    </row>
    <row r="27" spans="1:9" s="632" customFormat="1" ht="32.25" customHeight="1" thickBot="1">
      <c r="A27" s="811" t="s">
        <v>410</v>
      </c>
      <c r="B27" s="634" t="s">
        <v>964</v>
      </c>
      <c r="C27" s="812">
        <v>9187815</v>
      </c>
      <c r="D27" s="812">
        <v>2040168</v>
      </c>
      <c r="E27" s="812">
        <v>19871884</v>
      </c>
      <c r="F27" s="812">
        <v>0</v>
      </c>
      <c r="G27" s="812">
        <v>2412553</v>
      </c>
      <c r="H27" s="812">
        <v>0</v>
      </c>
      <c r="I27" s="651">
        <f t="shared" si="1"/>
        <v>33512420</v>
      </c>
    </row>
    <row r="28" spans="1:12" s="641" customFormat="1" ht="24" customHeight="1" thickBot="1">
      <c r="A28" s="642" t="s">
        <v>411</v>
      </c>
      <c r="B28" s="643" t="s">
        <v>373</v>
      </c>
      <c r="C28" s="644">
        <f aca="true" t="shared" si="2" ref="C28:I28">SUM(C18:C27)</f>
        <v>171251091</v>
      </c>
      <c r="D28" s="644">
        <f t="shared" si="2"/>
        <v>37396873</v>
      </c>
      <c r="E28" s="644">
        <f t="shared" si="2"/>
        <v>92484275</v>
      </c>
      <c r="F28" s="644">
        <f t="shared" si="2"/>
        <v>0</v>
      </c>
      <c r="G28" s="644">
        <f t="shared" si="2"/>
        <v>4404543</v>
      </c>
      <c r="H28" s="644">
        <f t="shared" si="2"/>
        <v>0</v>
      </c>
      <c r="I28" s="645">
        <f t="shared" si="2"/>
        <v>305536782</v>
      </c>
      <c r="J28" s="646">
        <f>SUM(C28:H28)</f>
        <v>305536782</v>
      </c>
      <c r="K28" s="647"/>
      <c r="L28" s="647"/>
    </row>
    <row r="29" spans="1:9" s="531" customFormat="1" ht="39" customHeight="1">
      <c r="A29" s="1002" t="s">
        <v>927</v>
      </c>
      <c r="B29" s="1003"/>
      <c r="C29" s="1003"/>
      <c r="D29" s="1003"/>
      <c r="E29" s="1003"/>
      <c r="F29" s="1003"/>
      <c r="G29" s="1003"/>
      <c r="H29" s="1003"/>
      <c r="I29" s="1004"/>
    </row>
    <row r="30" spans="1:9" s="632" customFormat="1" ht="31.5" customHeight="1">
      <c r="A30" s="633" t="s">
        <v>401</v>
      </c>
      <c r="B30" s="634" t="s">
        <v>559</v>
      </c>
      <c r="C30" s="636">
        <v>0</v>
      </c>
      <c r="D30" s="636">
        <v>0</v>
      </c>
      <c r="E30" s="636">
        <v>1100000</v>
      </c>
      <c r="F30" s="636">
        <v>0</v>
      </c>
      <c r="G30" s="636">
        <v>0</v>
      </c>
      <c r="H30" s="636">
        <v>0</v>
      </c>
      <c r="I30" s="637">
        <f>SUM(C30:H30)</f>
        <v>1100000</v>
      </c>
    </row>
    <row r="31" spans="1:9" s="632" customFormat="1" ht="23.25" customHeight="1">
      <c r="A31" s="633" t="s">
        <v>402</v>
      </c>
      <c r="B31" s="634" t="s">
        <v>391</v>
      </c>
      <c r="C31" s="636">
        <v>2428400</v>
      </c>
      <c r="D31" s="636">
        <v>478841</v>
      </c>
      <c r="E31" s="636">
        <v>3400630</v>
      </c>
      <c r="F31" s="636">
        <v>0</v>
      </c>
      <c r="G31" s="636">
        <v>0</v>
      </c>
      <c r="H31" s="636">
        <v>0</v>
      </c>
      <c r="I31" s="637">
        <f>SUM(C31:H31)</f>
        <v>6307871</v>
      </c>
    </row>
    <row r="32" spans="1:9" s="632" customFormat="1" ht="23.25" customHeight="1">
      <c r="A32" s="633" t="s">
        <v>403</v>
      </c>
      <c r="B32" s="634" t="s">
        <v>87</v>
      </c>
      <c r="C32" s="636">
        <v>0</v>
      </c>
      <c r="D32" s="636">
        <v>0</v>
      </c>
      <c r="E32" s="636">
        <v>49530</v>
      </c>
      <c r="F32" s="636">
        <v>0</v>
      </c>
      <c r="G32" s="636">
        <v>0</v>
      </c>
      <c r="H32" s="636">
        <v>0</v>
      </c>
      <c r="I32" s="637">
        <f>SUM(C32:H32)</f>
        <v>49530</v>
      </c>
    </row>
    <row r="33" spans="1:9" s="632" customFormat="1" ht="33" customHeight="1">
      <c r="A33" s="633" t="s">
        <v>404</v>
      </c>
      <c r="B33" s="634" t="s">
        <v>857</v>
      </c>
      <c r="C33" s="636">
        <v>7343000</v>
      </c>
      <c r="D33" s="636">
        <v>1437188</v>
      </c>
      <c r="E33" s="636">
        <f>13986001-3000000-103900</f>
        <v>10882101</v>
      </c>
      <c r="F33" s="636">
        <v>0</v>
      </c>
      <c r="G33" s="636">
        <v>103900</v>
      </c>
      <c r="H33" s="636">
        <v>0</v>
      </c>
      <c r="I33" s="637">
        <f>SUM(C33:H33)</f>
        <v>19766189</v>
      </c>
    </row>
    <row r="34" spans="1:12" s="641" customFormat="1" ht="24" customHeight="1" thickBot="1">
      <c r="A34" s="648" t="s">
        <v>405</v>
      </c>
      <c r="B34" s="649" t="s">
        <v>373</v>
      </c>
      <c r="C34" s="650">
        <f aca="true" t="shared" si="3" ref="C34:I34">SUM(C29:C33)</f>
        <v>9771400</v>
      </c>
      <c r="D34" s="650">
        <f t="shared" si="3"/>
        <v>1916029</v>
      </c>
      <c r="E34" s="650">
        <f t="shared" si="3"/>
        <v>15432261</v>
      </c>
      <c r="F34" s="650">
        <f>SUM(F29:F33)</f>
        <v>0</v>
      </c>
      <c r="G34" s="650">
        <f t="shared" si="3"/>
        <v>103900</v>
      </c>
      <c r="H34" s="650">
        <f t="shared" si="3"/>
        <v>0</v>
      </c>
      <c r="I34" s="651">
        <f t="shared" si="3"/>
        <v>27223590</v>
      </c>
      <c r="J34" s="646">
        <f>SUM(C34:H34)</f>
        <v>27223590</v>
      </c>
      <c r="K34" s="647"/>
      <c r="L34" s="647"/>
    </row>
    <row r="38" spans="1:2" ht="12.75">
      <c r="A38" s="879" t="s">
        <v>411</v>
      </c>
      <c r="B38" s="876" t="s">
        <v>1041</v>
      </c>
    </row>
  </sheetData>
  <sheetProtection/>
  <mergeCells count="9">
    <mergeCell ref="A4:I4"/>
    <mergeCell ref="A17:I17"/>
    <mergeCell ref="A29:I29"/>
    <mergeCell ref="G1:I1"/>
    <mergeCell ref="A8:A11"/>
    <mergeCell ref="B8:B10"/>
    <mergeCell ref="C8:H8"/>
    <mergeCell ref="I8:I10"/>
    <mergeCell ref="A12:I12"/>
  </mergeCells>
  <printOptions horizontalCentered="1"/>
  <pageMargins left="0.11811023622047245" right="0.11811023622047245" top="0.9448818897637796" bottom="0.9448818897637796" header="0.31496062992125984" footer="0.31496062992125984"/>
  <pageSetup horizontalDpi="600" verticalDpi="600" orientation="portrait" paperSize="9" scale="65" r:id="rId1"/>
  <colBreaks count="1" manualBreakCount="1">
    <brk id="9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AA80"/>
  <sheetViews>
    <sheetView workbookViewId="0" topLeftCell="G1">
      <selection activeCell="G1" sqref="G1:M1"/>
    </sheetView>
  </sheetViews>
  <sheetFormatPr defaultColWidth="9.00390625" defaultRowHeight="12.75"/>
  <cols>
    <col min="1" max="1" width="7.75390625" style="173" customWidth="1"/>
    <col min="2" max="2" width="31.75390625" style="173" customWidth="1"/>
    <col min="3" max="3" width="14.375" style="173" customWidth="1"/>
    <col min="4" max="6" width="13.75390625" style="173" bestFit="1" customWidth="1"/>
    <col min="7" max="9" width="14.375" style="173" bestFit="1" customWidth="1"/>
    <col min="10" max="11" width="12.875" style="173" customWidth="1"/>
    <col min="12" max="12" width="15.00390625" style="173" customWidth="1"/>
    <col min="13" max="13" width="17.00390625" style="173" bestFit="1" customWidth="1"/>
    <col min="14" max="15" width="9.125" style="173" customWidth="1"/>
    <col min="16" max="16" width="12.875" style="173" bestFit="1" customWidth="1"/>
    <col min="17" max="16384" width="9.125" style="173" customWidth="1"/>
  </cols>
  <sheetData>
    <row r="1" spans="1:21" ht="12.75">
      <c r="A1" s="240"/>
      <c r="B1" s="241"/>
      <c r="C1" s="242"/>
      <c r="D1" s="242"/>
      <c r="E1" s="242"/>
      <c r="F1" s="242"/>
      <c r="G1" s="1031" t="s">
        <v>1049</v>
      </c>
      <c r="H1" s="1031"/>
      <c r="I1" s="1032"/>
      <c r="J1" s="1032"/>
      <c r="K1" s="1032"/>
      <c r="L1" s="1032"/>
      <c r="M1" s="1032"/>
      <c r="N1" s="241"/>
      <c r="O1" s="241"/>
      <c r="P1" s="241"/>
      <c r="Q1" s="241"/>
      <c r="R1" s="243"/>
      <c r="S1" s="243"/>
      <c r="T1" s="243"/>
      <c r="U1" s="241"/>
    </row>
    <row r="2" spans="1:21" ht="12.75">
      <c r="A2" s="240"/>
      <c r="B2" s="241"/>
      <c r="C2" s="242"/>
      <c r="D2" s="242"/>
      <c r="E2" s="242"/>
      <c r="F2" s="242"/>
      <c r="G2" s="244"/>
      <c r="H2" s="244"/>
      <c r="I2" s="245"/>
      <c r="J2" s="245"/>
      <c r="K2" s="245"/>
      <c r="L2" s="245"/>
      <c r="M2" s="245"/>
      <c r="N2" s="241"/>
      <c r="O2" s="241"/>
      <c r="P2" s="241"/>
      <c r="Q2" s="241"/>
      <c r="R2" s="243"/>
      <c r="S2" s="243"/>
      <c r="T2" s="243"/>
      <c r="U2" s="241"/>
    </row>
    <row r="3" spans="1:27" ht="15.75" customHeight="1">
      <c r="A3" s="1036" t="s">
        <v>858</v>
      </c>
      <c r="B3" s="1036"/>
      <c r="C3" s="1036"/>
      <c r="D3" s="1036"/>
      <c r="E3" s="1036"/>
      <c r="F3" s="1036"/>
      <c r="G3" s="1036"/>
      <c r="H3" s="1036"/>
      <c r="I3" s="1036"/>
      <c r="J3" s="1036"/>
      <c r="K3" s="1036"/>
      <c r="L3" s="1036"/>
      <c r="M3" s="1036"/>
      <c r="N3" s="246"/>
      <c r="O3" s="246"/>
      <c r="P3" s="246"/>
      <c r="Q3" s="246"/>
      <c r="R3" s="246"/>
      <c r="S3" s="246"/>
      <c r="T3" s="246"/>
      <c r="U3" s="246"/>
      <c r="V3" s="246"/>
      <c r="W3" s="246"/>
      <c r="X3" s="246"/>
      <c r="Y3" s="246"/>
      <c r="Z3" s="246"/>
      <c r="AA3" s="246"/>
    </row>
    <row r="4" spans="1:27" ht="13.5" thickBot="1">
      <c r="A4" s="1036"/>
      <c r="B4" s="1036"/>
      <c r="C4" s="1036"/>
      <c r="D4" s="1036"/>
      <c r="E4" s="1036"/>
      <c r="F4" s="1036"/>
      <c r="G4" s="1036"/>
      <c r="H4" s="1036"/>
      <c r="I4" s="1036"/>
      <c r="J4" s="1036"/>
      <c r="K4" s="1036"/>
      <c r="L4" s="1036"/>
      <c r="M4" s="1036"/>
      <c r="N4" s="247"/>
      <c r="O4" s="247"/>
      <c r="P4" s="247"/>
      <c r="Q4" s="247"/>
      <c r="R4" s="247"/>
      <c r="S4" s="247"/>
      <c r="T4" s="247"/>
      <c r="U4" s="247"/>
      <c r="V4" s="247"/>
      <c r="W4" s="247"/>
      <c r="X4" s="247"/>
      <c r="Y4" s="247"/>
      <c r="Z4" s="247"/>
      <c r="AA4" s="874"/>
    </row>
    <row r="5" spans="1:27" ht="16.5" thickBot="1">
      <c r="A5" s="1026" t="s">
        <v>440</v>
      </c>
      <c r="B5" s="1023" t="s">
        <v>369</v>
      </c>
      <c r="C5" s="1029" t="s">
        <v>494</v>
      </c>
      <c r="D5" s="1029"/>
      <c r="E5" s="1029"/>
      <c r="F5" s="1029"/>
      <c r="G5" s="1029"/>
      <c r="H5" s="1029"/>
      <c r="I5" s="1029"/>
      <c r="J5" s="1029"/>
      <c r="K5" s="1029"/>
      <c r="L5" s="1029"/>
      <c r="M5" s="1030"/>
      <c r="N5" s="241"/>
      <c r="O5" s="241"/>
      <c r="P5" s="241"/>
      <c r="Q5" s="241"/>
      <c r="R5" s="241"/>
      <c r="S5" s="241"/>
      <c r="T5" s="241"/>
      <c r="U5" s="241"/>
      <c r="V5" s="241"/>
      <c r="W5" s="241"/>
      <c r="X5" s="241"/>
      <c r="Y5" s="241"/>
      <c r="Z5" s="241"/>
      <c r="AA5" s="875"/>
    </row>
    <row r="6" spans="1:27" ht="12.75" customHeight="1">
      <c r="A6" s="1027"/>
      <c r="B6" s="1024"/>
      <c r="C6" s="1037" t="s">
        <v>495</v>
      </c>
      <c r="D6" s="1014" t="s">
        <v>496</v>
      </c>
      <c r="E6" s="1015"/>
      <c r="F6" s="1016"/>
      <c r="G6" s="1014" t="s">
        <v>497</v>
      </c>
      <c r="H6" s="1015"/>
      <c r="I6" s="1016"/>
      <c r="J6" s="1014" t="s">
        <v>498</v>
      </c>
      <c r="K6" s="1015"/>
      <c r="L6" s="1016"/>
      <c r="M6" s="1033" t="s">
        <v>378</v>
      </c>
      <c r="AA6" s="307"/>
    </row>
    <row r="7" spans="1:27" ht="12.75" customHeight="1">
      <c r="A7" s="1027"/>
      <c r="B7" s="1024"/>
      <c r="C7" s="1038"/>
      <c r="D7" s="1017"/>
      <c r="E7" s="1018"/>
      <c r="F7" s="1019"/>
      <c r="G7" s="1017"/>
      <c r="H7" s="1018"/>
      <c r="I7" s="1019"/>
      <c r="J7" s="1017"/>
      <c r="K7" s="1018"/>
      <c r="L7" s="1019"/>
      <c r="M7" s="1034"/>
      <c r="AA7" s="307"/>
    </row>
    <row r="8" spans="1:27" ht="24" customHeight="1" thickBot="1">
      <c r="A8" s="1028"/>
      <c r="B8" s="1025"/>
      <c r="C8" s="1039"/>
      <c r="D8" s="248" t="s">
        <v>88</v>
      </c>
      <c r="E8" s="249" t="s">
        <v>89</v>
      </c>
      <c r="F8" s="250" t="s">
        <v>90</v>
      </c>
      <c r="G8" s="251" t="s">
        <v>88</v>
      </c>
      <c r="H8" s="249" t="s">
        <v>89</v>
      </c>
      <c r="I8" s="250" t="s">
        <v>90</v>
      </c>
      <c r="J8" s="251" t="s">
        <v>88</v>
      </c>
      <c r="K8" s="249" t="s">
        <v>89</v>
      </c>
      <c r="L8" s="250" t="s">
        <v>90</v>
      </c>
      <c r="M8" s="1035"/>
      <c r="AA8" s="307"/>
    </row>
    <row r="9" spans="1:13" ht="29.25" customHeight="1">
      <c r="A9" s="252" t="s">
        <v>401</v>
      </c>
      <c r="B9" s="253" t="s">
        <v>63</v>
      </c>
      <c r="C9" s="254" t="s">
        <v>752</v>
      </c>
      <c r="D9" s="255">
        <f>50694554+1031200+30800+6006</f>
        <v>51762560</v>
      </c>
      <c r="E9" s="653"/>
      <c r="F9" s="257">
        <f aca="true" t="shared" si="0" ref="F9:F48">SUM(D9:E9)</f>
        <v>51762560</v>
      </c>
      <c r="G9" s="658"/>
      <c r="H9" s="653"/>
      <c r="I9" s="257">
        <f aca="true" t="shared" si="1" ref="I9:I48">SUM(G9:H9)</f>
        <v>0</v>
      </c>
      <c r="J9" s="259"/>
      <c r="K9" s="260"/>
      <c r="L9" s="257">
        <f aca="true" t="shared" si="2" ref="L9:L39">SUM(J9:K9)</f>
        <v>0</v>
      </c>
      <c r="M9" s="261">
        <f aca="true" t="shared" si="3" ref="M9:M48">SUM(F9+I9+L9)</f>
        <v>51762560</v>
      </c>
    </row>
    <row r="10" spans="1:13" ht="29.25" customHeight="1">
      <c r="A10" s="262" t="s">
        <v>402</v>
      </c>
      <c r="B10" s="264" t="s">
        <v>58</v>
      </c>
      <c r="C10" s="263" t="s">
        <v>738</v>
      </c>
      <c r="D10" s="255">
        <v>65256278</v>
      </c>
      <c r="E10" s="256">
        <f>2949520+3000000+5000000</f>
        <v>10949520</v>
      </c>
      <c r="F10" s="257">
        <f t="shared" si="0"/>
        <v>76205798</v>
      </c>
      <c r="G10" s="658"/>
      <c r="H10" s="256">
        <v>1159500</v>
      </c>
      <c r="I10" s="257">
        <f t="shared" si="1"/>
        <v>1159500</v>
      </c>
      <c r="J10" s="259"/>
      <c r="K10" s="260"/>
      <c r="L10" s="257">
        <f t="shared" si="2"/>
        <v>0</v>
      </c>
      <c r="M10" s="261">
        <f t="shared" si="3"/>
        <v>77365298</v>
      </c>
    </row>
    <row r="11" spans="1:13" ht="29.25" customHeight="1">
      <c r="A11" s="262" t="s">
        <v>403</v>
      </c>
      <c r="B11" s="264" t="s">
        <v>60</v>
      </c>
      <c r="C11" s="263" t="s">
        <v>861</v>
      </c>
      <c r="D11" s="255">
        <v>2638913</v>
      </c>
      <c r="E11" s="653"/>
      <c r="F11" s="257">
        <f t="shared" si="0"/>
        <v>2638913</v>
      </c>
      <c r="G11" s="658"/>
      <c r="H11" s="653"/>
      <c r="I11" s="257">
        <f t="shared" si="1"/>
        <v>0</v>
      </c>
      <c r="J11" s="259"/>
      <c r="K11" s="260"/>
      <c r="L11" s="257">
        <f t="shared" si="2"/>
        <v>0</v>
      </c>
      <c r="M11" s="261">
        <f t="shared" si="3"/>
        <v>2638913</v>
      </c>
    </row>
    <row r="12" spans="1:13" ht="29.25" customHeight="1">
      <c r="A12" s="262" t="s">
        <v>404</v>
      </c>
      <c r="B12" s="264" t="s">
        <v>385</v>
      </c>
      <c r="C12" s="265"/>
      <c r="D12" s="652"/>
      <c r="E12" s="653"/>
      <c r="F12" s="257">
        <f t="shared" si="0"/>
        <v>0</v>
      </c>
      <c r="G12" s="258">
        <f>7224187-5500000</f>
        <v>1724187</v>
      </c>
      <c r="H12" s="653"/>
      <c r="I12" s="257">
        <f t="shared" si="1"/>
        <v>1724187</v>
      </c>
      <c r="J12" s="259"/>
      <c r="K12" s="260"/>
      <c r="L12" s="257">
        <f t="shared" si="2"/>
        <v>0</v>
      </c>
      <c r="M12" s="261">
        <f t="shared" si="3"/>
        <v>1724187</v>
      </c>
    </row>
    <row r="13" spans="1:13" ht="29.25" customHeight="1">
      <c r="A13" s="262" t="s">
        <v>405</v>
      </c>
      <c r="B13" s="264" t="s">
        <v>838</v>
      </c>
      <c r="C13" s="257" t="s">
        <v>862</v>
      </c>
      <c r="D13" s="255">
        <f>34037935+66110+32640</f>
        <v>34136685</v>
      </c>
      <c r="E13" s="653"/>
      <c r="F13" s="257">
        <f t="shared" si="0"/>
        <v>34136685</v>
      </c>
      <c r="G13" s="658"/>
      <c r="H13" s="653"/>
      <c r="I13" s="257">
        <f t="shared" si="1"/>
        <v>0</v>
      </c>
      <c r="J13" s="259"/>
      <c r="K13" s="260"/>
      <c r="L13" s="257">
        <f t="shared" si="2"/>
        <v>0</v>
      </c>
      <c r="M13" s="261">
        <f t="shared" si="3"/>
        <v>34136685</v>
      </c>
    </row>
    <row r="14" spans="1:13" ht="21.75" customHeight="1">
      <c r="A14" s="262" t="s">
        <v>406</v>
      </c>
      <c r="B14" s="280" t="s">
        <v>662</v>
      </c>
      <c r="C14" s="257" t="s">
        <v>862</v>
      </c>
      <c r="D14" s="267">
        <f>19198739+936+141447</f>
        <v>19341122</v>
      </c>
      <c r="E14" s="655"/>
      <c r="F14" s="257">
        <f t="shared" si="0"/>
        <v>19341122</v>
      </c>
      <c r="G14" s="659"/>
      <c r="H14" s="655"/>
      <c r="I14" s="257">
        <f t="shared" si="1"/>
        <v>0</v>
      </c>
      <c r="J14" s="270"/>
      <c r="K14" s="271"/>
      <c r="L14" s="257">
        <f t="shared" si="2"/>
        <v>0</v>
      </c>
      <c r="M14" s="261">
        <f t="shared" si="3"/>
        <v>19341122</v>
      </c>
    </row>
    <row r="15" spans="1:13" ht="29.25" customHeight="1">
      <c r="A15" s="262" t="s">
        <v>407</v>
      </c>
      <c r="B15" s="264" t="s">
        <v>68</v>
      </c>
      <c r="C15" s="257" t="s">
        <v>739</v>
      </c>
      <c r="D15" s="652"/>
      <c r="E15" s="653"/>
      <c r="F15" s="257">
        <f t="shared" si="0"/>
        <v>0</v>
      </c>
      <c r="G15" s="658"/>
      <c r="H15" s="653"/>
      <c r="I15" s="257">
        <f t="shared" si="1"/>
        <v>0</v>
      </c>
      <c r="J15" s="259">
        <f>50486791+2200+429-120000</f>
        <v>50369420</v>
      </c>
      <c r="K15" s="260">
        <f>508000+120000</f>
        <v>628000</v>
      </c>
      <c r="L15" s="257">
        <f t="shared" si="2"/>
        <v>50997420</v>
      </c>
      <c r="M15" s="261">
        <f t="shared" si="3"/>
        <v>50997420</v>
      </c>
    </row>
    <row r="16" spans="1:13" ht="29.25" customHeight="1">
      <c r="A16" s="262" t="s">
        <v>408</v>
      </c>
      <c r="B16" s="264" t="s">
        <v>839</v>
      </c>
      <c r="C16" s="263"/>
      <c r="D16" s="652"/>
      <c r="E16" s="653"/>
      <c r="F16" s="257">
        <f t="shared" si="0"/>
        <v>0</v>
      </c>
      <c r="G16" s="658"/>
      <c r="H16" s="256">
        <f>264185263+151044</f>
        <v>264336307</v>
      </c>
      <c r="I16" s="257">
        <f t="shared" si="1"/>
        <v>264336307</v>
      </c>
      <c r="J16" s="259"/>
      <c r="K16" s="260"/>
      <c r="L16" s="257">
        <f t="shared" si="2"/>
        <v>0</v>
      </c>
      <c r="M16" s="261">
        <f t="shared" si="3"/>
        <v>264336307</v>
      </c>
    </row>
    <row r="17" spans="1:13" ht="29.25" customHeight="1">
      <c r="A17" s="262" t="s">
        <v>409</v>
      </c>
      <c r="B17" s="264" t="s">
        <v>841</v>
      </c>
      <c r="C17" s="263" t="s">
        <v>859</v>
      </c>
      <c r="D17" s="255">
        <f>11977188+28103985+2740077+8057715</f>
        <v>50878965</v>
      </c>
      <c r="E17" s="256">
        <v>1846997</v>
      </c>
      <c r="F17" s="257">
        <f t="shared" si="0"/>
        <v>52725962</v>
      </c>
      <c r="G17" s="658"/>
      <c r="H17" s="653"/>
      <c r="I17" s="257">
        <f t="shared" si="1"/>
        <v>0</v>
      </c>
      <c r="J17" s="259"/>
      <c r="K17" s="260"/>
      <c r="L17" s="257">
        <f t="shared" si="2"/>
        <v>0</v>
      </c>
      <c r="M17" s="261">
        <f t="shared" si="3"/>
        <v>52725962</v>
      </c>
    </row>
    <row r="18" spans="1:13" ht="29.25" customHeight="1">
      <c r="A18" s="262" t="s">
        <v>410</v>
      </c>
      <c r="B18" s="264" t="s">
        <v>842</v>
      </c>
      <c r="C18" s="263" t="s">
        <v>859</v>
      </c>
      <c r="D18" s="255">
        <f>23626850+40610080+3959404+2045415</f>
        <v>70241749</v>
      </c>
      <c r="E18" s="256">
        <v>299888</v>
      </c>
      <c r="F18" s="257">
        <f t="shared" si="0"/>
        <v>70541637</v>
      </c>
      <c r="G18" s="658"/>
      <c r="H18" s="653"/>
      <c r="I18" s="257">
        <f t="shared" si="1"/>
        <v>0</v>
      </c>
      <c r="J18" s="259"/>
      <c r="K18" s="260"/>
      <c r="L18" s="257">
        <f t="shared" si="2"/>
        <v>0</v>
      </c>
      <c r="M18" s="261">
        <f t="shared" si="3"/>
        <v>70541637</v>
      </c>
    </row>
    <row r="19" spans="1:13" ht="21.75" customHeight="1">
      <c r="A19" s="262" t="s">
        <v>411</v>
      </c>
      <c r="B19" s="280" t="s">
        <v>663</v>
      </c>
      <c r="C19" s="263" t="s">
        <v>740</v>
      </c>
      <c r="D19" s="654"/>
      <c r="E19" s="655"/>
      <c r="F19" s="257">
        <f t="shared" si="0"/>
        <v>0</v>
      </c>
      <c r="G19" s="659"/>
      <c r="H19" s="268">
        <v>12223750</v>
      </c>
      <c r="I19" s="257">
        <f t="shared" si="1"/>
        <v>12223750</v>
      </c>
      <c r="J19" s="270"/>
      <c r="K19" s="271"/>
      <c r="L19" s="257">
        <f t="shared" si="2"/>
        <v>0</v>
      </c>
      <c r="M19" s="261">
        <f t="shared" si="3"/>
        <v>12223750</v>
      </c>
    </row>
    <row r="20" spans="1:13" ht="29.25" customHeight="1">
      <c r="A20" s="266" t="s">
        <v>412</v>
      </c>
      <c r="B20" s="264" t="s">
        <v>349</v>
      </c>
      <c r="C20" s="263" t="s">
        <v>740</v>
      </c>
      <c r="D20" s="255">
        <f>9850000+5000000</f>
        <v>14850000</v>
      </c>
      <c r="E20" s="256">
        <v>18159504</v>
      </c>
      <c r="F20" s="257">
        <f t="shared" si="0"/>
        <v>33009504</v>
      </c>
      <c r="G20" s="658"/>
      <c r="H20" s="653"/>
      <c r="I20" s="257">
        <f t="shared" si="1"/>
        <v>0</v>
      </c>
      <c r="J20" s="259"/>
      <c r="K20" s="260"/>
      <c r="L20" s="257">
        <f t="shared" si="2"/>
        <v>0</v>
      </c>
      <c r="M20" s="261">
        <f t="shared" si="3"/>
        <v>33009504</v>
      </c>
    </row>
    <row r="21" spans="1:13" ht="29.25" customHeight="1">
      <c r="A21" s="262" t="s">
        <v>413</v>
      </c>
      <c r="B21" s="264" t="s">
        <v>70</v>
      </c>
      <c r="C21" s="263" t="s">
        <v>741</v>
      </c>
      <c r="D21" s="255">
        <v>1270000</v>
      </c>
      <c r="E21" s="256">
        <v>8644085</v>
      </c>
      <c r="F21" s="257">
        <f t="shared" si="0"/>
        <v>9914085</v>
      </c>
      <c r="G21" s="658"/>
      <c r="H21" s="653"/>
      <c r="I21" s="257">
        <f t="shared" si="1"/>
        <v>0</v>
      </c>
      <c r="J21" s="259"/>
      <c r="K21" s="260"/>
      <c r="L21" s="257">
        <f t="shared" si="2"/>
        <v>0</v>
      </c>
      <c r="M21" s="261">
        <f t="shared" si="3"/>
        <v>9914085</v>
      </c>
    </row>
    <row r="22" spans="1:13" ht="30.75" customHeight="1">
      <c r="A22" s="262" t="s">
        <v>414</v>
      </c>
      <c r="B22" s="264" t="s">
        <v>52</v>
      </c>
      <c r="C22" s="263" t="s">
        <v>742</v>
      </c>
      <c r="D22" s="267">
        <v>1736016</v>
      </c>
      <c r="E22" s="655"/>
      <c r="F22" s="257">
        <f t="shared" si="0"/>
        <v>1736016</v>
      </c>
      <c r="G22" s="659"/>
      <c r="H22" s="655"/>
      <c r="I22" s="257">
        <f t="shared" si="1"/>
        <v>0</v>
      </c>
      <c r="J22" s="270"/>
      <c r="K22" s="271"/>
      <c r="L22" s="257">
        <f t="shared" si="2"/>
        <v>0</v>
      </c>
      <c r="M22" s="261">
        <f t="shared" si="3"/>
        <v>1736016</v>
      </c>
    </row>
    <row r="23" spans="1:13" ht="31.5" customHeight="1">
      <c r="A23" s="262" t="s">
        <v>415</v>
      </c>
      <c r="B23" s="264" t="s">
        <v>383</v>
      </c>
      <c r="C23" s="263" t="s">
        <v>743</v>
      </c>
      <c r="D23" s="267">
        <f>11239754-848360</f>
        <v>10391394</v>
      </c>
      <c r="E23" s="655"/>
      <c r="F23" s="257">
        <f t="shared" si="0"/>
        <v>10391394</v>
      </c>
      <c r="G23" s="659"/>
      <c r="H23" s="655"/>
      <c r="I23" s="257">
        <f t="shared" si="1"/>
        <v>0</v>
      </c>
      <c r="J23" s="270"/>
      <c r="K23" s="271"/>
      <c r="L23" s="257">
        <f t="shared" si="2"/>
        <v>0</v>
      </c>
      <c r="M23" s="261">
        <f t="shared" si="3"/>
        <v>10391394</v>
      </c>
    </row>
    <row r="24" spans="1:13" ht="21.75" customHeight="1">
      <c r="A24" s="262" t="s">
        <v>416</v>
      </c>
      <c r="B24" s="280" t="s">
        <v>844</v>
      </c>
      <c r="C24" s="275" t="s">
        <v>860</v>
      </c>
      <c r="D24" s="267">
        <v>0</v>
      </c>
      <c r="E24" s="268">
        <v>389000</v>
      </c>
      <c r="F24" s="257">
        <f t="shared" si="0"/>
        <v>389000</v>
      </c>
      <c r="G24" s="659"/>
      <c r="H24" s="655"/>
      <c r="I24" s="257">
        <f t="shared" si="1"/>
        <v>0</v>
      </c>
      <c r="J24" s="270"/>
      <c r="K24" s="271"/>
      <c r="L24" s="257">
        <f t="shared" si="2"/>
        <v>0</v>
      </c>
      <c r="M24" s="261">
        <f t="shared" si="3"/>
        <v>389000</v>
      </c>
    </row>
    <row r="25" spans="1:13" ht="21.75" customHeight="1">
      <c r="A25" s="262" t="s">
        <v>417</v>
      </c>
      <c r="B25" s="280" t="s">
        <v>386</v>
      </c>
      <c r="C25" s="275" t="s">
        <v>740</v>
      </c>
      <c r="D25" s="267">
        <v>23139400</v>
      </c>
      <c r="E25" s="655"/>
      <c r="F25" s="257">
        <f t="shared" si="0"/>
        <v>23139400</v>
      </c>
      <c r="G25" s="659"/>
      <c r="H25" s="655"/>
      <c r="I25" s="257">
        <f t="shared" si="1"/>
        <v>0</v>
      </c>
      <c r="J25" s="270"/>
      <c r="K25" s="271"/>
      <c r="L25" s="257">
        <f t="shared" si="2"/>
        <v>0</v>
      </c>
      <c r="M25" s="261">
        <f t="shared" si="3"/>
        <v>23139400</v>
      </c>
    </row>
    <row r="26" spans="1:13" ht="21.75" customHeight="1">
      <c r="A26" s="262" t="s">
        <v>418</v>
      </c>
      <c r="B26" s="280" t="s">
        <v>384</v>
      </c>
      <c r="C26" s="275" t="s">
        <v>740</v>
      </c>
      <c r="D26" s="267">
        <v>26082000</v>
      </c>
      <c r="E26" s="268">
        <v>2606050</v>
      </c>
      <c r="F26" s="257">
        <f t="shared" si="0"/>
        <v>28688050</v>
      </c>
      <c r="G26" s="659"/>
      <c r="H26" s="655"/>
      <c r="I26" s="257">
        <f t="shared" si="1"/>
        <v>0</v>
      </c>
      <c r="J26" s="270"/>
      <c r="K26" s="271"/>
      <c r="L26" s="257">
        <f t="shared" si="2"/>
        <v>0</v>
      </c>
      <c r="M26" s="261">
        <f t="shared" si="3"/>
        <v>28688050</v>
      </c>
    </row>
    <row r="27" spans="1:13" ht="22.5" customHeight="1">
      <c r="A27" s="262" t="s">
        <v>419</v>
      </c>
      <c r="B27" s="280" t="s">
        <v>86</v>
      </c>
      <c r="C27" s="275" t="s">
        <v>744</v>
      </c>
      <c r="D27" s="267">
        <v>28083700</v>
      </c>
      <c r="E27" s="268">
        <v>831000</v>
      </c>
      <c r="F27" s="257">
        <f t="shared" si="0"/>
        <v>28914700</v>
      </c>
      <c r="G27" s="269">
        <v>2990082</v>
      </c>
      <c r="H27" s="655"/>
      <c r="I27" s="257">
        <f t="shared" si="1"/>
        <v>2990082</v>
      </c>
      <c r="J27" s="270"/>
      <c r="K27" s="271"/>
      <c r="L27" s="257">
        <f t="shared" si="2"/>
        <v>0</v>
      </c>
      <c r="M27" s="261">
        <f t="shared" si="3"/>
        <v>31904782</v>
      </c>
    </row>
    <row r="28" spans="1:13" ht="23.25" customHeight="1">
      <c r="A28" s="262" t="s">
        <v>420</v>
      </c>
      <c r="B28" s="280" t="s">
        <v>388</v>
      </c>
      <c r="C28" s="275" t="s">
        <v>745</v>
      </c>
      <c r="D28" s="267">
        <v>360000</v>
      </c>
      <c r="E28" s="655"/>
      <c r="F28" s="257">
        <f t="shared" si="0"/>
        <v>360000</v>
      </c>
      <c r="G28" s="659"/>
      <c r="H28" s="655"/>
      <c r="I28" s="257">
        <f t="shared" si="1"/>
        <v>0</v>
      </c>
      <c r="J28" s="270"/>
      <c r="K28" s="271"/>
      <c r="L28" s="257">
        <f t="shared" si="2"/>
        <v>0</v>
      </c>
      <c r="M28" s="261">
        <f t="shared" si="3"/>
        <v>360000</v>
      </c>
    </row>
    <row r="29" spans="1:13" ht="22.5" customHeight="1">
      <c r="A29" s="262" t="s">
        <v>421</v>
      </c>
      <c r="B29" s="280" t="s">
        <v>389</v>
      </c>
      <c r="C29" s="275" t="s">
        <v>745</v>
      </c>
      <c r="D29" s="267">
        <v>21638205</v>
      </c>
      <c r="E29" s="268">
        <v>76200</v>
      </c>
      <c r="F29" s="257">
        <f t="shared" si="0"/>
        <v>21714405</v>
      </c>
      <c r="G29" s="659"/>
      <c r="H29" s="655"/>
      <c r="I29" s="257">
        <f t="shared" si="1"/>
        <v>0</v>
      </c>
      <c r="J29" s="270"/>
      <c r="K29" s="271"/>
      <c r="L29" s="257">
        <f t="shared" si="2"/>
        <v>0</v>
      </c>
      <c r="M29" s="261">
        <f t="shared" si="3"/>
        <v>21714405</v>
      </c>
    </row>
    <row r="30" spans="1:13" ht="22.5" customHeight="1">
      <c r="A30" s="262" t="s">
        <v>422</v>
      </c>
      <c r="B30" s="280" t="s">
        <v>390</v>
      </c>
      <c r="C30" s="275" t="s">
        <v>745</v>
      </c>
      <c r="D30" s="267">
        <v>120000</v>
      </c>
      <c r="E30" s="655"/>
      <c r="F30" s="257">
        <f t="shared" si="0"/>
        <v>120000</v>
      </c>
      <c r="G30" s="659"/>
      <c r="H30" s="655"/>
      <c r="I30" s="257">
        <f t="shared" si="1"/>
        <v>0</v>
      </c>
      <c r="J30" s="270"/>
      <c r="K30" s="271"/>
      <c r="L30" s="257">
        <f t="shared" si="2"/>
        <v>0</v>
      </c>
      <c r="M30" s="261">
        <f t="shared" si="3"/>
        <v>120000</v>
      </c>
    </row>
    <row r="31" spans="1:13" ht="29.25" customHeight="1">
      <c r="A31" s="262" t="s">
        <v>499</v>
      </c>
      <c r="B31" s="264" t="s">
        <v>754</v>
      </c>
      <c r="C31" s="263" t="s">
        <v>745</v>
      </c>
      <c r="D31" s="267">
        <v>23068191</v>
      </c>
      <c r="E31" s="268"/>
      <c r="F31" s="257">
        <f t="shared" si="0"/>
        <v>23068191</v>
      </c>
      <c r="G31" s="659"/>
      <c r="H31" s="655"/>
      <c r="I31" s="257">
        <f t="shared" si="1"/>
        <v>0</v>
      </c>
      <c r="J31" s="270"/>
      <c r="K31" s="271"/>
      <c r="L31" s="257">
        <f t="shared" si="2"/>
        <v>0</v>
      </c>
      <c r="M31" s="261">
        <f t="shared" si="3"/>
        <v>23068191</v>
      </c>
    </row>
    <row r="32" spans="1:13" ht="29.25" customHeight="1">
      <c r="A32" s="262" t="s">
        <v>500</v>
      </c>
      <c r="B32" s="272" t="s">
        <v>85</v>
      </c>
      <c r="C32" s="257" t="s">
        <v>746</v>
      </c>
      <c r="D32" s="267">
        <v>16441000</v>
      </c>
      <c r="E32" s="655"/>
      <c r="F32" s="257">
        <f t="shared" si="0"/>
        <v>16441000</v>
      </c>
      <c r="G32" s="660"/>
      <c r="H32" s="268">
        <f>15576620-11201400</f>
        <v>4375220</v>
      </c>
      <c r="I32" s="257">
        <f t="shared" si="1"/>
        <v>4375220</v>
      </c>
      <c r="J32" s="270"/>
      <c r="K32" s="271"/>
      <c r="L32" s="257">
        <f t="shared" si="2"/>
        <v>0</v>
      </c>
      <c r="M32" s="261">
        <f t="shared" si="3"/>
        <v>20816220</v>
      </c>
    </row>
    <row r="33" spans="1:13" ht="30.75" customHeight="1">
      <c r="A33" s="262" t="s">
        <v>501</v>
      </c>
      <c r="B33" s="287" t="s">
        <v>629</v>
      </c>
      <c r="C33" s="257"/>
      <c r="D33" s="654"/>
      <c r="E33" s="655"/>
      <c r="F33" s="257">
        <f t="shared" si="0"/>
        <v>0</v>
      </c>
      <c r="G33" s="274">
        <v>2039211</v>
      </c>
      <c r="H33" s="268">
        <f>22279919+850900</f>
        <v>23130819</v>
      </c>
      <c r="I33" s="257">
        <f t="shared" si="1"/>
        <v>25170030</v>
      </c>
      <c r="J33" s="270"/>
      <c r="K33" s="271"/>
      <c r="L33" s="257">
        <f t="shared" si="2"/>
        <v>0</v>
      </c>
      <c r="M33" s="261">
        <f t="shared" si="3"/>
        <v>25170030</v>
      </c>
    </row>
    <row r="34" spans="1:13" ht="34.5" customHeight="1">
      <c r="A34" s="262" t="s">
        <v>469</v>
      </c>
      <c r="B34" s="264" t="s">
        <v>967</v>
      </c>
      <c r="C34" s="263"/>
      <c r="D34" s="654"/>
      <c r="E34" s="655"/>
      <c r="F34" s="257">
        <f t="shared" si="0"/>
        <v>0</v>
      </c>
      <c r="G34" s="274">
        <v>17772766</v>
      </c>
      <c r="H34" s="268">
        <v>2497100</v>
      </c>
      <c r="I34" s="257">
        <f t="shared" si="1"/>
        <v>20269866</v>
      </c>
      <c r="J34" s="270"/>
      <c r="K34" s="271"/>
      <c r="L34" s="257">
        <f t="shared" si="2"/>
        <v>0</v>
      </c>
      <c r="M34" s="261">
        <f t="shared" si="3"/>
        <v>20269866</v>
      </c>
    </row>
    <row r="35" spans="1:13" ht="23.25" customHeight="1">
      <c r="A35" s="262" t="s">
        <v>502</v>
      </c>
      <c r="B35" s="264" t="s">
        <v>624</v>
      </c>
      <c r="C35" s="279"/>
      <c r="D35" s="656"/>
      <c r="E35" s="657"/>
      <c r="F35" s="257">
        <f t="shared" si="0"/>
        <v>0</v>
      </c>
      <c r="G35" s="278">
        <v>4592665</v>
      </c>
      <c r="H35" s="657"/>
      <c r="I35" s="257">
        <f t="shared" si="1"/>
        <v>4592665</v>
      </c>
      <c r="J35" s="270"/>
      <c r="K35" s="271"/>
      <c r="L35" s="257">
        <f t="shared" si="2"/>
        <v>0</v>
      </c>
      <c r="M35" s="261">
        <f t="shared" si="3"/>
        <v>4592665</v>
      </c>
    </row>
    <row r="36" spans="1:13" ht="24" customHeight="1">
      <c r="A36" s="262" t="s">
        <v>423</v>
      </c>
      <c r="B36" s="264" t="s">
        <v>670</v>
      </c>
      <c r="C36" s="273" t="s">
        <v>757</v>
      </c>
      <c r="D36" s="276">
        <v>56893304</v>
      </c>
      <c r="E36" s="277">
        <v>10986734</v>
      </c>
      <c r="F36" s="257">
        <f t="shared" si="0"/>
        <v>67880038</v>
      </c>
      <c r="G36" s="661"/>
      <c r="H36" s="657"/>
      <c r="I36" s="257">
        <f t="shared" si="1"/>
        <v>0</v>
      </c>
      <c r="J36" s="270"/>
      <c r="K36" s="271"/>
      <c r="L36" s="257">
        <f t="shared" si="2"/>
        <v>0</v>
      </c>
      <c r="M36" s="261">
        <f t="shared" si="3"/>
        <v>67880038</v>
      </c>
    </row>
    <row r="37" spans="1:13" ht="24">
      <c r="A37" s="262" t="s">
        <v>424</v>
      </c>
      <c r="B37" s="264" t="s">
        <v>626</v>
      </c>
      <c r="C37" s="263"/>
      <c r="D37" s="656"/>
      <c r="E37" s="657"/>
      <c r="F37" s="257">
        <f>SUM(D37:E37)</f>
        <v>0</v>
      </c>
      <c r="G37" s="278">
        <v>117194</v>
      </c>
      <c r="H37" s="657"/>
      <c r="I37" s="257">
        <f>SUM(G37:H37)</f>
        <v>117194</v>
      </c>
      <c r="J37" s="270"/>
      <c r="K37" s="271"/>
      <c r="L37" s="257">
        <f>SUM(J37:K37)</f>
        <v>0</v>
      </c>
      <c r="M37" s="261">
        <f>SUM(F37+I37+L37)</f>
        <v>117194</v>
      </c>
    </row>
    <row r="38" spans="1:13" ht="21.75" customHeight="1">
      <c r="A38" s="262" t="s">
        <v>425</v>
      </c>
      <c r="B38" s="280" t="s">
        <v>733</v>
      </c>
      <c r="C38" s="275"/>
      <c r="D38" s="654"/>
      <c r="E38" s="655"/>
      <c r="F38" s="257">
        <f t="shared" si="0"/>
        <v>0</v>
      </c>
      <c r="G38" s="269">
        <v>37171000</v>
      </c>
      <c r="H38" s="655"/>
      <c r="I38" s="257">
        <f t="shared" si="1"/>
        <v>37171000</v>
      </c>
      <c r="J38" s="270"/>
      <c r="K38" s="271"/>
      <c r="L38" s="257">
        <f t="shared" si="2"/>
        <v>0</v>
      </c>
      <c r="M38" s="261">
        <f t="shared" si="3"/>
        <v>37171000</v>
      </c>
    </row>
    <row r="39" spans="1:13" ht="21.75" customHeight="1">
      <c r="A39" s="262" t="s">
        <v>503</v>
      </c>
      <c r="B39" s="280" t="s">
        <v>940</v>
      </c>
      <c r="C39" s="275" t="s">
        <v>949</v>
      </c>
      <c r="D39" s="267">
        <v>4562000</v>
      </c>
      <c r="E39" s="655"/>
      <c r="F39" s="257">
        <f t="shared" si="0"/>
        <v>4562000</v>
      </c>
      <c r="G39" s="269"/>
      <c r="H39" s="655"/>
      <c r="I39" s="257">
        <f t="shared" si="1"/>
        <v>0</v>
      </c>
      <c r="J39" s="270"/>
      <c r="K39" s="271"/>
      <c r="L39" s="257">
        <f t="shared" si="2"/>
        <v>0</v>
      </c>
      <c r="M39" s="261">
        <f t="shared" si="3"/>
        <v>4562000</v>
      </c>
    </row>
    <row r="40" spans="1:13" ht="24" customHeight="1">
      <c r="A40" s="262" t="s">
        <v>426</v>
      </c>
      <c r="B40" s="264" t="s">
        <v>672</v>
      </c>
      <c r="C40" s="273" t="s">
        <v>762</v>
      </c>
      <c r="D40" s="276">
        <v>2114700</v>
      </c>
      <c r="E40" s="657"/>
      <c r="F40" s="257">
        <f>SUM(D40:E40)</f>
        <v>2114700</v>
      </c>
      <c r="G40" s="661"/>
      <c r="H40" s="657"/>
      <c r="I40" s="257">
        <f>SUM(G40:H40)</f>
        <v>0</v>
      </c>
      <c r="J40" s="270"/>
      <c r="K40" s="271"/>
      <c r="L40" s="257">
        <f aca="true" t="shared" si="4" ref="L40:L48">SUM(J40:K40)</f>
        <v>0</v>
      </c>
      <c r="M40" s="261">
        <f>SUM(F40+I40+L40)</f>
        <v>2114700</v>
      </c>
    </row>
    <row r="41" spans="1:13" ht="29.25" customHeight="1">
      <c r="A41" s="262" t="s">
        <v>443</v>
      </c>
      <c r="B41" s="280" t="s">
        <v>845</v>
      </c>
      <c r="C41" s="275"/>
      <c r="D41" s="654"/>
      <c r="E41" s="655"/>
      <c r="F41" s="257">
        <f t="shared" si="0"/>
        <v>0</v>
      </c>
      <c r="G41" s="269">
        <f>60353914+27815502+6738701+54417221+12762600+2999211+15053577+1564044</f>
        <v>181704770</v>
      </c>
      <c r="H41" s="268">
        <f>8983129+6528562</f>
        <v>15511691</v>
      </c>
      <c r="I41" s="257">
        <f t="shared" si="1"/>
        <v>197216461</v>
      </c>
      <c r="J41" s="270"/>
      <c r="K41" s="271"/>
      <c r="L41" s="257">
        <f t="shared" si="4"/>
        <v>0</v>
      </c>
      <c r="M41" s="261">
        <f t="shared" si="3"/>
        <v>197216461</v>
      </c>
    </row>
    <row r="42" spans="1:13" ht="29.25" customHeight="1">
      <c r="A42" s="262" t="s">
        <v>504</v>
      </c>
      <c r="B42" s="280" t="s">
        <v>951</v>
      </c>
      <c r="C42" s="257" t="s">
        <v>950</v>
      </c>
      <c r="D42" s="654"/>
      <c r="E42" s="655"/>
      <c r="F42" s="257">
        <f t="shared" si="0"/>
        <v>0</v>
      </c>
      <c r="G42" s="269">
        <v>3712000</v>
      </c>
      <c r="H42" s="655"/>
      <c r="I42" s="257">
        <f t="shared" si="1"/>
        <v>3712000</v>
      </c>
      <c r="J42" s="270"/>
      <c r="K42" s="271"/>
      <c r="L42" s="257">
        <f t="shared" si="4"/>
        <v>0</v>
      </c>
      <c r="M42" s="261">
        <f t="shared" si="3"/>
        <v>3712000</v>
      </c>
    </row>
    <row r="43" spans="1:13" ht="29.25" customHeight="1">
      <c r="A43" s="262" t="s">
        <v>505</v>
      </c>
      <c r="B43" s="280" t="s">
        <v>952</v>
      </c>
      <c r="C43" s="257" t="s">
        <v>950</v>
      </c>
      <c r="D43" s="654"/>
      <c r="E43" s="655"/>
      <c r="F43" s="257">
        <f t="shared" si="0"/>
        <v>0</v>
      </c>
      <c r="G43" s="269">
        <v>4717000</v>
      </c>
      <c r="H43" s="655"/>
      <c r="I43" s="257">
        <f t="shared" si="1"/>
        <v>4717000</v>
      </c>
      <c r="J43" s="270"/>
      <c r="K43" s="271"/>
      <c r="L43" s="257">
        <f t="shared" si="4"/>
        <v>0</v>
      </c>
      <c r="M43" s="261">
        <f t="shared" si="3"/>
        <v>4717000</v>
      </c>
    </row>
    <row r="44" spans="1:13" ht="21.75" customHeight="1">
      <c r="A44" s="262" t="s">
        <v>947</v>
      </c>
      <c r="B44" s="280" t="s">
        <v>465</v>
      </c>
      <c r="C44" s="275" t="s">
        <v>750</v>
      </c>
      <c r="D44" s="267">
        <f>2400000+200000+1838000</f>
        <v>4438000</v>
      </c>
      <c r="E44" s="655"/>
      <c r="F44" s="257">
        <f t="shared" si="0"/>
        <v>4438000</v>
      </c>
      <c r="G44" s="659"/>
      <c r="H44" s="655"/>
      <c r="I44" s="257">
        <f t="shared" si="1"/>
        <v>0</v>
      </c>
      <c r="J44" s="270"/>
      <c r="K44" s="271"/>
      <c r="L44" s="257">
        <f t="shared" si="4"/>
        <v>0</v>
      </c>
      <c r="M44" s="261">
        <f t="shared" si="3"/>
        <v>4438000</v>
      </c>
    </row>
    <row r="45" spans="1:13" ht="21.75" customHeight="1">
      <c r="A45" s="262" t="s">
        <v>948</v>
      </c>
      <c r="B45" s="280" t="s">
        <v>946</v>
      </c>
      <c r="C45" s="275" t="s">
        <v>953</v>
      </c>
      <c r="D45" s="267">
        <v>3719000</v>
      </c>
      <c r="E45" s="655"/>
      <c r="F45" s="257">
        <f t="shared" si="0"/>
        <v>3719000</v>
      </c>
      <c r="G45" s="659"/>
      <c r="H45" s="655"/>
      <c r="I45" s="257">
        <f t="shared" si="1"/>
        <v>0</v>
      </c>
      <c r="J45" s="270"/>
      <c r="K45" s="271"/>
      <c r="L45" s="257">
        <f t="shared" si="4"/>
        <v>0</v>
      </c>
      <c r="M45" s="261">
        <f t="shared" si="3"/>
        <v>3719000</v>
      </c>
    </row>
    <row r="46" spans="1:13" ht="26.25" customHeight="1">
      <c r="A46" s="262" t="s">
        <v>954</v>
      </c>
      <c r="B46" s="264" t="s">
        <v>630</v>
      </c>
      <c r="C46" s="257" t="s">
        <v>758</v>
      </c>
      <c r="D46" s="267">
        <v>2942222</v>
      </c>
      <c r="E46" s="655"/>
      <c r="F46" s="257">
        <f t="shared" si="0"/>
        <v>2942222</v>
      </c>
      <c r="G46" s="659"/>
      <c r="H46" s="655"/>
      <c r="I46" s="257">
        <f t="shared" si="1"/>
        <v>0</v>
      </c>
      <c r="J46" s="270"/>
      <c r="K46" s="271"/>
      <c r="L46" s="257">
        <f t="shared" si="4"/>
        <v>0</v>
      </c>
      <c r="M46" s="261">
        <f t="shared" si="3"/>
        <v>2942222</v>
      </c>
    </row>
    <row r="47" spans="1:13" s="234" customFormat="1" ht="27.75" customHeight="1">
      <c r="A47" s="262" t="s">
        <v>955</v>
      </c>
      <c r="B47" s="264" t="s">
        <v>387</v>
      </c>
      <c r="C47" s="263" t="s">
        <v>751</v>
      </c>
      <c r="D47" s="267">
        <v>2495000</v>
      </c>
      <c r="E47" s="268">
        <v>5000000</v>
      </c>
      <c r="F47" s="257">
        <f t="shared" si="0"/>
        <v>7495000</v>
      </c>
      <c r="G47" s="267">
        <v>3433000</v>
      </c>
      <c r="H47" s="655"/>
      <c r="I47" s="257">
        <f t="shared" si="1"/>
        <v>3433000</v>
      </c>
      <c r="J47" s="282"/>
      <c r="K47" s="282"/>
      <c r="L47" s="257">
        <f t="shared" si="4"/>
        <v>0</v>
      </c>
      <c r="M47" s="261">
        <f t="shared" si="3"/>
        <v>10928000</v>
      </c>
    </row>
    <row r="48" spans="1:13" ht="24.75" customHeight="1" thickBot="1">
      <c r="A48" s="262" t="s">
        <v>968</v>
      </c>
      <c r="B48" s="264" t="s">
        <v>627</v>
      </c>
      <c r="C48" s="284"/>
      <c r="D48" s="665"/>
      <c r="E48" s="666"/>
      <c r="F48" s="291">
        <f t="shared" si="0"/>
        <v>0</v>
      </c>
      <c r="G48" s="667">
        <v>7848600</v>
      </c>
      <c r="H48" s="666"/>
      <c r="I48" s="291">
        <f t="shared" si="1"/>
        <v>7848600</v>
      </c>
      <c r="J48" s="668"/>
      <c r="K48" s="668"/>
      <c r="L48" s="291">
        <f t="shared" si="4"/>
        <v>0</v>
      </c>
      <c r="M48" s="669">
        <f t="shared" si="3"/>
        <v>7848600</v>
      </c>
    </row>
    <row r="49" spans="1:16" s="234" customFormat="1" ht="14.25" thickBot="1">
      <c r="A49" s="1011" t="s">
        <v>734</v>
      </c>
      <c r="B49" s="1012"/>
      <c r="C49" s="1013"/>
      <c r="D49" s="289">
        <f aca="true" t="shared" si="5" ref="D49:M49">SUM(D9:D48)</f>
        <v>538600404</v>
      </c>
      <c r="E49" s="670">
        <f t="shared" si="5"/>
        <v>59788978</v>
      </c>
      <c r="F49" s="671">
        <f t="shared" si="5"/>
        <v>598389382</v>
      </c>
      <c r="G49" s="670">
        <f t="shared" si="5"/>
        <v>267822475</v>
      </c>
      <c r="H49" s="670">
        <f t="shared" si="5"/>
        <v>323234387</v>
      </c>
      <c r="I49" s="671">
        <f t="shared" si="5"/>
        <v>591056862</v>
      </c>
      <c r="J49" s="670">
        <f t="shared" si="5"/>
        <v>50369420</v>
      </c>
      <c r="K49" s="670">
        <f t="shared" si="5"/>
        <v>628000</v>
      </c>
      <c r="L49" s="671">
        <f t="shared" si="5"/>
        <v>50997420</v>
      </c>
      <c r="M49" s="671">
        <f t="shared" si="5"/>
        <v>1240443664</v>
      </c>
      <c r="P49" s="498">
        <f>SUM(L49,I49,F49)</f>
        <v>1240443664</v>
      </c>
    </row>
    <row r="50" spans="1:13" ht="30.75" customHeight="1">
      <c r="A50" s="266" t="s">
        <v>401</v>
      </c>
      <c r="B50" s="264" t="s">
        <v>63</v>
      </c>
      <c r="C50" s="254" t="s">
        <v>752</v>
      </c>
      <c r="D50" s="285">
        <f>119407796+385000+75075</f>
        <v>119867871</v>
      </c>
      <c r="E50" s="286">
        <v>1229404</v>
      </c>
      <c r="F50" s="257">
        <f>SUM(D50:E50)</f>
        <v>121097275</v>
      </c>
      <c r="G50" s="285"/>
      <c r="H50" s="286"/>
      <c r="I50" s="254">
        <f>SUM(G50:H50)</f>
        <v>0</v>
      </c>
      <c r="J50" s="285"/>
      <c r="K50" s="286"/>
      <c r="L50" s="254">
        <f>SUM(J50:K50)</f>
        <v>0</v>
      </c>
      <c r="M50" s="261">
        <f>SUM(L50,I50,F50)</f>
        <v>121097275</v>
      </c>
    </row>
    <row r="51" spans="1:13" ht="36">
      <c r="A51" s="266" t="s">
        <v>402</v>
      </c>
      <c r="B51" s="287" t="s">
        <v>633</v>
      </c>
      <c r="C51" s="288" t="s">
        <v>635</v>
      </c>
      <c r="D51" s="267">
        <v>6018160</v>
      </c>
      <c r="E51" s="268"/>
      <c r="F51" s="257">
        <f>SUM(D51:E51)</f>
        <v>6018160</v>
      </c>
      <c r="G51" s="267"/>
      <c r="H51" s="268"/>
      <c r="I51" s="257">
        <f>SUM(G51:H51)</f>
        <v>0</v>
      </c>
      <c r="J51" s="267"/>
      <c r="K51" s="268"/>
      <c r="L51" s="257">
        <f>SUM(J51:K51)</f>
        <v>0</v>
      </c>
      <c r="M51" s="261">
        <f>SUM(L51,I51,F51)</f>
        <v>6018160</v>
      </c>
    </row>
    <row r="52" spans="1:13" ht="24.75" thickBot="1">
      <c r="A52" s="815" t="s">
        <v>403</v>
      </c>
      <c r="B52" s="816" t="s">
        <v>963</v>
      </c>
      <c r="C52" s="817" t="s">
        <v>970</v>
      </c>
      <c r="D52" s="813">
        <v>1969798</v>
      </c>
      <c r="E52" s="814"/>
      <c r="F52" s="257">
        <f>SUM(D52:E52)</f>
        <v>1969798</v>
      </c>
      <c r="G52" s="813"/>
      <c r="H52" s="814"/>
      <c r="I52" s="257">
        <f>SUM(G52:H52)</f>
        <v>0</v>
      </c>
      <c r="J52" s="813"/>
      <c r="K52" s="814"/>
      <c r="L52" s="257">
        <f>SUM(J52:K52)</f>
        <v>0</v>
      </c>
      <c r="M52" s="261">
        <f>SUM(L52,I52,F52)</f>
        <v>1969798</v>
      </c>
    </row>
    <row r="53" spans="1:16" s="234" customFormat="1" ht="16.5" customHeight="1" thickBot="1">
      <c r="A53" s="1011" t="s">
        <v>506</v>
      </c>
      <c r="B53" s="1012"/>
      <c r="C53" s="1013"/>
      <c r="D53" s="289">
        <f aca="true" t="shared" si="6" ref="D53:M53">SUM(D50:D52)</f>
        <v>127855829</v>
      </c>
      <c r="E53" s="670">
        <f t="shared" si="6"/>
        <v>1229404</v>
      </c>
      <c r="F53" s="671">
        <f t="shared" si="6"/>
        <v>129085233</v>
      </c>
      <c r="G53" s="670">
        <f t="shared" si="6"/>
        <v>0</v>
      </c>
      <c r="H53" s="670">
        <f t="shared" si="6"/>
        <v>0</v>
      </c>
      <c r="I53" s="671">
        <f t="shared" si="6"/>
        <v>0</v>
      </c>
      <c r="J53" s="670">
        <f t="shared" si="6"/>
        <v>0</v>
      </c>
      <c r="K53" s="670">
        <f t="shared" si="6"/>
        <v>0</v>
      </c>
      <c r="L53" s="671">
        <f t="shared" si="6"/>
        <v>0</v>
      </c>
      <c r="M53" s="671">
        <f t="shared" si="6"/>
        <v>129085233</v>
      </c>
      <c r="P53" s="498"/>
    </row>
    <row r="54" spans="1:13" ht="23.25" customHeight="1">
      <c r="A54" s="252" t="s">
        <v>401</v>
      </c>
      <c r="B54" s="292" t="s">
        <v>507</v>
      </c>
      <c r="C54" s="273" t="s">
        <v>757</v>
      </c>
      <c r="D54" s="293">
        <v>30823296</v>
      </c>
      <c r="E54" s="294"/>
      <c r="F54" s="291">
        <f aca="true" t="shared" si="7" ref="F54:F63">SUM(D54:E54)</f>
        <v>30823296</v>
      </c>
      <c r="G54" s="293"/>
      <c r="H54" s="294"/>
      <c r="I54" s="291">
        <f aca="true" t="shared" si="8" ref="I54:I63">SUM(G54:H54)</f>
        <v>0</v>
      </c>
      <c r="J54" s="293"/>
      <c r="K54" s="294"/>
      <c r="L54" s="291">
        <f aca="true" t="shared" si="9" ref="L54:L63">SUM(J54:K54)</f>
        <v>0</v>
      </c>
      <c r="M54" s="261">
        <f aca="true" t="shared" si="10" ref="M54:M63">SUM(L54,I54,F54)</f>
        <v>30823296</v>
      </c>
    </row>
    <row r="55" spans="1:13" ht="23.25" customHeight="1">
      <c r="A55" s="262" t="s">
        <v>402</v>
      </c>
      <c r="B55" s="264" t="s">
        <v>508</v>
      </c>
      <c r="C55" s="306" t="s">
        <v>753</v>
      </c>
      <c r="D55" s="276">
        <f>128358348-7297240-1422962-336000-65520-96000-170000+433600+84552</f>
        <v>119488778</v>
      </c>
      <c r="E55" s="277">
        <v>139700</v>
      </c>
      <c r="F55" s="257">
        <f t="shared" si="7"/>
        <v>119628478</v>
      </c>
      <c r="G55" s="283"/>
      <c r="H55" s="281"/>
      <c r="I55" s="257">
        <f t="shared" si="8"/>
        <v>0</v>
      </c>
      <c r="J55" s="270"/>
      <c r="K55" s="270"/>
      <c r="L55" s="257">
        <f t="shared" si="9"/>
        <v>0</v>
      </c>
      <c r="M55" s="261">
        <f t="shared" si="10"/>
        <v>119628478</v>
      </c>
    </row>
    <row r="56" spans="1:13" ht="23.25" customHeight="1">
      <c r="A56" s="262" t="s">
        <v>403</v>
      </c>
      <c r="B56" s="264" t="s">
        <v>509</v>
      </c>
      <c r="C56" s="273" t="s">
        <v>753</v>
      </c>
      <c r="D56" s="276">
        <v>13449095</v>
      </c>
      <c r="E56" s="277"/>
      <c r="F56" s="257">
        <f t="shared" si="7"/>
        <v>13449095</v>
      </c>
      <c r="G56" s="283"/>
      <c r="H56" s="281"/>
      <c r="I56" s="257">
        <f t="shared" si="8"/>
        <v>0</v>
      </c>
      <c r="J56" s="270"/>
      <c r="K56" s="270"/>
      <c r="L56" s="257">
        <f t="shared" si="9"/>
        <v>0</v>
      </c>
      <c r="M56" s="261">
        <f t="shared" si="10"/>
        <v>13449095</v>
      </c>
    </row>
    <row r="57" spans="1:13" ht="23.25" customHeight="1">
      <c r="A57" s="262" t="s">
        <v>404</v>
      </c>
      <c r="B57" s="264" t="s">
        <v>600</v>
      </c>
      <c r="C57" s="306" t="s">
        <v>634</v>
      </c>
      <c r="D57" s="276">
        <v>23996793</v>
      </c>
      <c r="E57" s="277">
        <v>88900</v>
      </c>
      <c r="F57" s="257">
        <f t="shared" si="7"/>
        <v>24085693</v>
      </c>
      <c r="G57" s="283"/>
      <c r="H57" s="281"/>
      <c r="I57" s="257">
        <f t="shared" si="8"/>
        <v>0</v>
      </c>
      <c r="J57" s="270"/>
      <c r="K57" s="270"/>
      <c r="L57" s="257">
        <f t="shared" si="9"/>
        <v>0</v>
      </c>
      <c r="M57" s="261">
        <f t="shared" si="10"/>
        <v>24085693</v>
      </c>
    </row>
    <row r="58" spans="1:13" ht="23.25" customHeight="1">
      <c r="A58" s="262" t="s">
        <v>405</v>
      </c>
      <c r="B58" s="264" t="s">
        <v>735</v>
      </c>
      <c r="C58" s="306" t="s">
        <v>759</v>
      </c>
      <c r="D58" s="276">
        <v>18371172</v>
      </c>
      <c r="E58" s="277">
        <v>76200</v>
      </c>
      <c r="F58" s="257">
        <f t="shared" si="7"/>
        <v>18447372</v>
      </c>
      <c r="G58" s="283"/>
      <c r="H58" s="281"/>
      <c r="I58" s="257">
        <f t="shared" si="8"/>
        <v>0</v>
      </c>
      <c r="J58" s="270"/>
      <c r="K58" s="270"/>
      <c r="L58" s="257">
        <f t="shared" si="9"/>
        <v>0</v>
      </c>
      <c r="M58" s="261">
        <f t="shared" si="10"/>
        <v>18447372</v>
      </c>
    </row>
    <row r="59" spans="1:13" ht="23.25" customHeight="1">
      <c r="A59" s="262" t="s">
        <v>406</v>
      </c>
      <c r="B59" s="264" t="s">
        <v>736</v>
      </c>
      <c r="C59" s="306" t="s">
        <v>760</v>
      </c>
      <c r="D59" s="276"/>
      <c r="E59" s="277"/>
      <c r="F59" s="257">
        <f t="shared" si="7"/>
        <v>0</v>
      </c>
      <c r="G59" s="276">
        <f>11506731+66000+12870</f>
        <v>11585601</v>
      </c>
      <c r="H59" s="277"/>
      <c r="I59" s="257">
        <f t="shared" si="8"/>
        <v>11585601</v>
      </c>
      <c r="J59" s="270"/>
      <c r="K59" s="270"/>
      <c r="L59" s="257">
        <f t="shared" si="9"/>
        <v>0</v>
      </c>
      <c r="M59" s="261">
        <f t="shared" si="10"/>
        <v>11585601</v>
      </c>
    </row>
    <row r="60" spans="1:13" ht="23.25" customHeight="1">
      <c r="A60" s="262" t="s">
        <v>407</v>
      </c>
      <c r="B60" s="264" t="s">
        <v>737</v>
      </c>
      <c r="C60" s="273" t="s">
        <v>757</v>
      </c>
      <c r="D60" s="276"/>
      <c r="E60" s="277"/>
      <c r="F60" s="257">
        <f t="shared" si="7"/>
        <v>0</v>
      </c>
      <c r="G60" s="276">
        <v>2665263</v>
      </c>
      <c r="H60" s="277"/>
      <c r="I60" s="257">
        <f t="shared" si="8"/>
        <v>2665263</v>
      </c>
      <c r="J60" s="270"/>
      <c r="K60" s="270"/>
      <c r="L60" s="257">
        <f t="shared" si="9"/>
        <v>0</v>
      </c>
      <c r="M60" s="261">
        <f t="shared" si="10"/>
        <v>2665263</v>
      </c>
    </row>
    <row r="61" spans="1:13" ht="23.25" customHeight="1">
      <c r="A61" s="262" t="s">
        <v>408</v>
      </c>
      <c r="B61" s="292" t="s">
        <v>560</v>
      </c>
      <c r="C61" s="273" t="s">
        <v>761</v>
      </c>
      <c r="D61" s="293"/>
      <c r="E61" s="294"/>
      <c r="F61" s="291">
        <f t="shared" si="7"/>
        <v>0</v>
      </c>
      <c r="G61" s="293">
        <f>6245112+3</f>
        <v>6245115</v>
      </c>
      <c r="H61" s="294"/>
      <c r="I61" s="291">
        <f t="shared" si="8"/>
        <v>6245115</v>
      </c>
      <c r="J61" s="293"/>
      <c r="K61" s="294"/>
      <c r="L61" s="291">
        <f t="shared" si="9"/>
        <v>0</v>
      </c>
      <c r="M61" s="261">
        <f t="shared" si="10"/>
        <v>6245115</v>
      </c>
    </row>
    <row r="62" spans="1:13" ht="39" customHeight="1">
      <c r="A62" s="262" t="s">
        <v>409</v>
      </c>
      <c r="B62" s="292" t="s">
        <v>965</v>
      </c>
      <c r="C62" s="306"/>
      <c r="D62" s="276"/>
      <c r="E62" s="277"/>
      <c r="F62" s="291">
        <f t="shared" si="7"/>
        <v>0</v>
      </c>
      <c r="G62" s="276">
        <v>43407259</v>
      </c>
      <c r="H62" s="277">
        <v>1687190</v>
      </c>
      <c r="I62" s="291">
        <f t="shared" si="8"/>
        <v>45094449</v>
      </c>
      <c r="J62" s="270"/>
      <c r="K62" s="270"/>
      <c r="L62" s="291">
        <f t="shared" si="9"/>
        <v>0</v>
      </c>
      <c r="M62" s="261">
        <f t="shared" si="10"/>
        <v>45094449</v>
      </c>
    </row>
    <row r="63" spans="1:13" ht="26.25" customHeight="1" thickBot="1">
      <c r="A63" s="262" t="s">
        <v>410</v>
      </c>
      <c r="B63" s="292" t="s">
        <v>964</v>
      </c>
      <c r="C63" s="273"/>
      <c r="D63" s="276"/>
      <c r="E63" s="277"/>
      <c r="F63" s="291">
        <f t="shared" si="7"/>
        <v>0</v>
      </c>
      <c r="G63" s="276">
        <v>31099867</v>
      </c>
      <c r="H63" s="277">
        <v>2412553</v>
      </c>
      <c r="I63" s="291">
        <f t="shared" si="8"/>
        <v>33512420</v>
      </c>
      <c r="J63" s="270"/>
      <c r="K63" s="270"/>
      <c r="L63" s="291">
        <f t="shared" si="9"/>
        <v>0</v>
      </c>
      <c r="M63" s="261">
        <f t="shared" si="10"/>
        <v>33512420</v>
      </c>
    </row>
    <row r="64" spans="1:16" s="234" customFormat="1" ht="29.25" customHeight="1" thickBot="1">
      <c r="A64" s="1020" t="s">
        <v>865</v>
      </c>
      <c r="B64" s="1021"/>
      <c r="C64" s="1022"/>
      <c r="D64" s="289">
        <f>SUM(D54:D63)</f>
        <v>206129134</v>
      </c>
      <c r="E64" s="670">
        <f aca="true" t="shared" si="11" ref="E64:M64">SUM(E54:E63)</f>
        <v>304800</v>
      </c>
      <c r="F64" s="671">
        <f t="shared" si="11"/>
        <v>206433934</v>
      </c>
      <c r="G64" s="670">
        <f t="shared" si="11"/>
        <v>95003105</v>
      </c>
      <c r="H64" s="670">
        <f t="shared" si="11"/>
        <v>4099743</v>
      </c>
      <c r="I64" s="671">
        <f t="shared" si="11"/>
        <v>99102848</v>
      </c>
      <c r="J64" s="670">
        <f t="shared" si="11"/>
        <v>0</v>
      </c>
      <c r="K64" s="670">
        <f t="shared" si="11"/>
        <v>0</v>
      </c>
      <c r="L64" s="671">
        <f t="shared" si="11"/>
        <v>0</v>
      </c>
      <c r="M64" s="671">
        <f t="shared" si="11"/>
        <v>305536782</v>
      </c>
      <c r="P64" s="498">
        <f>SUM(L64,I64,F64)</f>
        <v>305536782</v>
      </c>
    </row>
    <row r="65" spans="1:13" ht="32.25" customHeight="1">
      <c r="A65" s="262" t="s">
        <v>401</v>
      </c>
      <c r="B65" s="272" t="s">
        <v>559</v>
      </c>
      <c r="C65" s="263" t="s">
        <v>747</v>
      </c>
      <c r="D65" s="267">
        <v>1100000</v>
      </c>
      <c r="E65" s="268"/>
      <c r="F65" s="257">
        <f>SUM(D65:E65)</f>
        <v>1100000</v>
      </c>
      <c r="G65" s="269"/>
      <c r="H65" s="268"/>
      <c r="I65" s="257">
        <f>SUM(G65:H65)</f>
        <v>0</v>
      </c>
      <c r="J65" s="270"/>
      <c r="K65" s="271"/>
      <c r="L65" s="257">
        <f>SUM(J65:K65)</f>
        <v>0</v>
      </c>
      <c r="M65" s="261">
        <f>SUM(F65+I65+L65)</f>
        <v>1100000</v>
      </c>
    </row>
    <row r="66" spans="1:13" ht="22.5" customHeight="1">
      <c r="A66" s="262" t="s">
        <v>402</v>
      </c>
      <c r="B66" s="280" t="s">
        <v>391</v>
      </c>
      <c r="C66" s="275" t="s">
        <v>747</v>
      </c>
      <c r="D66" s="267">
        <v>6307871</v>
      </c>
      <c r="E66" s="268"/>
      <c r="F66" s="257">
        <f>SUM(D66:E66)</f>
        <v>6307871</v>
      </c>
      <c r="G66" s="269"/>
      <c r="H66" s="268"/>
      <c r="I66" s="257">
        <f>SUM(G66:H66)</f>
        <v>0</v>
      </c>
      <c r="J66" s="270"/>
      <c r="K66" s="271"/>
      <c r="L66" s="257">
        <f>SUM(J66:K66)</f>
        <v>0</v>
      </c>
      <c r="M66" s="261">
        <f>SUM(F66+I66+L66)</f>
        <v>6307871</v>
      </c>
    </row>
    <row r="67" spans="1:13" ht="21.75" customHeight="1">
      <c r="A67" s="262" t="s">
        <v>403</v>
      </c>
      <c r="B67" s="280" t="s">
        <v>87</v>
      </c>
      <c r="C67" s="275" t="s">
        <v>748</v>
      </c>
      <c r="D67" s="267"/>
      <c r="E67" s="268"/>
      <c r="F67" s="257">
        <f>SUM(D67:E67)</f>
        <v>0</v>
      </c>
      <c r="G67" s="269">
        <v>49530</v>
      </c>
      <c r="H67" s="268"/>
      <c r="I67" s="257">
        <f>SUM(G67:H67)</f>
        <v>49530</v>
      </c>
      <c r="J67" s="270"/>
      <c r="K67" s="271"/>
      <c r="L67" s="257">
        <f>SUM(J67:K67)</f>
        <v>0</v>
      </c>
      <c r="M67" s="261">
        <f>SUM(F67+I67+L67)</f>
        <v>49530</v>
      </c>
    </row>
    <row r="68" spans="1:13" ht="33.75" customHeight="1" thickBot="1">
      <c r="A68" s="262" t="s">
        <v>404</v>
      </c>
      <c r="B68" s="264" t="s">
        <v>83</v>
      </c>
      <c r="C68" s="279" t="s">
        <v>749</v>
      </c>
      <c r="D68" s="276">
        <f>22766189-3000000-103900</f>
        <v>19662289</v>
      </c>
      <c r="E68" s="277">
        <v>103900</v>
      </c>
      <c r="F68" s="257">
        <f>SUM(D68:E68)</f>
        <v>19766189</v>
      </c>
      <c r="G68" s="278"/>
      <c r="H68" s="277"/>
      <c r="I68" s="257">
        <f>SUM(G68:H68)</f>
        <v>0</v>
      </c>
      <c r="J68" s="270"/>
      <c r="K68" s="271"/>
      <c r="L68" s="257">
        <f>SUM(J68:K68)</f>
        <v>0</v>
      </c>
      <c r="M68" s="261">
        <f>SUM(F68+I68+L68)</f>
        <v>19766189</v>
      </c>
    </row>
    <row r="69" spans="1:16" ht="27.75" customHeight="1" thickBot="1">
      <c r="A69" s="1020" t="s">
        <v>928</v>
      </c>
      <c r="B69" s="1021"/>
      <c r="C69" s="1022"/>
      <c r="D69" s="295">
        <f>SUM(D65:D68)</f>
        <v>27070160</v>
      </c>
      <c r="E69" s="496">
        <f aca="true" t="shared" si="12" ref="E69:K69">SUM(E65:E68)</f>
        <v>103900</v>
      </c>
      <c r="F69" s="495">
        <f t="shared" si="12"/>
        <v>27174060</v>
      </c>
      <c r="G69" s="295">
        <f t="shared" si="12"/>
        <v>49530</v>
      </c>
      <c r="H69" s="496">
        <f t="shared" si="12"/>
        <v>0</v>
      </c>
      <c r="I69" s="495">
        <f t="shared" si="12"/>
        <v>49530</v>
      </c>
      <c r="J69" s="295">
        <f t="shared" si="12"/>
        <v>0</v>
      </c>
      <c r="K69" s="496">
        <f t="shared" si="12"/>
        <v>0</v>
      </c>
      <c r="L69" s="495">
        <f>SUM(L65:L68)</f>
        <v>0</v>
      </c>
      <c r="M69" s="290">
        <f>SUM(M65:M68)</f>
        <v>27223590</v>
      </c>
      <c r="P69" s="499"/>
    </row>
    <row r="70" spans="1:13" s="238" customFormat="1" ht="16.5" thickBot="1">
      <c r="A70" s="1008" t="s">
        <v>510</v>
      </c>
      <c r="B70" s="1009"/>
      <c r="C70" s="1010"/>
      <c r="D70" s="296">
        <f>D49+D53+D64+D69</f>
        <v>899655527</v>
      </c>
      <c r="E70" s="296">
        <f aca="true" t="shared" si="13" ref="E70:M70">E49+E53+E64+E69</f>
        <v>61427082</v>
      </c>
      <c r="F70" s="662">
        <f t="shared" si="13"/>
        <v>961082609</v>
      </c>
      <c r="G70" s="296">
        <f t="shared" si="13"/>
        <v>362875110</v>
      </c>
      <c r="H70" s="296">
        <f t="shared" si="13"/>
        <v>327334130</v>
      </c>
      <c r="I70" s="297">
        <f t="shared" si="13"/>
        <v>690209240</v>
      </c>
      <c r="J70" s="497">
        <f t="shared" si="13"/>
        <v>50369420</v>
      </c>
      <c r="K70" s="663">
        <f t="shared" si="13"/>
        <v>628000</v>
      </c>
      <c r="L70" s="664">
        <f t="shared" si="13"/>
        <v>50997420</v>
      </c>
      <c r="M70" s="298">
        <f t="shared" si="13"/>
        <v>1702289269</v>
      </c>
    </row>
    <row r="73" spans="1:2" ht="12.75">
      <c r="A73" s="173" t="s">
        <v>511</v>
      </c>
      <c r="B73" s="173" t="s">
        <v>512</v>
      </c>
    </row>
    <row r="74" spans="1:8" ht="12.75">
      <c r="A74" s="173" t="s">
        <v>513</v>
      </c>
      <c r="B74" s="173" t="s">
        <v>514</v>
      </c>
      <c r="G74" s="173">
        <v>12</v>
      </c>
      <c r="H74" s="876" t="s">
        <v>1041</v>
      </c>
    </row>
    <row r="75" spans="1:2" ht="12.75">
      <c r="A75" s="173" t="s">
        <v>515</v>
      </c>
      <c r="B75" s="173" t="s">
        <v>516</v>
      </c>
    </row>
    <row r="76" spans="1:2" ht="12.75">
      <c r="A76" s="173" t="s">
        <v>517</v>
      </c>
      <c r="B76" s="173" t="s">
        <v>518</v>
      </c>
    </row>
    <row r="77" spans="1:2" ht="12.75">
      <c r="A77" s="173" t="s">
        <v>519</v>
      </c>
      <c r="B77" s="173" t="s">
        <v>520</v>
      </c>
    </row>
    <row r="78" spans="1:2" ht="12.75">
      <c r="A78" s="173" t="s">
        <v>863</v>
      </c>
      <c r="B78" s="173" t="s">
        <v>864</v>
      </c>
    </row>
    <row r="79" spans="1:2" ht="12.75">
      <c r="A79" s="173" t="s">
        <v>632</v>
      </c>
      <c r="B79" s="173" t="s">
        <v>631</v>
      </c>
    </row>
    <row r="80" spans="1:2" ht="12.75">
      <c r="A80" s="173" t="s">
        <v>970</v>
      </c>
      <c r="B80" s="173" t="s">
        <v>969</v>
      </c>
    </row>
  </sheetData>
  <sheetProtection/>
  <mergeCells count="15">
    <mergeCell ref="G1:M1"/>
    <mergeCell ref="M6:M8"/>
    <mergeCell ref="A3:M4"/>
    <mergeCell ref="C6:C8"/>
    <mergeCell ref="G6:I7"/>
    <mergeCell ref="J6:L7"/>
    <mergeCell ref="A70:C70"/>
    <mergeCell ref="A53:C53"/>
    <mergeCell ref="D6:F7"/>
    <mergeCell ref="A64:C64"/>
    <mergeCell ref="B5:B8"/>
    <mergeCell ref="A5:A8"/>
    <mergeCell ref="C5:M5"/>
    <mergeCell ref="A49:C49"/>
    <mergeCell ref="A69:C69"/>
  </mergeCells>
  <printOptions horizontalCentered="1"/>
  <pageMargins left="0.3937007874015748" right="0.3937007874015748" top="0.9055118110236221" bottom="0.7874015748031497" header="0.5118110236220472" footer="0.5118110236220472"/>
  <pageSetup horizontalDpi="600" verticalDpi="600" orientation="landscape" paperSize="9" scale="66" r:id="rId1"/>
  <rowBreaks count="2" manualBreakCount="2">
    <brk id="29" max="12" man="1"/>
    <brk id="53" max="12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HO67"/>
  <sheetViews>
    <sheetView zoomScalePageLayoutView="0" workbookViewId="0" topLeftCell="T1">
      <selection activeCell="T1" sqref="T1:AB1"/>
    </sheetView>
  </sheetViews>
  <sheetFormatPr defaultColWidth="9.00390625" defaultRowHeight="12.75"/>
  <cols>
    <col min="1" max="2" width="9.125" style="173" customWidth="1"/>
    <col min="3" max="3" width="19.125" style="173" customWidth="1"/>
    <col min="4" max="4" width="18.00390625" style="173" bestFit="1" customWidth="1"/>
    <col min="5" max="5" width="15.75390625" style="173" bestFit="1" customWidth="1"/>
    <col min="6" max="6" width="18.00390625" style="173" bestFit="1" customWidth="1"/>
    <col min="7" max="7" width="12.625" style="173" customWidth="1"/>
    <col min="8" max="8" width="18.875" style="173" customWidth="1"/>
    <col min="9" max="9" width="9.25390625" style="173" bestFit="1" customWidth="1"/>
    <col min="10" max="10" width="11.375" style="173" bestFit="1" customWidth="1"/>
    <col min="11" max="11" width="19.25390625" style="173" customWidth="1"/>
    <col min="12" max="12" width="9.75390625" style="173" customWidth="1"/>
    <col min="13" max="13" width="9.125" style="173" customWidth="1"/>
    <col min="14" max="14" width="12.625" style="173" customWidth="1"/>
    <col min="15" max="15" width="8.125" style="173" customWidth="1"/>
    <col min="16" max="16" width="10.375" style="173" bestFit="1" customWidth="1"/>
    <col min="17" max="17" width="14.00390625" style="173" bestFit="1" customWidth="1"/>
    <col min="18" max="20" width="9.125" style="173" customWidth="1"/>
    <col min="21" max="21" width="9.875" style="173" customWidth="1"/>
    <col min="22" max="22" width="13.125" style="173" customWidth="1"/>
    <col min="23" max="23" width="16.625" style="173" bestFit="1" customWidth="1"/>
    <col min="24" max="24" width="18.00390625" style="307" bestFit="1" customWidth="1"/>
    <col min="25" max="25" width="18.25390625" style="307" customWidth="1"/>
    <col min="26" max="26" width="18.75390625" style="307" customWidth="1"/>
    <col min="27" max="27" width="19.75390625" style="307" bestFit="1" customWidth="1"/>
    <col min="28" max="28" width="17.375" style="307" bestFit="1" customWidth="1"/>
    <col min="29" max="29" width="19.75390625" style="307" bestFit="1" customWidth="1"/>
    <col min="30" max="223" width="9.125" style="307" customWidth="1"/>
    <col min="224" max="16384" width="9.125" style="173" customWidth="1"/>
  </cols>
  <sheetData>
    <row r="1" spans="1:28" ht="15">
      <c r="A1" s="240"/>
      <c r="B1" s="241"/>
      <c r="C1" s="242"/>
      <c r="H1" s="241"/>
      <c r="I1" s="241"/>
      <c r="J1" s="241"/>
      <c r="K1" s="243"/>
      <c r="L1" s="243"/>
      <c r="M1" s="243"/>
      <c r="N1" s="241"/>
      <c r="T1" s="1121" t="s">
        <v>1048</v>
      </c>
      <c r="U1" s="1122"/>
      <c r="V1" s="1122"/>
      <c r="W1" s="1122"/>
      <c r="X1" s="1123"/>
      <c r="Y1" s="1123"/>
      <c r="Z1" s="1123"/>
      <c r="AA1" s="1123"/>
      <c r="AB1" s="1123"/>
    </row>
    <row r="2" spans="1:14" ht="12.75">
      <c r="A2" s="240"/>
      <c r="B2" s="241"/>
      <c r="C2" s="242"/>
      <c r="D2" s="244"/>
      <c r="E2" s="245"/>
      <c r="F2" s="245"/>
      <c r="G2" s="245"/>
      <c r="H2" s="241"/>
      <c r="I2" s="241"/>
      <c r="J2" s="241"/>
      <c r="K2" s="243"/>
      <c r="L2" s="243"/>
      <c r="M2" s="243"/>
      <c r="N2" s="241"/>
    </row>
    <row r="3" spans="1:29" ht="15.75" customHeight="1">
      <c r="A3" s="1109" t="s">
        <v>866</v>
      </c>
      <c r="B3" s="1109"/>
      <c r="C3" s="1109"/>
      <c r="D3" s="1109"/>
      <c r="E3" s="1109"/>
      <c r="F3" s="1109"/>
      <c r="G3" s="1109"/>
      <c r="H3" s="1109"/>
      <c r="I3" s="1109"/>
      <c r="J3" s="1109"/>
      <c r="K3" s="1109"/>
      <c r="L3" s="1109"/>
      <c r="M3" s="1109"/>
      <c r="N3" s="1109"/>
      <c r="O3" s="1109"/>
      <c r="P3" s="1109"/>
      <c r="Q3" s="1109"/>
      <c r="R3" s="1109"/>
      <c r="S3" s="1109"/>
      <c r="T3" s="1109"/>
      <c r="U3" s="1109"/>
      <c r="V3" s="1109"/>
      <c r="W3" s="1109"/>
      <c r="X3" s="1109"/>
      <c r="Y3" s="1109"/>
      <c r="Z3" s="1109"/>
      <c r="AA3" s="1109"/>
      <c r="AB3" s="1109"/>
      <c r="AC3" s="1109"/>
    </row>
    <row r="4" spans="1:29" ht="15.75" customHeight="1">
      <c r="A4" s="490"/>
      <c r="B4" s="490"/>
      <c r="C4" s="490"/>
      <c r="D4" s="490"/>
      <c r="E4" s="490"/>
      <c r="F4" s="490"/>
      <c r="G4" s="490"/>
      <c r="H4" s="490"/>
      <c r="I4" s="490"/>
      <c r="J4" s="490"/>
      <c r="K4" s="490"/>
      <c r="L4" s="490"/>
      <c r="M4" s="490"/>
      <c r="N4" s="490"/>
      <c r="O4" s="490"/>
      <c r="P4" s="490"/>
      <c r="Q4" s="490"/>
      <c r="R4" s="490"/>
      <c r="S4" s="490"/>
      <c r="T4" s="490"/>
      <c r="U4" s="490"/>
      <c r="V4" s="490"/>
      <c r="W4" s="490"/>
      <c r="X4" s="490"/>
      <c r="Y4" s="490"/>
      <c r="Z4" s="490"/>
      <c r="AA4" s="490"/>
      <c r="AB4" s="490"/>
      <c r="AC4" s="490"/>
    </row>
    <row r="5" spans="1:29" ht="13.5" customHeight="1" thickBot="1">
      <c r="A5" s="491"/>
      <c r="B5" s="491"/>
      <c r="C5" s="491"/>
      <c r="D5" s="491"/>
      <c r="E5" s="491"/>
      <c r="F5" s="491"/>
      <c r="G5" s="491"/>
      <c r="H5" s="491"/>
      <c r="I5" s="491"/>
      <c r="J5" s="491"/>
      <c r="K5" s="491"/>
      <c r="L5" s="491"/>
      <c r="M5" s="491"/>
      <c r="N5" s="491"/>
      <c r="O5" s="491"/>
      <c r="P5" s="491"/>
      <c r="Q5" s="491"/>
      <c r="R5" s="491"/>
      <c r="S5" s="491"/>
      <c r="T5" s="491"/>
      <c r="U5" s="491"/>
      <c r="V5" s="491"/>
      <c r="W5" s="491"/>
      <c r="X5" s="491"/>
      <c r="Y5" s="491"/>
      <c r="Z5" s="491"/>
      <c r="AA5" s="491"/>
      <c r="AB5" s="491"/>
      <c r="AC5" s="491"/>
    </row>
    <row r="6" spans="1:223" s="308" customFormat="1" ht="15" customHeight="1" thickBot="1" thickTop="1">
      <c r="A6" s="1129" t="s">
        <v>91</v>
      </c>
      <c r="B6" s="1130"/>
      <c r="C6" s="1130"/>
      <c r="D6" s="1138" t="s">
        <v>370</v>
      </c>
      <c r="E6" s="1082"/>
      <c r="F6" s="1139"/>
      <c r="G6" s="1103" t="s">
        <v>521</v>
      </c>
      <c r="H6" s="1104"/>
      <c r="I6" s="1104"/>
      <c r="J6" s="1104"/>
      <c r="K6" s="1105"/>
      <c r="L6" s="1081" t="s">
        <v>522</v>
      </c>
      <c r="M6" s="1133"/>
      <c r="N6" s="1133"/>
      <c r="O6" s="1133"/>
      <c r="P6" s="1133"/>
      <c r="Q6" s="1134"/>
      <c r="R6" s="1081" t="s">
        <v>523</v>
      </c>
      <c r="S6" s="1133"/>
      <c r="T6" s="1133"/>
      <c r="U6" s="1133"/>
      <c r="V6" s="1133"/>
      <c r="W6" s="1133"/>
      <c r="X6" s="1124" t="s">
        <v>524</v>
      </c>
      <c r="Y6" s="1125"/>
      <c r="Z6" s="1125"/>
      <c r="AA6" s="1126" t="s">
        <v>92</v>
      </c>
      <c r="AB6" s="1127"/>
      <c r="AC6" s="1128"/>
      <c r="AD6" s="307"/>
      <c r="AE6" s="307"/>
      <c r="AF6" s="307"/>
      <c r="AG6" s="307"/>
      <c r="AH6" s="307"/>
      <c r="AI6" s="307"/>
      <c r="AJ6" s="307"/>
      <c r="AK6" s="307"/>
      <c r="AL6" s="307"/>
      <c r="AM6" s="307"/>
      <c r="AN6" s="307"/>
      <c r="AO6" s="307"/>
      <c r="AP6" s="307"/>
      <c r="AQ6" s="307"/>
      <c r="AR6" s="307"/>
      <c r="AS6" s="307"/>
      <c r="AT6" s="307"/>
      <c r="AU6" s="307"/>
      <c r="AV6" s="307"/>
      <c r="AW6" s="307"/>
      <c r="AX6" s="307"/>
      <c r="AY6" s="307"/>
      <c r="AZ6" s="307"/>
      <c r="BA6" s="307"/>
      <c r="BB6" s="307"/>
      <c r="BC6" s="307"/>
      <c r="BD6" s="307"/>
      <c r="BE6" s="307"/>
      <c r="BF6" s="307"/>
      <c r="BG6" s="307"/>
      <c r="BH6" s="307"/>
      <c r="BI6" s="307"/>
      <c r="BJ6" s="307"/>
      <c r="BK6" s="307"/>
      <c r="BL6" s="307"/>
      <c r="BM6" s="307"/>
      <c r="BN6" s="307"/>
      <c r="BO6" s="307"/>
      <c r="BP6" s="307"/>
      <c r="BQ6" s="307"/>
      <c r="BR6" s="307"/>
      <c r="BS6" s="307"/>
      <c r="BT6" s="307"/>
      <c r="BU6" s="307"/>
      <c r="BV6" s="307"/>
      <c r="BW6" s="307"/>
      <c r="BX6" s="307"/>
      <c r="BY6" s="307"/>
      <c r="BZ6" s="307"/>
      <c r="CA6" s="307"/>
      <c r="CB6" s="307"/>
      <c r="CC6" s="307"/>
      <c r="CD6" s="307"/>
      <c r="CE6" s="307"/>
      <c r="CF6" s="307"/>
      <c r="CG6" s="307"/>
      <c r="CH6" s="307"/>
      <c r="CI6" s="307"/>
      <c r="CJ6" s="307"/>
      <c r="CK6" s="307"/>
      <c r="CL6" s="307"/>
      <c r="CM6" s="307"/>
      <c r="CN6" s="307"/>
      <c r="CO6" s="307"/>
      <c r="CP6" s="307"/>
      <c r="CQ6" s="307"/>
      <c r="CR6" s="307"/>
      <c r="CS6" s="307"/>
      <c r="CT6" s="307"/>
      <c r="CU6" s="307"/>
      <c r="CV6" s="307"/>
      <c r="CW6" s="307"/>
      <c r="CX6" s="307"/>
      <c r="CY6" s="307"/>
      <c r="CZ6" s="307"/>
      <c r="DA6" s="307"/>
      <c r="DB6" s="307"/>
      <c r="DC6" s="307"/>
      <c r="DD6" s="307"/>
      <c r="DE6" s="307"/>
      <c r="DF6" s="307"/>
      <c r="DG6" s="307"/>
      <c r="DH6" s="307"/>
      <c r="DI6" s="307"/>
      <c r="DJ6" s="307"/>
      <c r="DK6" s="307"/>
      <c r="DL6" s="307"/>
      <c r="DM6" s="307"/>
      <c r="DN6" s="307"/>
      <c r="DO6" s="307"/>
      <c r="DP6" s="307"/>
      <c r="DQ6" s="307"/>
      <c r="DR6" s="307"/>
      <c r="DS6" s="307"/>
      <c r="DT6" s="307"/>
      <c r="DU6" s="307"/>
      <c r="DV6" s="307"/>
      <c r="DW6" s="307"/>
      <c r="DX6" s="307"/>
      <c r="DY6" s="307"/>
      <c r="DZ6" s="307"/>
      <c r="EA6" s="307"/>
      <c r="EB6" s="307"/>
      <c r="EC6" s="307"/>
      <c r="ED6" s="307"/>
      <c r="EE6" s="307"/>
      <c r="EF6" s="307"/>
      <c r="EG6" s="307"/>
      <c r="EH6" s="307"/>
      <c r="EI6" s="307"/>
      <c r="EJ6" s="307"/>
      <c r="EK6" s="307"/>
      <c r="EL6" s="307"/>
      <c r="EM6" s="307"/>
      <c r="EN6" s="307"/>
      <c r="EO6" s="307"/>
      <c r="EP6" s="307"/>
      <c r="EQ6" s="307"/>
      <c r="ER6" s="307"/>
      <c r="ES6" s="307"/>
      <c r="ET6" s="307"/>
      <c r="EU6" s="307"/>
      <c r="EV6" s="307"/>
      <c r="EW6" s="307"/>
      <c r="EX6" s="307"/>
      <c r="EY6" s="307"/>
      <c r="EZ6" s="307"/>
      <c r="FA6" s="307"/>
      <c r="FB6" s="307"/>
      <c r="FC6" s="307"/>
      <c r="FD6" s="307"/>
      <c r="FE6" s="307"/>
      <c r="FF6" s="307"/>
      <c r="FG6" s="307"/>
      <c r="FH6" s="307"/>
      <c r="FI6" s="307"/>
      <c r="FJ6" s="307"/>
      <c r="FK6" s="307"/>
      <c r="FL6" s="307"/>
      <c r="FM6" s="307"/>
      <c r="FN6" s="307"/>
      <c r="FO6" s="307"/>
      <c r="FP6" s="307"/>
      <c r="FQ6" s="307"/>
      <c r="FR6" s="307"/>
      <c r="FS6" s="307"/>
      <c r="FT6" s="307"/>
      <c r="FU6" s="307"/>
      <c r="FV6" s="307"/>
      <c r="FW6" s="307"/>
      <c r="FX6" s="307"/>
      <c r="FY6" s="307"/>
      <c r="FZ6" s="307"/>
      <c r="GA6" s="307"/>
      <c r="GB6" s="307"/>
      <c r="GC6" s="307"/>
      <c r="GD6" s="307"/>
      <c r="GE6" s="307"/>
      <c r="GF6" s="307"/>
      <c r="GG6" s="307"/>
      <c r="GH6" s="307"/>
      <c r="GI6" s="307"/>
      <c r="GJ6" s="307"/>
      <c r="GK6" s="307"/>
      <c r="GL6" s="307"/>
      <c r="GM6" s="307"/>
      <c r="GN6" s="307"/>
      <c r="GO6" s="307"/>
      <c r="GP6" s="307"/>
      <c r="GQ6" s="307"/>
      <c r="GR6" s="307"/>
      <c r="GS6" s="307"/>
      <c r="GT6" s="307"/>
      <c r="GU6" s="307"/>
      <c r="GV6" s="307"/>
      <c r="GW6" s="307"/>
      <c r="GX6" s="307"/>
      <c r="GY6" s="307"/>
      <c r="GZ6" s="307"/>
      <c r="HA6" s="307"/>
      <c r="HB6" s="307"/>
      <c r="HC6" s="307"/>
      <c r="HD6" s="307"/>
      <c r="HE6" s="307"/>
      <c r="HF6" s="307"/>
      <c r="HG6" s="307"/>
      <c r="HH6" s="307"/>
      <c r="HI6" s="307"/>
      <c r="HJ6" s="307"/>
      <c r="HK6" s="307"/>
      <c r="HL6" s="307"/>
      <c r="HM6" s="307"/>
      <c r="HN6" s="307"/>
      <c r="HO6" s="307"/>
    </row>
    <row r="7" spans="1:29" s="307" customFormat="1" ht="16.5" customHeight="1" thickBot="1">
      <c r="A7" s="1131"/>
      <c r="B7" s="1132"/>
      <c r="C7" s="1132"/>
      <c r="D7" s="453" t="s">
        <v>93</v>
      </c>
      <c r="E7" s="795" t="s">
        <v>89</v>
      </c>
      <c r="F7" s="310" t="s">
        <v>94</v>
      </c>
      <c r="G7" s="1106"/>
      <c r="H7" s="1107"/>
      <c r="I7" s="1107"/>
      <c r="J7" s="1107"/>
      <c r="K7" s="1108"/>
      <c r="L7" s="1135"/>
      <c r="M7" s="1136"/>
      <c r="N7" s="1136"/>
      <c r="O7" s="1136"/>
      <c r="P7" s="1136"/>
      <c r="Q7" s="1137"/>
      <c r="R7" s="1135"/>
      <c r="S7" s="1136"/>
      <c r="T7" s="1136"/>
      <c r="U7" s="1136"/>
      <c r="V7" s="1136"/>
      <c r="W7" s="1136"/>
      <c r="X7" s="309" t="s">
        <v>93</v>
      </c>
      <c r="Y7" s="453" t="s">
        <v>89</v>
      </c>
      <c r="Z7" s="782" t="s">
        <v>94</v>
      </c>
      <c r="AA7" s="309" t="s">
        <v>93</v>
      </c>
      <c r="AB7" s="453" t="s">
        <v>89</v>
      </c>
      <c r="AC7" s="310" t="s">
        <v>94</v>
      </c>
    </row>
    <row r="8" spans="1:29" s="326" customFormat="1" ht="16.5" customHeight="1">
      <c r="A8" s="311"/>
      <c r="B8" s="312"/>
      <c r="C8" s="313"/>
      <c r="D8" s="314"/>
      <c r="E8" s="312"/>
      <c r="F8" s="315"/>
      <c r="G8" s="1110" t="s">
        <v>986</v>
      </c>
      <c r="H8" s="1050"/>
      <c r="I8" s="1050"/>
      <c r="J8" s="488">
        <v>79416609</v>
      </c>
      <c r="K8" s="1069">
        <f>SUM(J8:J17)</f>
        <v>191127291</v>
      </c>
      <c r="L8" s="1112"/>
      <c r="M8" s="1066"/>
      <c r="N8" s="1066"/>
      <c r="O8" s="1066"/>
      <c r="P8" s="317"/>
      <c r="Q8" s="1101">
        <f>SUM(P8:P17)</f>
        <v>146730648</v>
      </c>
      <c r="R8" s="1074" t="s">
        <v>237</v>
      </c>
      <c r="S8" s="1064"/>
      <c r="T8" s="1064"/>
      <c r="U8" s="1064"/>
      <c r="V8" s="488">
        <v>227595000</v>
      </c>
      <c r="W8" s="1055">
        <f>SUM(V8:V17)</f>
        <v>277121636</v>
      </c>
      <c r="X8" s="320"/>
      <c r="Y8" s="321"/>
      <c r="Z8" s="322"/>
      <c r="AA8" s="323"/>
      <c r="AB8" s="324"/>
      <c r="AC8" s="325"/>
    </row>
    <row r="9" spans="1:29" s="326" customFormat="1" ht="27" customHeight="1">
      <c r="A9" s="311"/>
      <c r="B9" s="312"/>
      <c r="C9" s="314"/>
      <c r="D9" s="314"/>
      <c r="E9" s="312"/>
      <c r="F9" s="315"/>
      <c r="G9" s="1061" t="s">
        <v>637</v>
      </c>
      <c r="H9" s="1062"/>
      <c r="I9" s="1062"/>
      <c r="J9" s="488">
        <v>2114700</v>
      </c>
      <c r="K9" s="1070"/>
      <c r="L9" s="1079" t="s">
        <v>1030</v>
      </c>
      <c r="M9" s="1080"/>
      <c r="N9" s="1080"/>
      <c r="O9" s="1080"/>
      <c r="P9" s="488">
        <v>3652363</v>
      </c>
      <c r="Q9" s="1102"/>
      <c r="R9" s="1079" t="s">
        <v>770</v>
      </c>
      <c r="S9" s="1080"/>
      <c r="T9" s="1080"/>
      <c r="U9" s="1080"/>
      <c r="V9" s="488">
        <v>508000</v>
      </c>
      <c r="W9" s="1113"/>
      <c r="X9" s="327"/>
      <c r="Y9" s="321"/>
      <c r="Z9" s="328"/>
      <c r="AA9" s="311"/>
      <c r="AB9" s="329"/>
      <c r="AC9" s="330"/>
    </row>
    <row r="10" spans="1:29" s="326" customFormat="1" ht="24.75" customHeight="1">
      <c r="A10" s="331"/>
      <c r="B10" s="332"/>
      <c r="C10" s="333" t="s">
        <v>496</v>
      </c>
      <c r="D10" s="334">
        <f>SUM('6. kiadások megbontása'!D49)</f>
        <v>538600404</v>
      </c>
      <c r="E10" s="335">
        <f>SUM('6. kiadások megbontása'!E49)</f>
        <v>59788978</v>
      </c>
      <c r="F10" s="336">
        <f>SUM(D10:E10)</f>
        <v>598389382</v>
      </c>
      <c r="G10" s="1061" t="s">
        <v>776</v>
      </c>
      <c r="H10" s="1062"/>
      <c r="I10" s="1062"/>
      <c r="J10" s="488">
        <v>45748047</v>
      </c>
      <c r="K10" s="1070"/>
      <c r="L10" s="1079" t="s">
        <v>525</v>
      </c>
      <c r="M10" s="1080"/>
      <c r="N10" s="1080"/>
      <c r="O10" s="1080"/>
      <c r="P10" s="488">
        <v>21588000</v>
      </c>
      <c r="Q10" s="1102"/>
      <c r="R10" s="1074" t="s">
        <v>867</v>
      </c>
      <c r="S10" s="1064"/>
      <c r="T10" s="1064"/>
      <c r="U10" s="1064"/>
      <c r="V10" s="763">
        <v>272649</v>
      </c>
      <c r="W10" s="1113"/>
      <c r="X10" s="337"/>
      <c r="Y10" s="338"/>
      <c r="Z10" s="328"/>
      <c r="AA10" s="339"/>
      <c r="AB10" s="340"/>
      <c r="AC10" s="341"/>
    </row>
    <row r="11" spans="1:29" s="326" customFormat="1" ht="12.75" customHeight="1">
      <c r="A11" s="342"/>
      <c r="B11" s="343"/>
      <c r="C11" s="344"/>
      <c r="D11" s="344"/>
      <c r="E11" s="312"/>
      <c r="F11" s="315"/>
      <c r="G11" s="1060" t="s">
        <v>561</v>
      </c>
      <c r="H11" s="1060"/>
      <c r="I11" s="1060"/>
      <c r="J11" s="488">
        <v>63778000</v>
      </c>
      <c r="K11" s="1070"/>
      <c r="L11" s="1074" t="s">
        <v>873</v>
      </c>
      <c r="M11" s="1064"/>
      <c r="N11" s="1064"/>
      <c r="O11" s="1064"/>
      <c r="P11" s="488">
        <f>302525+67046</f>
        <v>369571</v>
      </c>
      <c r="Q11" s="1102"/>
      <c r="R11" s="1079" t="s">
        <v>108</v>
      </c>
      <c r="S11" s="1080"/>
      <c r="T11" s="1080"/>
      <c r="U11" s="1080"/>
      <c r="V11" s="488">
        <v>14236474</v>
      </c>
      <c r="W11" s="1113"/>
      <c r="X11" s="337"/>
      <c r="Y11" s="338"/>
      <c r="Z11" s="328"/>
      <c r="AA11" s="339"/>
      <c r="AB11" s="340"/>
      <c r="AC11" s="341"/>
    </row>
    <row r="12" spans="1:29" s="326" customFormat="1" ht="15" customHeight="1">
      <c r="A12" s="342"/>
      <c r="B12" s="343"/>
      <c r="C12" s="344"/>
      <c r="D12" s="344"/>
      <c r="E12" s="312"/>
      <c r="F12" s="315"/>
      <c r="G12" s="1111" t="s">
        <v>985</v>
      </c>
      <c r="H12" s="1080"/>
      <c r="I12" s="1080"/>
      <c r="J12" s="488">
        <v>39435</v>
      </c>
      <c r="K12" s="1070"/>
      <c r="L12" s="1074" t="s">
        <v>978</v>
      </c>
      <c r="M12" s="1064"/>
      <c r="N12" s="1064"/>
      <c r="O12" s="1064"/>
      <c r="P12" s="483">
        <f>11977188+38901777</f>
        <v>50878965</v>
      </c>
      <c r="Q12" s="1102"/>
      <c r="R12" s="1079" t="s">
        <v>878</v>
      </c>
      <c r="S12" s="1080"/>
      <c r="T12" s="1080"/>
      <c r="U12" s="1080"/>
      <c r="V12" s="488">
        <v>60128</v>
      </c>
      <c r="W12" s="1113"/>
      <c r="X12" s="337"/>
      <c r="Y12" s="338"/>
      <c r="Z12" s="328"/>
      <c r="AA12" s="339"/>
      <c r="AB12" s="340"/>
      <c r="AC12" s="341"/>
    </row>
    <row r="13" spans="1:29" s="326" customFormat="1" ht="15.75" customHeight="1">
      <c r="A13" s="342"/>
      <c r="B13" s="343"/>
      <c r="C13" s="344"/>
      <c r="D13" s="344"/>
      <c r="E13" s="312"/>
      <c r="F13" s="315"/>
      <c r="G13" s="1060" t="s">
        <v>990</v>
      </c>
      <c r="H13" s="1060"/>
      <c r="I13" s="1060"/>
      <c r="J13" s="316">
        <v>30500</v>
      </c>
      <c r="K13" s="1070"/>
      <c r="L13" s="1074" t="s">
        <v>979</v>
      </c>
      <c r="M13" s="1064"/>
      <c r="N13" s="1064"/>
      <c r="O13" s="1064"/>
      <c r="P13" s="483">
        <f>23626850+46614899</f>
        <v>70241749</v>
      </c>
      <c r="Q13" s="1102"/>
      <c r="R13" s="1079" t="s">
        <v>278</v>
      </c>
      <c r="S13" s="1080"/>
      <c r="T13" s="1080"/>
      <c r="U13" s="1080"/>
      <c r="V13" s="488">
        <f>639000+105030</f>
        <v>744030</v>
      </c>
      <c r="W13" s="1113"/>
      <c r="X13" s="337"/>
      <c r="Y13" s="338"/>
      <c r="Z13" s="328"/>
      <c r="AA13" s="339"/>
      <c r="AB13" s="340"/>
      <c r="AC13" s="341"/>
    </row>
    <row r="14" spans="1:29" s="326" customFormat="1" ht="13.5" customHeight="1">
      <c r="A14" s="342"/>
      <c r="B14" s="343"/>
      <c r="C14" s="344"/>
      <c r="D14" s="344"/>
      <c r="E14" s="312"/>
      <c r="F14" s="346"/>
      <c r="G14" s="1060"/>
      <c r="H14" s="1060"/>
      <c r="I14" s="1060"/>
      <c r="J14" s="316"/>
      <c r="K14" s="1070"/>
      <c r="L14" s="1059"/>
      <c r="M14" s="1060"/>
      <c r="N14" s="1060"/>
      <c r="O14" s="1060"/>
      <c r="Q14" s="1102"/>
      <c r="R14" s="1079" t="s">
        <v>773</v>
      </c>
      <c r="S14" s="1080"/>
      <c r="T14" s="1080"/>
      <c r="U14" s="1080"/>
      <c r="V14" s="488">
        <f>2486532+446236+828040+117194</f>
        <v>3878002</v>
      </c>
      <c r="W14" s="1113"/>
      <c r="X14" s="348">
        <f>SUM(W8,Q8,K8)</f>
        <v>614979575</v>
      </c>
      <c r="Y14" s="349">
        <f>SUM(W18+Q18+K18)</f>
        <v>95117821</v>
      </c>
      <c r="Z14" s="350">
        <f>SUM(Y14,X14)</f>
        <v>710097396</v>
      </c>
      <c r="AA14" s="348">
        <f>X14-D10</f>
        <v>76379171</v>
      </c>
      <c r="AB14" s="349">
        <f>Y14-E10</f>
        <v>35328843</v>
      </c>
      <c r="AC14" s="351">
        <f>SUM(AA14:AB14)</f>
        <v>111708014</v>
      </c>
    </row>
    <row r="15" spans="1:29" s="307" customFormat="1" ht="12.75" customHeight="1">
      <c r="A15" s="352"/>
      <c r="B15" s="353"/>
      <c r="C15" s="354"/>
      <c r="D15" s="354"/>
      <c r="E15" s="355"/>
      <c r="F15" s="356"/>
      <c r="G15" s="1061"/>
      <c r="H15" s="1062"/>
      <c r="I15" s="1062"/>
      <c r="J15" s="316"/>
      <c r="K15" s="1070"/>
      <c r="L15" s="1059"/>
      <c r="M15" s="1060"/>
      <c r="N15" s="1060"/>
      <c r="O15" s="1060"/>
      <c r="P15" s="347"/>
      <c r="Q15" s="1102"/>
      <c r="R15" s="1074" t="s">
        <v>876</v>
      </c>
      <c r="S15" s="1064"/>
      <c r="T15" s="1064"/>
      <c r="U15" s="1064"/>
      <c r="V15" s="763">
        <v>6983451</v>
      </c>
      <c r="W15" s="1113"/>
      <c r="X15" s="337"/>
      <c r="Y15" s="338"/>
      <c r="Z15" s="328"/>
      <c r="AA15" s="339"/>
      <c r="AB15" s="340"/>
      <c r="AC15" s="341"/>
    </row>
    <row r="16" spans="1:29" s="307" customFormat="1" ht="13.5" customHeight="1">
      <c r="A16" s="352"/>
      <c r="B16" s="353"/>
      <c r="C16" s="354"/>
      <c r="D16" s="354"/>
      <c r="E16" s="355"/>
      <c r="F16" s="356"/>
      <c r="G16" s="1061"/>
      <c r="H16" s="1062"/>
      <c r="I16" s="1062"/>
      <c r="J16" s="316"/>
      <c r="K16" s="1070"/>
      <c r="L16" s="1076"/>
      <c r="M16" s="1062"/>
      <c r="N16" s="1062"/>
      <c r="O16" s="1062"/>
      <c r="P16" s="316"/>
      <c r="Q16" s="1102"/>
      <c r="R16" s="1074" t="s">
        <v>774</v>
      </c>
      <c r="S16" s="1064"/>
      <c r="T16" s="1064"/>
      <c r="U16" s="1064"/>
      <c r="V16" s="763">
        <v>3000</v>
      </c>
      <c r="W16" s="1113"/>
      <c r="X16" s="337"/>
      <c r="Y16" s="338"/>
      <c r="Z16" s="328"/>
      <c r="AA16" s="339"/>
      <c r="AB16" s="340"/>
      <c r="AC16" s="341"/>
    </row>
    <row r="17" spans="1:29" s="307" customFormat="1" ht="13.5" customHeight="1" thickBot="1">
      <c r="A17" s="352"/>
      <c r="B17" s="353"/>
      <c r="C17" s="354"/>
      <c r="D17" s="354"/>
      <c r="E17" s="355"/>
      <c r="F17" s="356"/>
      <c r="G17" s="1061"/>
      <c r="H17" s="1062"/>
      <c r="I17" s="1062"/>
      <c r="J17" s="316"/>
      <c r="K17" s="1070"/>
      <c r="L17" s="1059"/>
      <c r="M17" s="1060"/>
      <c r="N17" s="1060"/>
      <c r="O17" s="1060"/>
      <c r="P17" s="345"/>
      <c r="Q17" s="1102"/>
      <c r="R17" s="1074" t="s">
        <v>775</v>
      </c>
      <c r="S17" s="1064"/>
      <c r="T17" s="1064"/>
      <c r="U17" s="1064"/>
      <c r="V17" s="763">
        <v>22840902</v>
      </c>
      <c r="W17" s="1113"/>
      <c r="X17" s="337"/>
      <c r="Y17" s="338"/>
      <c r="Z17" s="328"/>
      <c r="AA17" s="339"/>
      <c r="AB17" s="340"/>
      <c r="AC17" s="341"/>
    </row>
    <row r="18" spans="1:29" s="307" customFormat="1" ht="54" customHeight="1">
      <c r="A18" s="352"/>
      <c r="B18" s="353"/>
      <c r="C18" s="354"/>
      <c r="D18" s="354"/>
      <c r="E18" s="355"/>
      <c r="F18" s="356"/>
      <c r="G18" s="360"/>
      <c r="H18" s="361"/>
      <c r="I18" s="361"/>
      <c r="J18" s="362"/>
      <c r="K18" s="1069"/>
      <c r="L18" s="1067" t="s">
        <v>868</v>
      </c>
      <c r="M18" s="1068"/>
      <c r="N18" s="1068"/>
      <c r="O18" s="1068"/>
      <c r="P18" s="760">
        <f>2500000+6019000+5000000</f>
        <v>13519000</v>
      </c>
      <c r="Q18" s="1090">
        <f>SUM(P18:P20)</f>
        <v>15665885</v>
      </c>
      <c r="R18" s="1099" t="s">
        <v>96</v>
      </c>
      <c r="S18" s="1100"/>
      <c r="T18" s="1100"/>
      <c r="U18" s="1100"/>
      <c r="V18" s="489">
        <f>62747330-3831623-848360</f>
        <v>58067347</v>
      </c>
      <c r="W18" s="1055">
        <f>SUM(V18:V20)</f>
        <v>79451936</v>
      </c>
      <c r="X18" s="337"/>
      <c r="Y18" s="338"/>
      <c r="Z18" s="328"/>
      <c r="AA18" s="339"/>
      <c r="AB18" s="340"/>
      <c r="AC18" s="341"/>
    </row>
    <row r="19" spans="1:29" s="307" customFormat="1" ht="14.25" customHeight="1">
      <c r="A19" s="352"/>
      <c r="B19" s="353"/>
      <c r="C19" s="354"/>
      <c r="D19" s="354"/>
      <c r="E19" s="355"/>
      <c r="F19" s="356"/>
      <c r="G19" s="358"/>
      <c r="H19" s="359"/>
      <c r="I19" s="359"/>
      <c r="J19" s="364"/>
      <c r="K19" s="1070"/>
      <c r="L19" s="1074" t="s">
        <v>870</v>
      </c>
      <c r="M19" s="1064"/>
      <c r="N19" s="1064"/>
      <c r="O19" s="1064"/>
      <c r="P19" s="347">
        <v>1846997</v>
      </c>
      <c r="Q19" s="1091"/>
      <c r="R19" s="1079" t="s">
        <v>769</v>
      </c>
      <c r="S19" s="1080"/>
      <c r="T19" s="1080"/>
      <c r="U19" s="1080"/>
      <c r="V19" s="486">
        <v>21384589</v>
      </c>
      <c r="W19" s="1113"/>
      <c r="X19" s="337"/>
      <c r="Y19" s="338"/>
      <c r="Z19" s="328"/>
      <c r="AA19" s="339"/>
      <c r="AB19" s="340"/>
      <c r="AC19" s="341"/>
    </row>
    <row r="20" spans="1:29" s="307" customFormat="1" ht="14.25" customHeight="1" thickBot="1">
      <c r="A20" s="492"/>
      <c r="B20" s="410"/>
      <c r="C20" s="676"/>
      <c r="D20" s="676"/>
      <c r="E20" s="412"/>
      <c r="F20" s="413"/>
      <c r="G20" s="1095"/>
      <c r="H20" s="1096"/>
      <c r="I20" s="1096"/>
      <c r="J20" s="677"/>
      <c r="K20" s="1087"/>
      <c r="L20" s="1074" t="s">
        <v>869</v>
      </c>
      <c r="M20" s="1064"/>
      <c r="N20" s="1064"/>
      <c r="O20" s="1064"/>
      <c r="P20" s="484">
        <v>299888</v>
      </c>
      <c r="Q20" s="1092"/>
      <c r="R20" s="1097"/>
      <c r="S20" s="1098"/>
      <c r="T20" s="1098"/>
      <c r="U20" s="1098"/>
      <c r="V20" s="678"/>
      <c r="W20" s="1114"/>
      <c r="X20" s="679"/>
      <c r="Y20" s="680"/>
      <c r="Z20" s="681"/>
      <c r="AA20" s="682"/>
      <c r="AB20" s="683"/>
      <c r="AC20" s="380"/>
    </row>
    <row r="21" spans="1:29" s="307" customFormat="1" ht="18" customHeight="1" thickTop="1">
      <c r="A21" s="493"/>
      <c r="B21" s="365"/>
      <c r="C21" s="366"/>
      <c r="D21" s="366"/>
      <c r="E21" s="367"/>
      <c r="F21" s="368"/>
      <c r="G21" s="1057"/>
      <c r="H21" s="1058"/>
      <c r="I21" s="1058"/>
      <c r="J21" s="494"/>
      <c r="K21" s="1075">
        <f>SUM(J21:J22)</f>
        <v>0</v>
      </c>
      <c r="L21" s="1143" t="s">
        <v>526</v>
      </c>
      <c r="M21" s="1144"/>
      <c r="N21" s="1144"/>
      <c r="O21" s="1144"/>
      <c r="P21" s="761">
        <v>29503396</v>
      </c>
      <c r="Q21" s="1075">
        <f>SUM(P21:P22)</f>
        <v>38966057</v>
      </c>
      <c r="R21" s="370"/>
      <c r="S21" s="371"/>
      <c r="T21" s="371"/>
      <c r="U21" s="371"/>
      <c r="V21" s="372"/>
      <c r="W21" s="373"/>
      <c r="X21" s="374"/>
      <c r="Y21" s="375"/>
      <c r="Z21" s="376"/>
      <c r="AA21" s="377"/>
      <c r="AB21" s="378"/>
      <c r="AC21" s="379"/>
    </row>
    <row r="22" spans="1:223" s="459" customFormat="1" ht="19.5" customHeight="1" thickBot="1">
      <c r="A22" s="785"/>
      <c r="B22" s="1119" t="s">
        <v>97</v>
      </c>
      <c r="C22" s="1120"/>
      <c r="D22" s="786">
        <f>SUM('6. kiadások megbontása'!J49)</f>
        <v>50369420</v>
      </c>
      <c r="E22" s="787">
        <f>SUM('6. kiadások megbontása'!K49)</f>
        <v>628000</v>
      </c>
      <c r="F22" s="788">
        <f>SUM(D22:E22)</f>
        <v>50997420</v>
      </c>
      <c r="G22" s="1093"/>
      <c r="H22" s="1094"/>
      <c r="I22" s="1094"/>
      <c r="J22" s="789"/>
      <c r="K22" s="1087"/>
      <c r="L22" s="1088" t="s">
        <v>638</v>
      </c>
      <c r="M22" s="1089"/>
      <c r="N22" s="1089"/>
      <c r="O22" s="1089"/>
      <c r="P22" s="762">
        <v>9462661</v>
      </c>
      <c r="Q22" s="1087"/>
      <c r="R22" s="1088"/>
      <c r="S22" s="1089"/>
      <c r="T22" s="1089"/>
      <c r="U22" s="1089"/>
      <c r="V22" s="790"/>
      <c r="W22" s="791">
        <f>SUM(V22)</f>
        <v>0</v>
      </c>
      <c r="X22" s="792">
        <f>SUM(W22,Q21,K21)</f>
        <v>38966057</v>
      </c>
      <c r="Y22" s="793">
        <v>0</v>
      </c>
      <c r="Z22" s="794">
        <f>SUM(X22:Y22)</f>
        <v>38966057</v>
      </c>
      <c r="AA22" s="792">
        <f>X22-D22</f>
        <v>-11403363</v>
      </c>
      <c r="AB22" s="793">
        <f>Y22-E22</f>
        <v>-628000</v>
      </c>
      <c r="AC22" s="380">
        <f>SUM(AA22:AB22)</f>
        <v>-12031363</v>
      </c>
      <c r="AD22" s="481"/>
      <c r="AE22" s="481"/>
      <c r="AF22" s="481"/>
      <c r="AG22" s="481"/>
      <c r="AH22" s="481"/>
      <c r="AI22" s="481"/>
      <c r="AJ22" s="481"/>
      <c r="AK22" s="481"/>
      <c r="AL22" s="481"/>
      <c r="AM22" s="481"/>
      <c r="AN22" s="481"/>
      <c r="AO22" s="481"/>
      <c r="AP22" s="481"/>
      <c r="AQ22" s="481"/>
      <c r="AR22" s="481"/>
      <c r="AS22" s="481"/>
      <c r="AT22" s="481"/>
      <c r="AU22" s="481"/>
      <c r="AV22" s="481"/>
      <c r="AW22" s="481"/>
      <c r="AX22" s="481"/>
      <c r="AY22" s="481"/>
      <c r="AZ22" s="481"/>
      <c r="BA22" s="481"/>
      <c r="BB22" s="481"/>
      <c r="BC22" s="481"/>
      <c r="BD22" s="481"/>
      <c r="BE22" s="481"/>
      <c r="BF22" s="481"/>
      <c r="BG22" s="481"/>
      <c r="BH22" s="481"/>
      <c r="BI22" s="481"/>
      <c r="BJ22" s="481"/>
      <c r="BK22" s="481"/>
      <c r="BL22" s="481"/>
      <c r="BM22" s="481"/>
      <c r="BN22" s="481"/>
      <c r="BO22" s="481"/>
      <c r="BP22" s="481"/>
      <c r="BQ22" s="481"/>
      <c r="BR22" s="481"/>
      <c r="BS22" s="481"/>
      <c r="BT22" s="481"/>
      <c r="BU22" s="481"/>
      <c r="BV22" s="481"/>
      <c r="BW22" s="481"/>
      <c r="BX22" s="481"/>
      <c r="BY22" s="481"/>
      <c r="BZ22" s="481"/>
      <c r="CA22" s="481"/>
      <c r="CB22" s="481"/>
      <c r="CC22" s="481"/>
      <c r="CD22" s="481"/>
      <c r="CE22" s="481"/>
      <c r="CF22" s="481"/>
      <c r="CG22" s="481"/>
      <c r="CH22" s="481"/>
      <c r="CI22" s="481"/>
      <c r="CJ22" s="481"/>
      <c r="CK22" s="481"/>
      <c r="CL22" s="481"/>
      <c r="CM22" s="481"/>
      <c r="CN22" s="481"/>
      <c r="CO22" s="481"/>
      <c r="CP22" s="481"/>
      <c r="CQ22" s="481"/>
      <c r="CR22" s="481"/>
      <c r="CS22" s="481"/>
      <c r="CT22" s="481"/>
      <c r="CU22" s="481"/>
      <c r="CV22" s="481"/>
      <c r="CW22" s="481"/>
      <c r="CX22" s="481"/>
      <c r="CY22" s="481"/>
      <c r="CZ22" s="481"/>
      <c r="DA22" s="481"/>
      <c r="DB22" s="481"/>
      <c r="DC22" s="481"/>
      <c r="DD22" s="481"/>
      <c r="DE22" s="481"/>
      <c r="DF22" s="481"/>
      <c r="DG22" s="481"/>
      <c r="DH22" s="481"/>
      <c r="DI22" s="481"/>
      <c r="DJ22" s="481"/>
      <c r="DK22" s="481"/>
      <c r="DL22" s="481"/>
      <c r="DM22" s="481"/>
      <c r="DN22" s="481"/>
      <c r="DO22" s="481"/>
      <c r="DP22" s="481"/>
      <c r="DQ22" s="481"/>
      <c r="DR22" s="481"/>
      <c r="DS22" s="481"/>
      <c r="DT22" s="481"/>
      <c r="DU22" s="481"/>
      <c r="DV22" s="481"/>
      <c r="DW22" s="481"/>
      <c r="DX22" s="481"/>
      <c r="DY22" s="481"/>
      <c r="DZ22" s="481"/>
      <c r="EA22" s="481"/>
      <c r="EB22" s="481"/>
      <c r="EC22" s="481"/>
      <c r="ED22" s="481"/>
      <c r="EE22" s="481"/>
      <c r="EF22" s="481"/>
      <c r="EG22" s="481"/>
      <c r="EH22" s="481"/>
      <c r="EI22" s="481"/>
      <c r="EJ22" s="481"/>
      <c r="EK22" s="481"/>
      <c r="EL22" s="481"/>
      <c r="EM22" s="481"/>
      <c r="EN22" s="481"/>
      <c r="EO22" s="481"/>
      <c r="EP22" s="481"/>
      <c r="EQ22" s="481"/>
      <c r="ER22" s="481"/>
      <c r="ES22" s="481"/>
      <c r="ET22" s="481"/>
      <c r="EU22" s="481"/>
      <c r="EV22" s="481"/>
      <c r="EW22" s="481"/>
      <c r="EX22" s="481"/>
      <c r="EY22" s="481"/>
      <c r="EZ22" s="481"/>
      <c r="FA22" s="481"/>
      <c r="FB22" s="481"/>
      <c r="FC22" s="481"/>
      <c r="FD22" s="481"/>
      <c r="FE22" s="481"/>
      <c r="FF22" s="481"/>
      <c r="FG22" s="481"/>
      <c r="FH22" s="481"/>
      <c r="FI22" s="481"/>
      <c r="FJ22" s="481"/>
      <c r="FK22" s="481"/>
      <c r="FL22" s="481"/>
      <c r="FM22" s="481"/>
      <c r="FN22" s="481"/>
      <c r="FO22" s="481"/>
      <c r="FP22" s="481"/>
      <c r="FQ22" s="481"/>
      <c r="FR22" s="481"/>
      <c r="FS22" s="481"/>
      <c r="FT22" s="481"/>
      <c r="FU22" s="481"/>
      <c r="FV22" s="481"/>
      <c r="FW22" s="481"/>
      <c r="FX22" s="481"/>
      <c r="FY22" s="481"/>
      <c r="FZ22" s="481"/>
      <c r="GA22" s="481"/>
      <c r="GB22" s="481"/>
      <c r="GC22" s="481"/>
      <c r="GD22" s="481"/>
      <c r="GE22" s="481"/>
      <c r="GF22" s="481"/>
      <c r="GG22" s="481"/>
      <c r="GH22" s="481"/>
      <c r="GI22" s="481"/>
      <c r="GJ22" s="481"/>
      <c r="GK22" s="481"/>
      <c r="GL22" s="481"/>
      <c r="GM22" s="481"/>
      <c r="GN22" s="481"/>
      <c r="GO22" s="481"/>
      <c r="GP22" s="481"/>
      <c r="GQ22" s="481"/>
      <c r="GR22" s="481"/>
      <c r="GS22" s="481"/>
      <c r="GT22" s="481"/>
      <c r="GU22" s="481"/>
      <c r="GV22" s="481"/>
      <c r="GW22" s="481"/>
      <c r="GX22" s="481"/>
      <c r="GY22" s="481"/>
      <c r="GZ22" s="481"/>
      <c r="HA22" s="481"/>
      <c r="HB22" s="481"/>
      <c r="HC22" s="481"/>
      <c r="HD22" s="481"/>
      <c r="HE22" s="481"/>
      <c r="HF22" s="481"/>
      <c r="HG22" s="481"/>
      <c r="HH22" s="481"/>
      <c r="HI22" s="481"/>
      <c r="HJ22" s="481"/>
      <c r="HK22" s="481"/>
      <c r="HL22" s="481"/>
      <c r="HM22" s="481"/>
      <c r="HN22" s="481"/>
      <c r="HO22" s="481"/>
    </row>
    <row r="23" spans="1:29" ht="16.5" customHeight="1" thickTop="1">
      <c r="A23" s="402"/>
      <c r="B23" s="355"/>
      <c r="C23" s="382"/>
      <c r="D23" s="383"/>
      <c r="E23" s="383"/>
      <c r="F23" s="356"/>
      <c r="G23" s="358"/>
      <c r="H23" s="359"/>
      <c r="I23" s="359"/>
      <c r="J23" s="384"/>
      <c r="K23" s="1075">
        <f>SUM(J23:J27)</f>
        <v>0</v>
      </c>
      <c r="L23" s="1074" t="s">
        <v>107</v>
      </c>
      <c r="M23" s="1064"/>
      <c r="N23" s="1064"/>
      <c r="O23" s="1064"/>
      <c r="P23" s="316">
        <v>2000000</v>
      </c>
      <c r="Q23" s="1075">
        <f>SUM(P23:P27)</f>
        <v>204159096</v>
      </c>
      <c r="R23" s="1079" t="s">
        <v>771</v>
      </c>
      <c r="S23" s="1080"/>
      <c r="T23" s="1080"/>
      <c r="U23" s="1080"/>
      <c r="V23" s="486">
        <v>5848600</v>
      </c>
      <c r="W23" s="1115">
        <f>SUM(V23:V27)</f>
        <v>11563600</v>
      </c>
      <c r="X23" s="385"/>
      <c r="Y23" s="386"/>
      <c r="Z23" s="387"/>
      <c r="AA23" s="385"/>
      <c r="AB23" s="386"/>
      <c r="AC23" s="368"/>
    </row>
    <row r="24" spans="1:29" ht="24.75" customHeight="1">
      <c r="A24" s="402"/>
      <c r="B24" s="355"/>
      <c r="C24" s="382"/>
      <c r="D24" s="383"/>
      <c r="E24" s="355"/>
      <c r="F24" s="356"/>
      <c r="G24" s="358"/>
      <c r="H24" s="359"/>
      <c r="I24" s="359"/>
      <c r="J24" s="384"/>
      <c r="K24" s="1070"/>
      <c r="L24" s="1076" t="s">
        <v>983</v>
      </c>
      <c r="M24" s="1062"/>
      <c r="N24" s="1062"/>
      <c r="O24" s="1062"/>
      <c r="P24" s="316">
        <v>17772766</v>
      </c>
      <c r="Q24" s="1070"/>
      <c r="R24" s="1076" t="s">
        <v>772</v>
      </c>
      <c r="S24" s="1062"/>
      <c r="T24" s="1062"/>
      <c r="U24" s="1062"/>
      <c r="V24" s="486">
        <v>5715000</v>
      </c>
      <c r="W24" s="1091"/>
      <c r="X24" s="818"/>
      <c r="Y24" s="383"/>
      <c r="Z24" s="355"/>
      <c r="AA24" s="402"/>
      <c r="AB24" s="383"/>
      <c r="AC24" s="356"/>
    </row>
    <row r="25" spans="1:29" ht="27.75" customHeight="1">
      <c r="A25" s="402"/>
      <c r="B25" s="355"/>
      <c r="C25" s="382"/>
      <c r="D25" s="383"/>
      <c r="E25" s="355"/>
      <c r="F25" s="356"/>
      <c r="G25" s="358"/>
      <c r="H25" s="359"/>
      <c r="I25" s="359"/>
      <c r="J25" s="384"/>
      <c r="K25" s="1070"/>
      <c r="L25" s="1076" t="s">
        <v>981</v>
      </c>
      <c r="M25" s="1062"/>
      <c r="N25" s="1062"/>
      <c r="O25" s="1062"/>
      <c r="P25" s="483">
        <v>88971424</v>
      </c>
      <c r="Q25" s="1070"/>
      <c r="R25" s="804"/>
      <c r="S25" s="805"/>
      <c r="T25" s="805"/>
      <c r="U25" s="805"/>
      <c r="V25" s="486"/>
      <c r="W25" s="1091"/>
      <c r="X25" s="818"/>
      <c r="Y25" s="383"/>
      <c r="Z25" s="355"/>
      <c r="AA25" s="402"/>
      <c r="AB25" s="383"/>
      <c r="AC25" s="356"/>
    </row>
    <row r="26" spans="1:29" ht="26.25" customHeight="1">
      <c r="A26" s="402"/>
      <c r="B26" s="355"/>
      <c r="C26" s="382"/>
      <c r="D26" s="383"/>
      <c r="E26" s="355"/>
      <c r="F26" s="356"/>
      <c r="G26" s="358"/>
      <c r="H26" s="359"/>
      <c r="I26" s="359"/>
      <c r="J26" s="384"/>
      <c r="K26" s="1070"/>
      <c r="L26" s="1076" t="s">
        <v>982</v>
      </c>
      <c r="M26" s="1062"/>
      <c r="N26" s="1062"/>
      <c r="O26" s="1062"/>
      <c r="P26" s="316">
        <v>32379432</v>
      </c>
      <c r="Q26" s="1070"/>
      <c r="R26" s="804"/>
      <c r="S26" s="805"/>
      <c r="T26" s="805"/>
      <c r="U26" s="805"/>
      <c r="V26" s="486"/>
      <c r="W26" s="1091"/>
      <c r="X26" s="818"/>
      <c r="Y26" s="383"/>
      <c r="Z26" s="355"/>
      <c r="AA26" s="402"/>
      <c r="AB26" s="383"/>
      <c r="AC26" s="356"/>
    </row>
    <row r="27" spans="1:29" ht="25.5" customHeight="1" thickBot="1">
      <c r="A27" s="1140" t="s">
        <v>497</v>
      </c>
      <c r="B27" s="1141"/>
      <c r="C27" s="1142"/>
      <c r="D27" s="388">
        <f>SUM('6. kiadások megbontása'!G49)</f>
        <v>267822475</v>
      </c>
      <c r="E27" s="335">
        <f>SUM('6. kiadások megbontása'!H49)</f>
        <v>323234387</v>
      </c>
      <c r="F27" s="336">
        <f>SUM(D27:E27)</f>
        <v>591056862</v>
      </c>
      <c r="G27" s="389"/>
      <c r="H27" s="319"/>
      <c r="I27" s="319"/>
      <c r="J27" s="347"/>
      <c r="K27" s="1071"/>
      <c r="L27" s="1076" t="s">
        <v>877</v>
      </c>
      <c r="M27" s="1062"/>
      <c r="N27" s="1062"/>
      <c r="O27" s="1062"/>
      <c r="P27" s="316">
        <v>63035474</v>
      </c>
      <c r="Q27" s="1071"/>
      <c r="R27" s="1117"/>
      <c r="S27" s="1118"/>
      <c r="T27" s="1118"/>
      <c r="U27" s="1118"/>
      <c r="V27" s="485"/>
      <c r="W27" s="1116"/>
      <c r="X27" s="390">
        <f>SUM(W23,Q23,K23)</f>
        <v>215722696</v>
      </c>
      <c r="Y27" s="349">
        <f>SUM(Q28,W28,K28)</f>
        <v>317958823</v>
      </c>
      <c r="Z27" s="350">
        <f>SUM(X27:Y27)</f>
        <v>533681519</v>
      </c>
      <c r="AA27" s="348">
        <f>X27-D27</f>
        <v>-52099779</v>
      </c>
      <c r="AB27" s="349">
        <f>Y27-E27</f>
        <v>-5275564</v>
      </c>
      <c r="AC27" s="351">
        <f>SUM(AA27:AB27)</f>
        <v>-57375343</v>
      </c>
    </row>
    <row r="28" spans="1:29" ht="42" customHeight="1">
      <c r="A28" s="331"/>
      <c r="B28" s="332"/>
      <c r="C28" s="333"/>
      <c r="D28" s="388"/>
      <c r="E28" s="335"/>
      <c r="F28" s="336"/>
      <c r="G28" s="620"/>
      <c r="H28" s="621"/>
      <c r="I28" s="621"/>
      <c r="J28" s="363"/>
      <c r="K28" s="1069">
        <f>SUM(J31:J31)</f>
        <v>0</v>
      </c>
      <c r="L28" s="1067" t="s">
        <v>872</v>
      </c>
      <c r="M28" s="1068"/>
      <c r="N28" s="1068"/>
      <c r="O28" s="1068"/>
      <c r="P28" s="760">
        <v>21694288</v>
      </c>
      <c r="Q28" s="1069">
        <f>SUM(P28:P31)</f>
        <v>49593039</v>
      </c>
      <c r="R28" s="1079" t="s">
        <v>769</v>
      </c>
      <c r="S28" s="1080"/>
      <c r="T28" s="1080"/>
      <c r="U28" s="1080"/>
      <c r="V28" s="487">
        <f>276567184-8201400</f>
        <v>268365784</v>
      </c>
      <c r="W28" s="1055">
        <f>SUM(V28:V31)</f>
        <v>268365784</v>
      </c>
      <c r="X28" s="391"/>
      <c r="Y28" s="349"/>
      <c r="Z28" s="350"/>
      <c r="AA28" s="348"/>
      <c r="AB28" s="349"/>
      <c r="AC28" s="351"/>
    </row>
    <row r="29" spans="1:29" ht="26.25" customHeight="1">
      <c r="A29" s="331"/>
      <c r="B29" s="332"/>
      <c r="C29" s="333"/>
      <c r="D29" s="388"/>
      <c r="E29" s="335"/>
      <c r="F29" s="336"/>
      <c r="G29" s="389"/>
      <c r="H29" s="319"/>
      <c r="I29" s="319"/>
      <c r="J29" s="347"/>
      <c r="K29" s="1070"/>
      <c r="L29" s="1076" t="s">
        <v>874</v>
      </c>
      <c r="M29" s="1062"/>
      <c r="N29" s="1062"/>
      <c r="O29" s="1062"/>
      <c r="P29" s="483">
        <v>9889960</v>
      </c>
      <c r="Q29" s="1070"/>
      <c r="R29" s="804"/>
      <c r="S29" s="805"/>
      <c r="T29" s="805"/>
      <c r="U29" s="805"/>
      <c r="V29" s="487"/>
      <c r="W29" s="1113"/>
      <c r="X29" s="391"/>
      <c r="Y29" s="349"/>
      <c r="Z29" s="350"/>
      <c r="AA29" s="348"/>
      <c r="AB29" s="349"/>
      <c r="AC29" s="351"/>
    </row>
    <row r="30" spans="1:29" ht="26.25" customHeight="1">
      <c r="A30" s="331"/>
      <c r="B30" s="332"/>
      <c r="C30" s="333"/>
      <c r="D30" s="388"/>
      <c r="E30" s="335"/>
      <c r="F30" s="336"/>
      <c r="G30" s="389"/>
      <c r="H30" s="319"/>
      <c r="I30" s="319"/>
      <c r="J30" s="347"/>
      <c r="K30" s="1070"/>
      <c r="L30" s="1076" t="s">
        <v>984</v>
      </c>
      <c r="M30" s="1062"/>
      <c r="N30" s="1062"/>
      <c r="O30" s="1062"/>
      <c r="P30" s="483">
        <v>2497100</v>
      </c>
      <c r="Q30" s="1070"/>
      <c r="R30" s="804"/>
      <c r="S30" s="805"/>
      <c r="T30" s="805"/>
      <c r="U30" s="805"/>
      <c r="V30" s="487"/>
      <c r="W30" s="1113"/>
      <c r="X30" s="391"/>
      <c r="Y30" s="349"/>
      <c r="Z30" s="350"/>
      <c r="AA30" s="348"/>
      <c r="AB30" s="349"/>
      <c r="AC30" s="351"/>
    </row>
    <row r="31" spans="1:29" ht="27" customHeight="1" thickBot="1">
      <c r="A31" s="1140"/>
      <c r="B31" s="1141"/>
      <c r="C31" s="1142"/>
      <c r="D31" s="388"/>
      <c r="E31" s="335"/>
      <c r="F31" s="336"/>
      <c r="G31" s="673"/>
      <c r="H31" s="674"/>
      <c r="I31" s="674"/>
      <c r="J31" s="675"/>
      <c r="K31" s="1071"/>
      <c r="L31" s="1117" t="s">
        <v>980</v>
      </c>
      <c r="M31" s="1118"/>
      <c r="N31" s="1118"/>
      <c r="O31" s="1118"/>
      <c r="P31" s="672">
        <v>15511691</v>
      </c>
      <c r="Q31" s="1071"/>
      <c r="R31" s="1051"/>
      <c r="S31" s="1052"/>
      <c r="T31" s="1052"/>
      <c r="U31" s="1052"/>
      <c r="V31" s="487"/>
      <c r="W31" s="1056"/>
      <c r="X31" s="391"/>
      <c r="Y31" s="392"/>
      <c r="Z31" s="350"/>
      <c r="AA31" s="348"/>
      <c r="AB31" s="349"/>
      <c r="AC31" s="341"/>
    </row>
    <row r="32" spans="1:223" s="459" customFormat="1" ht="25.5" customHeight="1" thickBot="1">
      <c r="A32" s="1147" t="s">
        <v>98</v>
      </c>
      <c r="B32" s="1148"/>
      <c r="C32" s="1149"/>
      <c r="D32" s="764">
        <f>SUM(D9:D31)</f>
        <v>856792299</v>
      </c>
      <c r="E32" s="765">
        <f>SUM(E8:E31)</f>
        <v>383651365</v>
      </c>
      <c r="F32" s="766">
        <f>SUM(F8:F31)</f>
        <v>1240443664</v>
      </c>
      <c r="G32" s="475"/>
      <c r="H32" s="1150" t="s">
        <v>99</v>
      </c>
      <c r="I32" s="1151"/>
      <c r="J32" s="1152"/>
      <c r="K32" s="797">
        <f>SUM(K8:K28)</f>
        <v>191127291</v>
      </c>
      <c r="L32" s="473"/>
      <c r="M32" s="1077" t="s">
        <v>100</v>
      </c>
      <c r="N32" s="1077"/>
      <c r="O32" s="1077"/>
      <c r="P32" s="1078"/>
      <c r="Q32" s="797">
        <f>SUM(Q8:Q28)</f>
        <v>455114725</v>
      </c>
      <c r="R32" s="473"/>
      <c r="S32" s="1077" t="s">
        <v>101</v>
      </c>
      <c r="T32" s="1077"/>
      <c r="U32" s="1077"/>
      <c r="V32" s="1078"/>
      <c r="W32" s="797">
        <f>SUM(W8:W28)</f>
        <v>636502956</v>
      </c>
      <c r="X32" s="798">
        <f>SUM(X8:X31)</f>
        <v>869668328</v>
      </c>
      <c r="Y32" s="771">
        <f>SUM(Y8:Y31)</f>
        <v>413076644</v>
      </c>
      <c r="Z32" s="772">
        <f>SUM(X32:Y32)</f>
        <v>1282744972</v>
      </c>
      <c r="AA32" s="773">
        <f>SUM(AA11:AA31)</f>
        <v>12876029</v>
      </c>
      <c r="AB32" s="774">
        <f>SUM(AB10:AB31)</f>
        <v>29425279</v>
      </c>
      <c r="AC32" s="799">
        <f>SUM(AA32:AB32)</f>
        <v>42301308</v>
      </c>
      <c r="AD32" s="481"/>
      <c r="AE32" s="481"/>
      <c r="AF32" s="481"/>
      <c r="AG32" s="481"/>
      <c r="AH32" s="481"/>
      <c r="AI32" s="481"/>
      <c r="AJ32" s="481"/>
      <c r="AK32" s="481"/>
      <c r="AL32" s="481"/>
      <c r="AM32" s="481"/>
      <c r="AN32" s="481"/>
      <c r="AO32" s="481"/>
      <c r="AP32" s="481"/>
      <c r="AQ32" s="481"/>
      <c r="AR32" s="481"/>
      <c r="AS32" s="481"/>
      <c r="AT32" s="481"/>
      <c r="AU32" s="481"/>
      <c r="AV32" s="481"/>
      <c r="AW32" s="481"/>
      <c r="AX32" s="481"/>
      <c r="AY32" s="481"/>
      <c r="AZ32" s="481"/>
      <c r="BA32" s="481"/>
      <c r="BB32" s="481"/>
      <c r="BC32" s="481"/>
      <c r="BD32" s="481"/>
      <c r="BE32" s="481"/>
      <c r="BF32" s="481"/>
      <c r="BG32" s="481"/>
      <c r="BH32" s="481"/>
      <c r="BI32" s="481"/>
      <c r="BJ32" s="481"/>
      <c r="BK32" s="481"/>
      <c r="BL32" s="481"/>
      <c r="BM32" s="481"/>
      <c r="BN32" s="481"/>
      <c r="BO32" s="481"/>
      <c r="BP32" s="481"/>
      <c r="BQ32" s="481"/>
      <c r="BR32" s="481"/>
      <c r="BS32" s="481"/>
      <c r="BT32" s="481"/>
      <c r="BU32" s="481"/>
      <c r="BV32" s="481"/>
      <c r="BW32" s="481"/>
      <c r="BX32" s="481"/>
      <c r="BY32" s="481"/>
      <c r="BZ32" s="481"/>
      <c r="CA32" s="481"/>
      <c r="CB32" s="481"/>
      <c r="CC32" s="481"/>
      <c r="CD32" s="481"/>
      <c r="CE32" s="481"/>
      <c r="CF32" s="481"/>
      <c r="CG32" s="481"/>
      <c r="CH32" s="481"/>
      <c r="CI32" s="481"/>
      <c r="CJ32" s="481"/>
      <c r="CK32" s="481"/>
      <c r="CL32" s="481"/>
      <c r="CM32" s="481"/>
      <c r="CN32" s="481"/>
      <c r="CO32" s="481"/>
      <c r="CP32" s="481"/>
      <c r="CQ32" s="481"/>
      <c r="CR32" s="481"/>
      <c r="CS32" s="481"/>
      <c r="CT32" s="481"/>
      <c r="CU32" s="481"/>
      <c r="CV32" s="481"/>
      <c r="CW32" s="481"/>
      <c r="CX32" s="481"/>
      <c r="CY32" s="481"/>
      <c r="CZ32" s="481"/>
      <c r="DA32" s="481"/>
      <c r="DB32" s="481"/>
      <c r="DC32" s="481"/>
      <c r="DD32" s="481"/>
      <c r="DE32" s="481"/>
      <c r="DF32" s="481"/>
      <c r="DG32" s="481"/>
      <c r="DH32" s="481"/>
      <c r="DI32" s="481"/>
      <c r="DJ32" s="481"/>
      <c r="DK32" s="481"/>
      <c r="DL32" s="481"/>
      <c r="DM32" s="481"/>
      <c r="DN32" s="481"/>
      <c r="DO32" s="481"/>
      <c r="DP32" s="481"/>
      <c r="DQ32" s="481"/>
      <c r="DR32" s="481"/>
      <c r="DS32" s="481"/>
      <c r="DT32" s="481"/>
      <c r="DU32" s="481"/>
      <c r="DV32" s="481"/>
      <c r="DW32" s="481"/>
      <c r="DX32" s="481"/>
      <c r="DY32" s="481"/>
      <c r="DZ32" s="481"/>
      <c r="EA32" s="481"/>
      <c r="EB32" s="481"/>
      <c r="EC32" s="481"/>
      <c r="ED32" s="481"/>
      <c r="EE32" s="481"/>
      <c r="EF32" s="481"/>
      <c r="EG32" s="481"/>
      <c r="EH32" s="481"/>
      <c r="EI32" s="481"/>
      <c r="EJ32" s="481"/>
      <c r="EK32" s="481"/>
      <c r="EL32" s="481"/>
      <c r="EM32" s="481"/>
      <c r="EN32" s="481"/>
      <c r="EO32" s="481"/>
      <c r="EP32" s="481"/>
      <c r="EQ32" s="481"/>
      <c r="ER32" s="481"/>
      <c r="ES32" s="481"/>
      <c r="ET32" s="481"/>
      <c r="EU32" s="481"/>
      <c r="EV32" s="481"/>
      <c r="EW32" s="481"/>
      <c r="EX32" s="481"/>
      <c r="EY32" s="481"/>
      <c r="EZ32" s="481"/>
      <c r="FA32" s="481"/>
      <c r="FB32" s="481"/>
      <c r="FC32" s="481"/>
      <c r="FD32" s="481"/>
      <c r="FE32" s="481"/>
      <c r="FF32" s="481"/>
      <c r="FG32" s="481"/>
      <c r="FH32" s="481"/>
      <c r="FI32" s="481"/>
      <c r="FJ32" s="481"/>
      <c r="FK32" s="481"/>
      <c r="FL32" s="481"/>
      <c r="FM32" s="481"/>
      <c r="FN32" s="481"/>
      <c r="FO32" s="481"/>
      <c r="FP32" s="481"/>
      <c r="FQ32" s="481"/>
      <c r="FR32" s="481"/>
      <c r="FS32" s="481"/>
      <c r="FT32" s="481"/>
      <c r="FU32" s="481"/>
      <c r="FV32" s="481"/>
      <c r="FW32" s="481"/>
      <c r="FX32" s="481"/>
      <c r="FY32" s="481"/>
      <c r="FZ32" s="481"/>
      <c r="GA32" s="481"/>
      <c r="GB32" s="481"/>
      <c r="GC32" s="481"/>
      <c r="GD32" s="481"/>
      <c r="GE32" s="481"/>
      <c r="GF32" s="481"/>
      <c r="GG32" s="481"/>
      <c r="GH32" s="481"/>
      <c r="GI32" s="481"/>
      <c r="GJ32" s="481"/>
      <c r="GK32" s="481"/>
      <c r="GL32" s="481"/>
      <c r="GM32" s="481"/>
      <c r="GN32" s="481"/>
      <c r="GO32" s="481"/>
      <c r="GP32" s="481"/>
      <c r="GQ32" s="481"/>
      <c r="GR32" s="481"/>
      <c r="GS32" s="481"/>
      <c r="GT32" s="481"/>
      <c r="GU32" s="481"/>
      <c r="GV32" s="481"/>
      <c r="GW32" s="481"/>
      <c r="GX32" s="481"/>
      <c r="GY32" s="481"/>
      <c r="GZ32" s="481"/>
      <c r="HA32" s="481"/>
      <c r="HB32" s="481"/>
      <c r="HC32" s="481"/>
      <c r="HD32" s="481"/>
      <c r="HE32" s="481"/>
      <c r="HF32" s="481"/>
      <c r="HG32" s="481"/>
      <c r="HH32" s="481"/>
      <c r="HI32" s="481"/>
      <c r="HJ32" s="481"/>
      <c r="HK32" s="481"/>
      <c r="HL32" s="481"/>
      <c r="HM32" s="481"/>
      <c r="HN32" s="481"/>
      <c r="HO32" s="481"/>
    </row>
    <row r="33" spans="1:29" ht="27.75" customHeight="1" thickBot="1" thickTop="1">
      <c r="A33" s="1129" t="s">
        <v>102</v>
      </c>
      <c r="B33" s="1153"/>
      <c r="C33" s="1154"/>
      <c r="D33" s="1138" t="s">
        <v>370</v>
      </c>
      <c r="E33" s="1082"/>
      <c r="F33" s="1139"/>
      <c r="G33" s="1103" t="s">
        <v>521</v>
      </c>
      <c r="H33" s="1082"/>
      <c r="I33" s="1082"/>
      <c r="J33" s="1082"/>
      <c r="K33" s="1083"/>
      <c r="L33" s="1081" t="s">
        <v>522</v>
      </c>
      <c r="M33" s="1082"/>
      <c r="N33" s="1082"/>
      <c r="O33" s="1082"/>
      <c r="P33" s="1082"/>
      <c r="Q33" s="1083"/>
      <c r="R33" s="1081" t="s">
        <v>523</v>
      </c>
      <c r="S33" s="1082"/>
      <c r="T33" s="1082"/>
      <c r="U33" s="1082"/>
      <c r="V33" s="1082"/>
      <c r="W33" s="1139"/>
      <c r="X33" s="1146" t="s">
        <v>524</v>
      </c>
      <c r="Y33" s="1125"/>
      <c r="Z33" s="1125"/>
      <c r="AA33" s="1126" t="s">
        <v>92</v>
      </c>
      <c r="AB33" s="1127"/>
      <c r="AC33" s="1128"/>
    </row>
    <row r="34" spans="1:223" s="398" customFormat="1" ht="18.75" customHeight="1" thickBot="1" thickTop="1">
      <c r="A34" s="1155"/>
      <c r="B34" s="1156"/>
      <c r="C34" s="1157"/>
      <c r="D34" s="455" t="s">
        <v>93</v>
      </c>
      <c r="E34" s="796" t="s">
        <v>89</v>
      </c>
      <c r="F34" s="310" t="s">
        <v>94</v>
      </c>
      <c r="G34" s="1158"/>
      <c r="H34" s="1085"/>
      <c r="I34" s="1085"/>
      <c r="J34" s="1159"/>
      <c r="K34" s="1086"/>
      <c r="L34" s="1084"/>
      <c r="M34" s="1085"/>
      <c r="N34" s="1085"/>
      <c r="O34" s="1085"/>
      <c r="P34" s="1085"/>
      <c r="Q34" s="1086"/>
      <c r="R34" s="1084"/>
      <c r="S34" s="1085"/>
      <c r="T34" s="1085"/>
      <c r="U34" s="1085"/>
      <c r="V34" s="1085"/>
      <c r="W34" s="1145"/>
      <c r="X34" s="781" t="s">
        <v>93</v>
      </c>
      <c r="Y34" s="784" t="s">
        <v>89</v>
      </c>
      <c r="Z34" s="310" t="s">
        <v>94</v>
      </c>
      <c r="AA34" s="776" t="s">
        <v>93</v>
      </c>
      <c r="AB34" s="455" t="s">
        <v>89</v>
      </c>
      <c r="AC34" s="310" t="s">
        <v>94</v>
      </c>
      <c r="AD34" s="307"/>
      <c r="AE34" s="307"/>
      <c r="AF34" s="307"/>
      <c r="AG34" s="307"/>
      <c r="AH34" s="307"/>
      <c r="AI34" s="307"/>
      <c r="AJ34" s="307"/>
      <c r="AK34" s="307"/>
      <c r="AL34" s="307"/>
      <c r="AM34" s="307"/>
      <c r="AN34" s="307"/>
      <c r="AO34" s="307"/>
      <c r="AP34" s="307"/>
      <c r="AQ34" s="307"/>
      <c r="AR34" s="307"/>
      <c r="AS34" s="307"/>
      <c r="AT34" s="307"/>
      <c r="AU34" s="307"/>
      <c r="AV34" s="307"/>
      <c r="AW34" s="307"/>
      <c r="AX34" s="307"/>
      <c r="AY34" s="307"/>
      <c r="AZ34" s="307"/>
      <c r="BA34" s="307"/>
      <c r="BB34" s="307"/>
      <c r="BC34" s="307"/>
      <c r="BD34" s="307"/>
      <c r="BE34" s="307"/>
      <c r="BF34" s="307"/>
      <c r="BG34" s="307"/>
      <c r="BH34" s="307"/>
      <c r="BI34" s="307"/>
      <c r="BJ34" s="307"/>
      <c r="BK34" s="307"/>
      <c r="BL34" s="307"/>
      <c r="BM34" s="307"/>
      <c r="BN34" s="307"/>
      <c r="BO34" s="307"/>
      <c r="BP34" s="307"/>
      <c r="BQ34" s="307"/>
      <c r="BR34" s="307"/>
      <c r="BS34" s="307"/>
      <c r="BT34" s="307"/>
      <c r="BU34" s="307"/>
      <c r="BV34" s="307"/>
      <c r="BW34" s="307"/>
      <c r="BX34" s="307"/>
      <c r="BY34" s="307"/>
      <c r="BZ34" s="307"/>
      <c r="CA34" s="307"/>
      <c r="CB34" s="307"/>
      <c r="CC34" s="307"/>
      <c r="CD34" s="307"/>
      <c r="CE34" s="307"/>
      <c r="CF34" s="307"/>
      <c r="CG34" s="307"/>
      <c r="CH34" s="307"/>
      <c r="CI34" s="307"/>
      <c r="CJ34" s="307"/>
      <c r="CK34" s="307"/>
      <c r="CL34" s="307"/>
      <c r="CM34" s="307"/>
      <c r="CN34" s="307"/>
      <c r="CO34" s="307"/>
      <c r="CP34" s="307"/>
      <c r="CQ34" s="307"/>
      <c r="CR34" s="307"/>
      <c r="CS34" s="307"/>
      <c r="CT34" s="307"/>
      <c r="CU34" s="307"/>
      <c r="CV34" s="307"/>
      <c r="CW34" s="307"/>
      <c r="CX34" s="307"/>
      <c r="CY34" s="307"/>
      <c r="CZ34" s="307"/>
      <c r="DA34" s="307"/>
      <c r="DB34" s="307"/>
      <c r="DC34" s="307"/>
      <c r="DD34" s="307"/>
      <c r="DE34" s="307"/>
      <c r="DF34" s="307"/>
      <c r="DG34" s="307"/>
      <c r="DH34" s="307"/>
      <c r="DI34" s="307"/>
      <c r="DJ34" s="307"/>
      <c r="DK34" s="307"/>
      <c r="DL34" s="307"/>
      <c r="DM34" s="307"/>
      <c r="DN34" s="307"/>
      <c r="DO34" s="307"/>
      <c r="DP34" s="307"/>
      <c r="DQ34" s="307"/>
      <c r="DR34" s="307"/>
      <c r="DS34" s="307"/>
      <c r="DT34" s="307"/>
      <c r="DU34" s="307"/>
      <c r="DV34" s="307"/>
      <c r="DW34" s="307"/>
      <c r="DX34" s="307"/>
      <c r="DY34" s="307"/>
      <c r="DZ34" s="307"/>
      <c r="EA34" s="307"/>
      <c r="EB34" s="307"/>
      <c r="EC34" s="307"/>
      <c r="ED34" s="307"/>
      <c r="EE34" s="307"/>
      <c r="EF34" s="307"/>
      <c r="EG34" s="307"/>
      <c r="EH34" s="307"/>
      <c r="EI34" s="307"/>
      <c r="EJ34" s="307"/>
      <c r="EK34" s="307"/>
      <c r="EL34" s="307"/>
      <c r="EM34" s="307"/>
      <c r="EN34" s="307"/>
      <c r="EO34" s="307"/>
      <c r="EP34" s="307"/>
      <c r="EQ34" s="307"/>
      <c r="ER34" s="307"/>
      <c r="ES34" s="307"/>
      <c r="ET34" s="307"/>
      <c r="EU34" s="307"/>
      <c r="EV34" s="307"/>
      <c r="EW34" s="307"/>
      <c r="EX34" s="307"/>
      <c r="EY34" s="307"/>
      <c r="EZ34" s="307"/>
      <c r="FA34" s="307"/>
      <c r="FB34" s="307"/>
      <c r="FC34" s="307"/>
      <c r="FD34" s="307"/>
      <c r="FE34" s="307"/>
      <c r="FF34" s="307"/>
      <c r="FG34" s="307"/>
      <c r="FH34" s="307"/>
      <c r="FI34" s="307"/>
      <c r="FJ34" s="307"/>
      <c r="FK34" s="307"/>
      <c r="FL34" s="307"/>
      <c r="FM34" s="307"/>
      <c r="FN34" s="307"/>
      <c r="FO34" s="307"/>
      <c r="FP34" s="307"/>
      <c r="FQ34" s="307"/>
      <c r="FR34" s="307"/>
      <c r="FS34" s="307"/>
      <c r="FT34" s="307"/>
      <c r="FU34" s="307"/>
      <c r="FV34" s="307"/>
      <c r="FW34" s="307"/>
      <c r="FX34" s="307"/>
      <c r="FY34" s="307"/>
      <c r="FZ34" s="307"/>
      <c r="GA34" s="307"/>
      <c r="GB34" s="307"/>
      <c r="GC34" s="307"/>
      <c r="GD34" s="307"/>
      <c r="GE34" s="307"/>
      <c r="GF34" s="307"/>
      <c r="GG34" s="307"/>
      <c r="GH34" s="307"/>
      <c r="GI34" s="307"/>
      <c r="GJ34" s="307"/>
      <c r="GK34" s="307"/>
      <c r="GL34" s="307"/>
      <c r="GM34" s="307"/>
      <c r="GN34" s="307"/>
      <c r="GO34" s="307"/>
      <c r="GP34" s="307"/>
      <c r="GQ34" s="307"/>
      <c r="GR34" s="307"/>
      <c r="GS34" s="307"/>
      <c r="GT34" s="307"/>
      <c r="GU34" s="307"/>
      <c r="GV34" s="307"/>
      <c r="GW34" s="307"/>
      <c r="GX34" s="307"/>
      <c r="GY34" s="307"/>
      <c r="GZ34" s="307"/>
      <c r="HA34" s="307"/>
      <c r="HB34" s="307"/>
      <c r="HC34" s="307"/>
      <c r="HD34" s="307"/>
      <c r="HE34" s="307"/>
      <c r="HF34" s="307"/>
      <c r="HG34" s="307"/>
      <c r="HH34" s="307"/>
      <c r="HI34" s="307"/>
      <c r="HJ34" s="307"/>
      <c r="HK34" s="307"/>
      <c r="HL34" s="307"/>
      <c r="HM34" s="307"/>
      <c r="HN34" s="307"/>
      <c r="HO34" s="307"/>
    </row>
    <row r="35" spans="1:29" ht="12.75" customHeight="1">
      <c r="A35" s="311"/>
      <c r="B35" s="355"/>
      <c r="C35" s="355"/>
      <c r="D35" s="383"/>
      <c r="E35" s="355"/>
      <c r="F35" s="315"/>
      <c r="G35" s="1212" t="s">
        <v>473</v>
      </c>
      <c r="H35" s="1213"/>
      <c r="I35" s="1213"/>
      <c r="J35" s="1072">
        <v>120637200</v>
      </c>
      <c r="K35" s="1160">
        <f>SUM(J35:J39)</f>
        <v>121138877</v>
      </c>
      <c r="L35" s="1049" t="s">
        <v>768</v>
      </c>
      <c r="M35" s="1050"/>
      <c r="N35" s="1050"/>
      <c r="O35" s="1050"/>
      <c r="P35" s="1053">
        <v>5650000</v>
      </c>
      <c r="Q35" s="1069">
        <f>SUM(P35:P39)</f>
        <v>8569168</v>
      </c>
      <c r="R35" s="1099" t="s">
        <v>930</v>
      </c>
      <c r="S35" s="1100"/>
      <c r="T35" s="1100"/>
      <c r="U35" s="1100"/>
      <c r="V35" s="1053">
        <v>250000</v>
      </c>
      <c r="W35" s="1055">
        <f>SUM(V35:V39)</f>
        <v>5176466</v>
      </c>
      <c r="X35" s="399"/>
      <c r="Y35" s="400"/>
      <c r="Z35" s="401"/>
      <c r="AA35" s="311"/>
      <c r="AB35" s="329"/>
      <c r="AC35" s="330"/>
    </row>
    <row r="36" spans="1:29" ht="12.75" customHeight="1">
      <c r="A36" s="402"/>
      <c r="B36" s="353"/>
      <c r="C36" s="353"/>
      <c r="D36" s="403"/>
      <c r="E36" s="355"/>
      <c r="F36" s="356"/>
      <c r="G36" s="1214"/>
      <c r="H36" s="1215"/>
      <c r="I36" s="1215"/>
      <c r="J36" s="1073"/>
      <c r="K36" s="1070"/>
      <c r="L36" s="1079"/>
      <c r="M36" s="1080"/>
      <c r="N36" s="1080"/>
      <c r="O36" s="1080"/>
      <c r="P36" s="1163"/>
      <c r="Q36" s="1070"/>
      <c r="R36" s="1074"/>
      <c r="S36" s="1064"/>
      <c r="T36" s="1064"/>
      <c r="U36" s="1064"/>
      <c r="V36" s="1163"/>
      <c r="W36" s="1113"/>
      <c r="X36" s="404"/>
      <c r="Y36" s="338"/>
      <c r="Z36" s="328"/>
      <c r="AA36" s="339"/>
      <c r="AB36" s="340"/>
      <c r="AC36" s="341"/>
    </row>
    <row r="37" spans="1:29" ht="24.75" customHeight="1">
      <c r="A37" s="402"/>
      <c r="B37" s="1141" t="s">
        <v>496</v>
      </c>
      <c r="C37" s="1142"/>
      <c r="D37" s="388">
        <f>SUM('6. kiadások megbontása'!D53)</f>
        <v>127855829</v>
      </c>
      <c r="E37" s="335">
        <f>SUM('6. kiadások megbontása'!E53)</f>
        <v>1229404</v>
      </c>
      <c r="F37" s="336">
        <f>SUM(D37:E37)</f>
        <v>129085233</v>
      </c>
      <c r="G37" s="1111" t="s">
        <v>985</v>
      </c>
      <c r="H37" s="1080"/>
      <c r="I37" s="1080"/>
      <c r="J37" s="488">
        <v>460075</v>
      </c>
      <c r="K37" s="1070"/>
      <c r="L37" s="1079" t="s">
        <v>109</v>
      </c>
      <c r="M37" s="1080"/>
      <c r="N37" s="1080"/>
      <c r="O37" s="1080"/>
      <c r="P37" s="483">
        <v>368160</v>
      </c>
      <c r="Q37" s="1070"/>
      <c r="R37" s="1074" t="s">
        <v>527</v>
      </c>
      <c r="S37" s="1064"/>
      <c r="T37" s="1064"/>
      <c r="U37" s="1064"/>
      <c r="V37" s="482">
        <v>4926466</v>
      </c>
      <c r="W37" s="1113"/>
      <c r="X37" s="404">
        <f>SUM(W35,Q35,K35)</f>
        <v>134884511</v>
      </c>
      <c r="Y37" s="338">
        <v>0</v>
      </c>
      <c r="Z37" s="350">
        <f>SUM(Y37,X37)</f>
        <v>134884511</v>
      </c>
      <c r="AA37" s="348">
        <f>X37-D37</f>
        <v>7028682</v>
      </c>
      <c r="AB37" s="349">
        <f>Y37-E37</f>
        <v>-1229404</v>
      </c>
      <c r="AC37" s="341">
        <f>SUM(AA37:AB37)</f>
        <v>5799278</v>
      </c>
    </row>
    <row r="38" spans="1:29" ht="18" customHeight="1">
      <c r="A38" s="402"/>
      <c r="B38" s="332"/>
      <c r="C38" s="332"/>
      <c r="D38" s="388"/>
      <c r="E38" s="335"/>
      <c r="F38" s="336"/>
      <c r="G38" s="1060" t="s">
        <v>990</v>
      </c>
      <c r="H38" s="1060"/>
      <c r="I38" s="1060"/>
      <c r="J38" s="316">
        <v>41602</v>
      </c>
      <c r="K38" s="1070"/>
      <c r="L38" s="1079" t="s">
        <v>879</v>
      </c>
      <c r="M38" s="1080"/>
      <c r="N38" s="1080"/>
      <c r="O38" s="1080"/>
      <c r="P38" s="483">
        <v>581210</v>
      </c>
      <c r="Q38" s="1070"/>
      <c r="R38" s="802"/>
      <c r="S38" s="803"/>
      <c r="T38" s="803"/>
      <c r="U38" s="803"/>
      <c r="V38" s="482"/>
      <c r="W38" s="1113"/>
      <c r="X38" s="404"/>
      <c r="Y38" s="338"/>
      <c r="Z38" s="350"/>
      <c r="AA38" s="348"/>
      <c r="AB38" s="349"/>
      <c r="AC38" s="341"/>
    </row>
    <row r="39" spans="1:29" ht="23.25" customHeight="1" thickBot="1">
      <c r="A39" s="402"/>
      <c r="B39" s="353"/>
      <c r="C39" s="353"/>
      <c r="D39" s="405"/>
      <c r="E39" s="406"/>
      <c r="F39" s="407"/>
      <c r="G39" s="319"/>
      <c r="H39" s="319"/>
      <c r="I39" s="319"/>
      <c r="J39" s="408"/>
      <c r="K39" s="1070"/>
      <c r="L39" s="1079" t="s">
        <v>963</v>
      </c>
      <c r="M39" s="1080"/>
      <c r="N39" s="1080"/>
      <c r="O39" s="1080"/>
      <c r="P39" s="483">
        <v>1969798</v>
      </c>
      <c r="Q39" s="1070"/>
      <c r="R39" s="1074"/>
      <c r="S39" s="1064"/>
      <c r="T39" s="1064"/>
      <c r="U39" s="1064"/>
      <c r="V39" s="488"/>
      <c r="W39" s="1113"/>
      <c r="X39" s="404"/>
      <c r="Y39" s="338"/>
      <c r="Z39" s="328"/>
      <c r="AA39" s="339"/>
      <c r="AB39" s="340"/>
      <c r="AC39" s="341"/>
    </row>
    <row r="40" spans="1:29" ht="16.5" thickBot="1">
      <c r="A40" s="1216" t="s">
        <v>103</v>
      </c>
      <c r="B40" s="1217"/>
      <c r="C40" s="1218"/>
      <c r="D40" s="462">
        <f>SUM(D35:D39)</f>
        <v>127855829</v>
      </c>
      <c r="E40" s="463">
        <f>SUM(E35:E39)</f>
        <v>1229404</v>
      </c>
      <c r="F40" s="464">
        <f>SUM(F35:F39)</f>
        <v>129085233</v>
      </c>
      <c r="G40" s="467"/>
      <c r="H40" s="1209" t="s">
        <v>99</v>
      </c>
      <c r="I40" s="1210"/>
      <c r="J40" s="1211"/>
      <c r="K40" s="468">
        <f>SUM(K35:K39)</f>
        <v>121138877</v>
      </c>
      <c r="L40" s="393"/>
      <c r="M40" s="1161" t="s">
        <v>100</v>
      </c>
      <c r="N40" s="1161"/>
      <c r="O40" s="1161"/>
      <c r="P40" s="1162"/>
      <c r="Q40" s="468">
        <f>SUM(Q35:Q39)</f>
        <v>8569168</v>
      </c>
      <c r="R40" s="445"/>
      <c r="S40" s="1161" t="s">
        <v>101</v>
      </c>
      <c r="T40" s="1161"/>
      <c r="U40" s="1161"/>
      <c r="V40" s="1162"/>
      <c r="W40" s="469">
        <f>SUM(W35:W39)</f>
        <v>5176466</v>
      </c>
      <c r="X40" s="470">
        <f>SUM(X35:X39)</f>
        <v>134884511</v>
      </c>
      <c r="Y40" s="394">
        <v>0</v>
      </c>
      <c r="Z40" s="395">
        <f>SUM(X40:Y40)</f>
        <v>134884511</v>
      </c>
      <c r="AA40" s="396">
        <f>X40-D40</f>
        <v>7028682</v>
      </c>
      <c r="AB40" s="397">
        <f>Y40-E40</f>
        <v>-1229404</v>
      </c>
      <c r="AC40" s="471">
        <f>SUM(AA40:AB40)</f>
        <v>5799278</v>
      </c>
    </row>
    <row r="41" spans="1:29" ht="27.75" customHeight="1" thickBot="1" thickTop="1">
      <c r="A41" s="1129" t="s">
        <v>840</v>
      </c>
      <c r="B41" s="1153"/>
      <c r="C41" s="1154"/>
      <c r="D41" s="1138" t="s">
        <v>370</v>
      </c>
      <c r="E41" s="1082"/>
      <c r="F41" s="1139"/>
      <c r="G41" s="1103" t="s">
        <v>521</v>
      </c>
      <c r="H41" s="1082"/>
      <c r="I41" s="1082"/>
      <c r="J41" s="1082"/>
      <c r="K41" s="1083"/>
      <c r="L41" s="1081" t="s">
        <v>522</v>
      </c>
      <c r="M41" s="1082"/>
      <c r="N41" s="1082"/>
      <c r="O41" s="1082"/>
      <c r="P41" s="1082"/>
      <c r="Q41" s="1083"/>
      <c r="R41" s="1081" t="s">
        <v>523</v>
      </c>
      <c r="S41" s="1082"/>
      <c r="T41" s="1082"/>
      <c r="U41" s="1082"/>
      <c r="V41" s="1082"/>
      <c r="W41" s="1139"/>
      <c r="X41" s="1146" t="s">
        <v>524</v>
      </c>
      <c r="Y41" s="1125"/>
      <c r="Z41" s="1125"/>
      <c r="AA41" s="1126" t="s">
        <v>92</v>
      </c>
      <c r="AB41" s="1127"/>
      <c r="AC41" s="1128"/>
    </row>
    <row r="42" spans="1:223" s="398" customFormat="1" ht="18.75" customHeight="1" thickBot="1" thickTop="1">
      <c r="A42" s="1155"/>
      <c r="B42" s="1156"/>
      <c r="C42" s="1157"/>
      <c r="D42" s="455" t="s">
        <v>93</v>
      </c>
      <c r="E42" s="796" t="s">
        <v>89</v>
      </c>
      <c r="F42" s="310" t="s">
        <v>94</v>
      </c>
      <c r="G42" s="1158"/>
      <c r="H42" s="1085"/>
      <c r="I42" s="1085"/>
      <c r="J42" s="1159"/>
      <c r="K42" s="1086"/>
      <c r="L42" s="1084"/>
      <c r="M42" s="1085"/>
      <c r="N42" s="1085"/>
      <c r="O42" s="1085"/>
      <c r="P42" s="1085"/>
      <c r="Q42" s="1086"/>
      <c r="R42" s="1084"/>
      <c r="S42" s="1085"/>
      <c r="T42" s="1085"/>
      <c r="U42" s="1085"/>
      <c r="V42" s="1085"/>
      <c r="W42" s="1085"/>
      <c r="X42" s="783" t="s">
        <v>93</v>
      </c>
      <c r="Y42" s="784" t="s">
        <v>89</v>
      </c>
      <c r="Z42" s="310" t="s">
        <v>94</v>
      </c>
      <c r="AA42" s="776" t="s">
        <v>93</v>
      </c>
      <c r="AB42" s="455" t="s">
        <v>89</v>
      </c>
      <c r="AC42" s="310" t="s">
        <v>94</v>
      </c>
      <c r="AD42" s="307"/>
      <c r="AE42" s="307"/>
      <c r="AF42" s="307"/>
      <c r="AG42" s="307"/>
      <c r="AH42" s="307"/>
      <c r="AI42" s="307"/>
      <c r="AJ42" s="307"/>
      <c r="AK42" s="307"/>
      <c r="AL42" s="307"/>
      <c r="AM42" s="307"/>
      <c r="AN42" s="307"/>
      <c r="AO42" s="307"/>
      <c r="AP42" s="307"/>
      <c r="AQ42" s="307"/>
      <c r="AR42" s="307"/>
      <c r="AS42" s="307"/>
      <c r="AT42" s="307"/>
      <c r="AU42" s="307"/>
      <c r="AV42" s="307"/>
      <c r="AW42" s="307"/>
      <c r="AX42" s="307"/>
      <c r="AY42" s="307"/>
      <c r="AZ42" s="307"/>
      <c r="BA42" s="307"/>
      <c r="BB42" s="307"/>
      <c r="BC42" s="307"/>
      <c r="BD42" s="307"/>
      <c r="BE42" s="307"/>
      <c r="BF42" s="307"/>
      <c r="BG42" s="307"/>
      <c r="BH42" s="307"/>
      <c r="BI42" s="307"/>
      <c r="BJ42" s="307"/>
      <c r="BK42" s="307"/>
      <c r="BL42" s="307"/>
      <c r="BM42" s="307"/>
      <c r="BN42" s="307"/>
      <c r="BO42" s="307"/>
      <c r="BP42" s="307"/>
      <c r="BQ42" s="307"/>
      <c r="BR42" s="307"/>
      <c r="BS42" s="307"/>
      <c r="BT42" s="307"/>
      <c r="BU42" s="307"/>
      <c r="BV42" s="307"/>
      <c r="BW42" s="307"/>
      <c r="BX42" s="307"/>
      <c r="BY42" s="307"/>
      <c r="BZ42" s="307"/>
      <c r="CA42" s="307"/>
      <c r="CB42" s="307"/>
      <c r="CC42" s="307"/>
      <c r="CD42" s="307"/>
      <c r="CE42" s="307"/>
      <c r="CF42" s="307"/>
      <c r="CG42" s="307"/>
      <c r="CH42" s="307"/>
      <c r="CI42" s="307"/>
      <c r="CJ42" s="307"/>
      <c r="CK42" s="307"/>
      <c r="CL42" s="307"/>
      <c r="CM42" s="307"/>
      <c r="CN42" s="307"/>
      <c r="CO42" s="307"/>
      <c r="CP42" s="307"/>
      <c r="CQ42" s="307"/>
      <c r="CR42" s="307"/>
      <c r="CS42" s="307"/>
      <c r="CT42" s="307"/>
      <c r="CU42" s="307"/>
      <c r="CV42" s="307"/>
      <c r="CW42" s="307"/>
      <c r="CX42" s="307"/>
      <c r="CY42" s="307"/>
      <c r="CZ42" s="307"/>
      <c r="DA42" s="307"/>
      <c r="DB42" s="307"/>
      <c r="DC42" s="307"/>
      <c r="DD42" s="307"/>
      <c r="DE42" s="307"/>
      <c r="DF42" s="307"/>
      <c r="DG42" s="307"/>
      <c r="DH42" s="307"/>
      <c r="DI42" s="307"/>
      <c r="DJ42" s="307"/>
      <c r="DK42" s="307"/>
      <c r="DL42" s="307"/>
      <c r="DM42" s="307"/>
      <c r="DN42" s="307"/>
      <c r="DO42" s="307"/>
      <c r="DP42" s="307"/>
      <c r="DQ42" s="307"/>
      <c r="DR42" s="307"/>
      <c r="DS42" s="307"/>
      <c r="DT42" s="307"/>
      <c r="DU42" s="307"/>
      <c r="DV42" s="307"/>
      <c r="DW42" s="307"/>
      <c r="DX42" s="307"/>
      <c r="DY42" s="307"/>
      <c r="DZ42" s="307"/>
      <c r="EA42" s="307"/>
      <c r="EB42" s="307"/>
      <c r="EC42" s="307"/>
      <c r="ED42" s="307"/>
      <c r="EE42" s="307"/>
      <c r="EF42" s="307"/>
      <c r="EG42" s="307"/>
      <c r="EH42" s="307"/>
      <c r="EI42" s="307"/>
      <c r="EJ42" s="307"/>
      <c r="EK42" s="307"/>
      <c r="EL42" s="307"/>
      <c r="EM42" s="307"/>
      <c r="EN42" s="307"/>
      <c r="EO42" s="307"/>
      <c r="EP42" s="307"/>
      <c r="EQ42" s="307"/>
      <c r="ER42" s="307"/>
      <c r="ES42" s="307"/>
      <c r="ET42" s="307"/>
      <c r="EU42" s="307"/>
      <c r="EV42" s="307"/>
      <c r="EW42" s="307"/>
      <c r="EX42" s="307"/>
      <c r="EY42" s="307"/>
      <c r="EZ42" s="307"/>
      <c r="FA42" s="307"/>
      <c r="FB42" s="307"/>
      <c r="FC42" s="307"/>
      <c r="FD42" s="307"/>
      <c r="FE42" s="307"/>
      <c r="FF42" s="307"/>
      <c r="FG42" s="307"/>
      <c r="FH42" s="307"/>
      <c r="FI42" s="307"/>
      <c r="FJ42" s="307"/>
      <c r="FK42" s="307"/>
      <c r="FL42" s="307"/>
      <c r="FM42" s="307"/>
      <c r="FN42" s="307"/>
      <c r="FO42" s="307"/>
      <c r="FP42" s="307"/>
      <c r="FQ42" s="307"/>
      <c r="FR42" s="307"/>
      <c r="FS42" s="307"/>
      <c r="FT42" s="307"/>
      <c r="FU42" s="307"/>
      <c r="FV42" s="307"/>
      <c r="FW42" s="307"/>
      <c r="FX42" s="307"/>
      <c r="FY42" s="307"/>
      <c r="FZ42" s="307"/>
      <c r="GA42" s="307"/>
      <c r="GB42" s="307"/>
      <c r="GC42" s="307"/>
      <c r="GD42" s="307"/>
      <c r="GE42" s="307"/>
      <c r="GF42" s="307"/>
      <c r="GG42" s="307"/>
      <c r="GH42" s="307"/>
      <c r="GI42" s="307"/>
      <c r="GJ42" s="307"/>
      <c r="GK42" s="307"/>
      <c r="GL42" s="307"/>
      <c r="GM42" s="307"/>
      <c r="GN42" s="307"/>
      <c r="GO42" s="307"/>
      <c r="GP42" s="307"/>
      <c r="GQ42" s="307"/>
      <c r="GR42" s="307"/>
      <c r="GS42" s="307"/>
      <c r="GT42" s="307"/>
      <c r="GU42" s="307"/>
      <c r="GV42" s="307"/>
      <c r="GW42" s="307"/>
      <c r="GX42" s="307"/>
      <c r="GY42" s="307"/>
      <c r="GZ42" s="307"/>
      <c r="HA42" s="307"/>
      <c r="HB42" s="307"/>
      <c r="HC42" s="307"/>
      <c r="HD42" s="307"/>
      <c r="HE42" s="307"/>
      <c r="HF42" s="307"/>
      <c r="HG42" s="307"/>
      <c r="HH42" s="307"/>
      <c r="HI42" s="307"/>
      <c r="HJ42" s="307"/>
      <c r="HK42" s="307"/>
      <c r="HL42" s="307"/>
      <c r="HM42" s="307"/>
      <c r="HN42" s="307"/>
      <c r="HO42" s="307"/>
    </row>
    <row r="43" spans="1:29" ht="26.25" customHeight="1">
      <c r="A43" s="311"/>
      <c r="B43" s="355"/>
      <c r="C43" s="355"/>
      <c r="D43" s="383"/>
      <c r="E43" s="355"/>
      <c r="F43" s="315"/>
      <c r="G43" s="1061" t="s">
        <v>549</v>
      </c>
      <c r="H43" s="1062"/>
      <c r="I43" s="1062"/>
      <c r="J43" s="465">
        <v>10661310</v>
      </c>
      <c r="K43" s="1069">
        <f>SUM(J43:J45)</f>
        <v>11665588</v>
      </c>
      <c r="L43" s="1067"/>
      <c r="M43" s="1068"/>
      <c r="N43" s="1068"/>
      <c r="O43" s="1068"/>
      <c r="P43" s="1053"/>
      <c r="Q43" s="1069">
        <f>SUM(P43:P45)</f>
        <v>0</v>
      </c>
      <c r="R43" s="1074" t="s">
        <v>880</v>
      </c>
      <c r="S43" s="1064"/>
      <c r="T43" s="1064"/>
      <c r="U43" s="1064"/>
      <c r="V43" s="488">
        <v>127710</v>
      </c>
      <c r="W43" s="1090">
        <f>SUM(V43:V45)</f>
        <v>4044435</v>
      </c>
      <c r="X43" s="780"/>
      <c r="Y43" s="400"/>
      <c r="Z43" s="401"/>
      <c r="AA43" s="311"/>
      <c r="AB43" s="329"/>
      <c r="AC43" s="330"/>
    </row>
    <row r="44" spans="1:29" ht="19.5" customHeight="1">
      <c r="A44" s="402"/>
      <c r="B44" s="353"/>
      <c r="C44" s="353"/>
      <c r="D44" s="403"/>
      <c r="E44" s="355"/>
      <c r="F44" s="356"/>
      <c r="G44" s="1208" t="s">
        <v>994</v>
      </c>
      <c r="H44" s="1060"/>
      <c r="I44" s="1060"/>
      <c r="J44" s="466">
        <v>1004278</v>
      </c>
      <c r="K44" s="1070"/>
      <c r="L44" s="1076"/>
      <c r="M44" s="1062"/>
      <c r="N44" s="1062"/>
      <c r="O44" s="1062"/>
      <c r="P44" s="1163"/>
      <c r="Q44" s="1070"/>
      <c r="R44" s="1074" t="s">
        <v>881</v>
      </c>
      <c r="S44" s="1064"/>
      <c r="T44" s="1064"/>
      <c r="U44" s="1064"/>
      <c r="V44" s="488">
        <f>3458889+1</f>
        <v>3458890</v>
      </c>
      <c r="W44" s="1091"/>
      <c r="X44" s="779"/>
      <c r="Y44" s="338"/>
      <c r="Z44" s="328"/>
      <c r="AA44" s="339"/>
      <c r="AB44" s="340"/>
      <c r="AC44" s="341"/>
    </row>
    <row r="45" spans="1:29" ht="21" customHeight="1" thickBot="1">
      <c r="A45" s="402"/>
      <c r="B45" s="1141" t="s">
        <v>496</v>
      </c>
      <c r="C45" s="1142"/>
      <c r="D45" s="388">
        <f>SUM('6. kiadások megbontása'!D69)</f>
        <v>27070160</v>
      </c>
      <c r="E45" s="335">
        <f>SUM('6. kiadások megbontása'!E69)</f>
        <v>103900</v>
      </c>
      <c r="F45" s="336">
        <f>SUM(D45:E45)</f>
        <v>27174060</v>
      </c>
      <c r="G45" s="319"/>
      <c r="H45" s="319"/>
      <c r="I45" s="319"/>
      <c r="J45" s="466"/>
      <c r="K45" s="1070"/>
      <c r="L45" s="1076"/>
      <c r="M45" s="1062"/>
      <c r="N45" s="1062"/>
      <c r="O45" s="1062"/>
      <c r="P45" s="483"/>
      <c r="Q45" s="1070"/>
      <c r="R45" s="1074" t="s">
        <v>929</v>
      </c>
      <c r="S45" s="1064"/>
      <c r="T45" s="1064"/>
      <c r="U45" s="1064"/>
      <c r="V45" s="482">
        <v>457835</v>
      </c>
      <c r="W45" s="1091"/>
      <c r="X45" s="779">
        <f>SUM(W43,Q43,K43)</f>
        <v>15710023</v>
      </c>
      <c r="Y45" s="338">
        <v>0</v>
      </c>
      <c r="Z45" s="350">
        <f>SUM(Y45,X45)</f>
        <v>15710023</v>
      </c>
      <c r="AA45" s="348">
        <f>X45-D45</f>
        <v>-11360137</v>
      </c>
      <c r="AB45" s="349">
        <f>Y45-E45</f>
        <v>-103900</v>
      </c>
      <c r="AC45" s="341">
        <f>SUM(AA45:AB45)</f>
        <v>-11464037</v>
      </c>
    </row>
    <row r="46" spans="1:29" ht="15.75">
      <c r="A46" s="430"/>
      <c r="B46" s="431"/>
      <c r="C46" s="472"/>
      <c r="D46" s="432"/>
      <c r="E46" s="433"/>
      <c r="F46" s="434"/>
      <c r="G46" s="1065"/>
      <c r="H46" s="1066"/>
      <c r="I46" s="1066"/>
      <c r="J46" s="435"/>
      <c r="K46" s="1069">
        <f>SUM(J46:J47)</f>
        <v>0</v>
      </c>
      <c r="L46" s="1066"/>
      <c r="M46" s="1066"/>
      <c r="N46" s="1066"/>
      <c r="O46" s="1066"/>
      <c r="P46" s="435"/>
      <c r="Q46" s="1069">
        <f>SUM(P46:P47)</f>
        <v>0</v>
      </c>
      <c r="R46" s="436"/>
      <c r="S46" s="437"/>
      <c r="T46" s="437"/>
      <c r="U46" s="437"/>
      <c r="V46" s="438"/>
      <c r="W46" s="1069">
        <f>SUM(V46:V47)</f>
        <v>0</v>
      </c>
      <c r="X46" s="826"/>
      <c r="Y46" s="439"/>
      <c r="Z46" s="440"/>
      <c r="AA46" s="441"/>
      <c r="AB46" s="442"/>
      <c r="AC46" s="443"/>
    </row>
    <row r="47" spans="1:29" ht="16.5" thickBot="1">
      <c r="A47" s="1140" t="s">
        <v>497</v>
      </c>
      <c r="B47" s="1141"/>
      <c r="C47" s="1142"/>
      <c r="D47" s="388">
        <f>SUM('6. kiadások megbontása'!G69)</f>
        <v>49530</v>
      </c>
      <c r="E47" s="335">
        <f>SUM('6. kiadások megbontása'!H69)</f>
        <v>0</v>
      </c>
      <c r="F47" s="336">
        <f>SUM(D47:E47)</f>
        <v>49530</v>
      </c>
      <c r="G47" s="358"/>
      <c r="H47" s="359"/>
      <c r="I47" s="359"/>
      <c r="J47" s="444"/>
      <c r="K47" s="1070"/>
      <c r="L47" s="1060"/>
      <c r="M47" s="1060"/>
      <c r="N47" s="1060"/>
      <c r="O47" s="1060"/>
      <c r="P47" s="316"/>
      <c r="Q47" s="1070"/>
      <c r="R47" s="1164"/>
      <c r="S47" s="1165"/>
      <c r="T47" s="1165"/>
      <c r="U47" s="1165"/>
      <c r="V47" s="357"/>
      <c r="W47" s="1091"/>
      <c r="X47" s="827">
        <v>0</v>
      </c>
      <c r="Y47" s="338">
        <v>0</v>
      </c>
      <c r="Z47" s="350">
        <f>SUM(X47:Y47)</f>
        <v>0</v>
      </c>
      <c r="AA47" s="427">
        <f>X46-D47</f>
        <v>-49530</v>
      </c>
      <c r="AB47" s="349">
        <f>Y47-E47</f>
        <v>0</v>
      </c>
      <c r="AC47" s="351">
        <f>SUM(AA47:AB47)</f>
        <v>-49530</v>
      </c>
    </row>
    <row r="48" spans="1:223" s="459" customFormat="1" ht="33.75" customHeight="1" thickBot="1">
      <c r="A48" s="1174" t="s">
        <v>933</v>
      </c>
      <c r="B48" s="1175"/>
      <c r="C48" s="1176"/>
      <c r="D48" s="764">
        <f>SUM(D43:D47)</f>
        <v>27119690</v>
      </c>
      <c r="E48" s="765">
        <f>SUM(E43:E47)</f>
        <v>103900</v>
      </c>
      <c r="F48" s="766">
        <f>SUM(F43:F47)</f>
        <v>27223590</v>
      </c>
      <c r="G48" s="767"/>
      <c r="H48" s="1150" t="s">
        <v>99</v>
      </c>
      <c r="I48" s="1151"/>
      <c r="J48" s="1152"/>
      <c r="K48" s="768">
        <f>SUM(K46+K43)</f>
        <v>11665588</v>
      </c>
      <c r="L48" s="473"/>
      <c r="M48" s="1077" t="s">
        <v>100</v>
      </c>
      <c r="N48" s="1077"/>
      <c r="O48" s="1077"/>
      <c r="P48" s="1078"/>
      <c r="Q48" s="768">
        <f>SUM(Q43:Q47)</f>
        <v>0</v>
      </c>
      <c r="R48" s="475"/>
      <c r="S48" s="1077" t="s">
        <v>101</v>
      </c>
      <c r="T48" s="1077"/>
      <c r="U48" s="1077"/>
      <c r="V48" s="1078"/>
      <c r="W48" s="769">
        <f>SUM(W43:W47)</f>
        <v>4044435</v>
      </c>
      <c r="X48" s="770">
        <f>SUM(X43:X46)</f>
        <v>15710023</v>
      </c>
      <c r="Y48" s="771">
        <v>0</v>
      </c>
      <c r="Z48" s="772">
        <f>SUM(X48:Y48)</f>
        <v>15710023</v>
      </c>
      <c r="AA48" s="773">
        <f>X48-D48</f>
        <v>-11409667</v>
      </c>
      <c r="AB48" s="774">
        <f>Y48-E48</f>
        <v>-103900</v>
      </c>
      <c r="AC48" s="471">
        <f>SUM(AA48:AB48)</f>
        <v>-11513567</v>
      </c>
      <c r="AD48" s="481"/>
      <c r="AE48" s="481"/>
      <c r="AF48" s="481"/>
      <c r="AG48" s="481"/>
      <c r="AH48" s="481"/>
      <c r="AI48" s="481"/>
      <c r="AJ48" s="481"/>
      <c r="AK48" s="481"/>
      <c r="AL48" s="481"/>
      <c r="AM48" s="481"/>
      <c r="AN48" s="481"/>
      <c r="AO48" s="481"/>
      <c r="AP48" s="481"/>
      <c r="AQ48" s="481"/>
      <c r="AR48" s="481"/>
      <c r="AS48" s="481"/>
      <c r="AT48" s="481"/>
      <c r="AU48" s="481"/>
      <c r="AV48" s="481"/>
      <c r="AW48" s="481"/>
      <c r="AX48" s="481"/>
      <c r="AY48" s="481"/>
      <c r="AZ48" s="481"/>
      <c r="BA48" s="481"/>
      <c r="BB48" s="481"/>
      <c r="BC48" s="481"/>
      <c r="BD48" s="481"/>
      <c r="BE48" s="481"/>
      <c r="BF48" s="481"/>
      <c r="BG48" s="481"/>
      <c r="BH48" s="481"/>
      <c r="BI48" s="481"/>
      <c r="BJ48" s="481"/>
      <c r="BK48" s="481"/>
      <c r="BL48" s="481"/>
      <c r="BM48" s="481"/>
      <c r="BN48" s="481"/>
      <c r="BO48" s="481"/>
      <c r="BP48" s="481"/>
      <c r="BQ48" s="481"/>
      <c r="BR48" s="481"/>
      <c r="BS48" s="481"/>
      <c r="BT48" s="481"/>
      <c r="BU48" s="481"/>
      <c r="BV48" s="481"/>
      <c r="BW48" s="481"/>
      <c r="BX48" s="481"/>
      <c r="BY48" s="481"/>
      <c r="BZ48" s="481"/>
      <c r="CA48" s="481"/>
      <c r="CB48" s="481"/>
      <c r="CC48" s="481"/>
      <c r="CD48" s="481"/>
      <c r="CE48" s="481"/>
      <c r="CF48" s="481"/>
      <c r="CG48" s="481"/>
      <c r="CH48" s="481"/>
      <c r="CI48" s="481"/>
      <c r="CJ48" s="481"/>
      <c r="CK48" s="481"/>
      <c r="CL48" s="481"/>
      <c r="CM48" s="481"/>
      <c r="CN48" s="481"/>
      <c r="CO48" s="481"/>
      <c r="CP48" s="481"/>
      <c r="CQ48" s="481"/>
      <c r="CR48" s="481"/>
      <c r="CS48" s="481"/>
      <c r="CT48" s="481"/>
      <c r="CU48" s="481"/>
      <c r="CV48" s="481"/>
      <c r="CW48" s="481"/>
      <c r="CX48" s="481"/>
      <c r="CY48" s="481"/>
      <c r="CZ48" s="481"/>
      <c r="DA48" s="481"/>
      <c r="DB48" s="481"/>
      <c r="DC48" s="481"/>
      <c r="DD48" s="481"/>
      <c r="DE48" s="481"/>
      <c r="DF48" s="481"/>
      <c r="DG48" s="481"/>
      <c r="DH48" s="481"/>
      <c r="DI48" s="481"/>
      <c r="DJ48" s="481"/>
      <c r="DK48" s="481"/>
      <c r="DL48" s="481"/>
      <c r="DM48" s="481"/>
      <c r="DN48" s="481"/>
      <c r="DO48" s="481"/>
      <c r="DP48" s="481"/>
      <c r="DQ48" s="481"/>
      <c r="DR48" s="481"/>
      <c r="DS48" s="481"/>
      <c r="DT48" s="481"/>
      <c r="DU48" s="481"/>
      <c r="DV48" s="481"/>
      <c r="DW48" s="481"/>
      <c r="DX48" s="481"/>
      <c r="DY48" s="481"/>
      <c r="DZ48" s="481"/>
      <c r="EA48" s="481"/>
      <c r="EB48" s="481"/>
      <c r="EC48" s="481"/>
      <c r="ED48" s="481"/>
      <c r="EE48" s="481"/>
      <c r="EF48" s="481"/>
      <c r="EG48" s="481"/>
      <c r="EH48" s="481"/>
      <c r="EI48" s="481"/>
      <c r="EJ48" s="481"/>
      <c r="EK48" s="481"/>
      <c r="EL48" s="481"/>
      <c r="EM48" s="481"/>
      <c r="EN48" s="481"/>
      <c r="EO48" s="481"/>
      <c r="EP48" s="481"/>
      <c r="EQ48" s="481"/>
      <c r="ER48" s="481"/>
      <c r="ES48" s="481"/>
      <c r="ET48" s="481"/>
      <c r="EU48" s="481"/>
      <c r="EV48" s="481"/>
      <c r="EW48" s="481"/>
      <c r="EX48" s="481"/>
      <c r="EY48" s="481"/>
      <c r="EZ48" s="481"/>
      <c r="FA48" s="481"/>
      <c r="FB48" s="481"/>
      <c r="FC48" s="481"/>
      <c r="FD48" s="481"/>
      <c r="FE48" s="481"/>
      <c r="FF48" s="481"/>
      <c r="FG48" s="481"/>
      <c r="FH48" s="481"/>
      <c r="FI48" s="481"/>
      <c r="FJ48" s="481"/>
      <c r="FK48" s="481"/>
      <c r="FL48" s="481"/>
      <c r="FM48" s="481"/>
      <c r="FN48" s="481"/>
      <c r="FO48" s="481"/>
      <c r="FP48" s="481"/>
      <c r="FQ48" s="481"/>
      <c r="FR48" s="481"/>
      <c r="FS48" s="481"/>
      <c r="FT48" s="481"/>
      <c r="FU48" s="481"/>
      <c r="FV48" s="481"/>
      <c r="FW48" s="481"/>
      <c r="FX48" s="481"/>
      <c r="FY48" s="481"/>
      <c r="FZ48" s="481"/>
      <c r="GA48" s="481"/>
      <c r="GB48" s="481"/>
      <c r="GC48" s="481"/>
      <c r="GD48" s="481"/>
      <c r="GE48" s="481"/>
      <c r="GF48" s="481"/>
      <c r="GG48" s="481"/>
      <c r="GH48" s="481"/>
      <c r="GI48" s="481"/>
      <c r="GJ48" s="481"/>
      <c r="GK48" s="481"/>
      <c r="GL48" s="481"/>
      <c r="GM48" s="481"/>
      <c r="GN48" s="481"/>
      <c r="GO48" s="481"/>
      <c r="GP48" s="481"/>
      <c r="GQ48" s="481"/>
      <c r="GR48" s="481"/>
      <c r="GS48" s="481"/>
      <c r="GT48" s="481"/>
      <c r="GU48" s="481"/>
      <c r="GV48" s="481"/>
      <c r="GW48" s="481"/>
      <c r="GX48" s="481"/>
      <c r="GY48" s="481"/>
      <c r="GZ48" s="481"/>
      <c r="HA48" s="481"/>
      <c r="HB48" s="481"/>
      <c r="HC48" s="481"/>
      <c r="HD48" s="481"/>
      <c r="HE48" s="481"/>
      <c r="HF48" s="481"/>
      <c r="HG48" s="481"/>
      <c r="HH48" s="481"/>
      <c r="HI48" s="481"/>
      <c r="HJ48" s="481"/>
      <c r="HK48" s="481"/>
      <c r="HL48" s="481"/>
      <c r="HM48" s="481"/>
      <c r="HN48" s="481"/>
      <c r="HO48" s="481"/>
    </row>
    <row r="49" spans="1:29" ht="17.25" thickBot="1" thickTop="1">
      <c r="A49" s="409"/>
      <c r="B49" s="410"/>
      <c r="C49" s="410"/>
      <c r="D49" s="411"/>
      <c r="E49" s="412"/>
      <c r="F49" s="413"/>
      <c r="G49" s="412"/>
      <c r="H49" s="412"/>
      <c r="I49" s="414"/>
      <c r="J49" s="414"/>
      <c r="K49" s="415"/>
      <c r="L49" s="416"/>
      <c r="M49" s="412"/>
      <c r="N49" s="412"/>
      <c r="O49" s="412"/>
      <c r="P49" s="412"/>
      <c r="Q49" s="415"/>
      <c r="R49" s="412"/>
      <c r="S49" s="412"/>
      <c r="T49" s="412"/>
      <c r="U49" s="412"/>
      <c r="V49" s="412"/>
      <c r="W49" s="417"/>
      <c r="X49" s="418"/>
      <c r="Y49" s="419"/>
      <c r="Z49" s="420"/>
      <c r="AA49" s="409"/>
      <c r="AB49" s="421"/>
      <c r="AC49" s="422"/>
    </row>
    <row r="50" spans="1:29" ht="14.25" thickBot="1" thickTop="1">
      <c r="A50" s="1129" t="s">
        <v>801</v>
      </c>
      <c r="B50" s="1130"/>
      <c r="C50" s="1130"/>
      <c r="D50" s="1138" t="s">
        <v>370</v>
      </c>
      <c r="E50" s="1082"/>
      <c r="F50" s="1139"/>
      <c r="G50" s="1103" t="s">
        <v>521</v>
      </c>
      <c r="H50" s="1177"/>
      <c r="I50" s="1177"/>
      <c r="J50" s="1177"/>
      <c r="K50" s="1178"/>
      <c r="L50" s="1081" t="s">
        <v>522</v>
      </c>
      <c r="M50" s="1133"/>
      <c r="N50" s="1133"/>
      <c r="O50" s="1133"/>
      <c r="P50" s="1133"/>
      <c r="Q50" s="1134"/>
      <c r="R50" s="1081" t="s">
        <v>523</v>
      </c>
      <c r="S50" s="1133"/>
      <c r="T50" s="1133"/>
      <c r="U50" s="1133"/>
      <c r="V50" s="1133"/>
      <c r="W50" s="1206"/>
      <c r="X50" s="1146" t="s">
        <v>524</v>
      </c>
      <c r="Y50" s="1125"/>
      <c r="Z50" s="1125"/>
      <c r="AA50" s="1126" t="s">
        <v>92</v>
      </c>
      <c r="AB50" s="1127"/>
      <c r="AC50" s="1128"/>
    </row>
    <row r="51" spans="1:223" s="691" customFormat="1" ht="32.25" customHeight="1" thickBot="1">
      <c r="A51" s="1131"/>
      <c r="B51" s="1132"/>
      <c r="C51" s="1132"/>
      <c r="D51" s="455" t="s">
        <v>93</v>
      </c>
      <c r="E51" s="796" t="s">
        <v>89</v>
      </c>
      <c r="F51" s="310" t="s">
        <v>94</v>
      </c>
      <c r="G51" s="1179"/>
      <c r="H51" s="1180"/>
      <c r="I51" s="1180"/>
      <c r="J51" s="1180"/>
      <c r="K51" s="1181"/>
      <c r="L51" s="1135"/>
      <c r="M51" s="1136"/>
      <c r="N51" s="1136"/>
      <c r="O51" s="1136"/>
      <c r="P51" s="1136"/>
      <c r="Q51" s="1137"/>
      <c r="R51" s="1135"/>
      <c r="S51" s="1136"/>
      <c r="T51" s="1136"/>
      <c r="U51" s="1136"/>
      <c r="V51" s="1136"/>
      <c r="W51" s="1207"/>
      <c r="X51" s="781" t="s">
        <v>93</v>
      </c>
      <c r="Y51" s="455" t="s">
        <v>89</v>
      </c>
      <c r="Z51" s="782" t="s">
        <v>94</v>
      </c>
      <c r="AA51" s="454" t="s">
        <v>93</v>
      </c>
      <c r="AB51" s="455" t="s">
        <v>89</v>
      </c>
      <c r="AC51" s="310" t="s">
        <v>94</v>
      </c>
      <c r="AD51" s="775"/>
      <c r="AE51" s="775"/>
      <c r="AF51" s="775"/>
      <c r="AG51" s="775"/>
      <c r="AH51" s="775"/>
      <c r="AI51" s="775"/>
      <c r="AJ51" s="775"/>
      <c r="AK51" s="775"/>
      <c r="AL51" s="775"/>
      <c r="AM51" s="775"/>
      <c r="AN51" s="775"/>
      <c r="AO51" s="775"/>
      <c r="AP51" s="775"/>
      <c r="AQ51" s="775"/>
      <c r="AR51" s="775"/>
      <c r="AS51" s="775"/>
      <c r="AT51" s="775"/>
      <c r="AU51" s="775"/>
      <c r="AV51" s="775"/>
      <c r="AW51" s="775"/>
      <c r="AX51" s="775"/>
      <c r="AY51" s="775"/>
      <c r="AZ51" s="775"/>
      <c r="BA51" s="775"/>
      <c r="BB51" s="775"/>
      <c r="BC51" s="775"/>
      <c r="BD51" s="775"/>
      <c r="BE51" s="775"/>
      <c r="BF51" s="775"/>
      <c r="BG51" s="775"/>
      <c r="BH51" s="775"/>
      <c r="BI51" s="775"/>
      <c r="BJ51" s="775"/>
      <c r="BK51" s="775"/>
      <c r="BL51" s="775"/>
      <c r="BM51" s="775"/>
      <c r="BN51" s="775"/>
      <c r="BO51" s="775"/>
      <c r="BP51" s="775"/>
      <c r="BQ51" s="775"/>
      <c r="BR51" s="775"/>
      <c r="BS51" s="775"/>
      <c r="BT51" s="775"/>
      <c r="BU51" s="775"/>
      <c r="BV51" s="775"/>
      <c r="BW51" s="775"/>
      <c r="BX51" s="775"/>
      <c r="BY51" s="775"/>
      <c r="BZ51" s="775"/>
      <c r="CA51" s="775"/>
      <c r="CB51" s="775"/>
      <c r="CC51" s="775"/>
      <c r="CD51" s="775"/>
      <c r="CE51" s="775"/>
      <c r="CF51" s="775"/>
      <c r="CG51" s="775"/>
      <c r="CH51" s="775"/>
      <c r="CI51" s="775"/>
      <c r="CJ51" s="775"/>
      <c r="CK51" s="775"/>
      <c r="CL51" s="775"/>
      <c r="CM51" s="775"/>
      <c r="CN51" s="775"/>
      <c r="CO51" s="775"/>
      <c r="CP51" s="775"/>
      <c r="CQ51" s="775"/>
      <c r="CR51" s="775"/>
      <c r="CS51" s="775"/>
      <c r="CT51" s="775"/>
      <c r="CU51" s="775"/>
      <c r="CV51" s="775"/>
      <c r="CW51" s="775"/>
      <c r="CX51" s="775"/>
      <c r="CY51" s="775"/>
      <c r="CZ51" s="775"/>
      <c r="DA51" s="775"/>
      <c r="DB51" s="775"/>
      <c r="DC51" s="775"/>
      <c r="DD51" s="775"/>
      <c r="DE51" s="775"/>
      <c r="DF51" s="775"/>
      <c r="DG51" s="775"/>
      <c r="DH51" s="775"/>
      <c r="DI51" s="775"/>
      <c r="DJ51" s="775"/>
      <c r="DK51" s="775"/>
      <c r="DL51" s="775"/>
      <c r="DM51" s="775"/>
      <c r="DN51" s="775"/>
      <c r="DO51" s="775"/>
      <c r="DP51" s="775"/>
      <c r="DQ51" s="775"/>
      <c r="DR51" s="775"/>
      <c r="DS51" s="775"/>
      <c r="DT51" s="775"/>
      <c r="DU51" s="775"/>
      <c r="DV51" s="775"/>
      <c r="DW51" s="775"/>
      <c r="DX51" s="775"/>
      <c r="DY51" s="775"/>
      <c r="DZ51" s="775"/>
      <c r="EA51" s="775"/>
      <c r="EB51" s="775"/>
      <c r="EC51" s="775"/>
      <c r="ED51" s="775"/>
      <c r="EE51" s="775"/>
      <c r="EF51" s="775"/>
      <c r="EG51" s="775"/>
      <c r="EH51" s="775"/>
      <c r="EI51" s="775"/>
      <c r="EJ51" s="775"/>
      <c r="EK51" s="775"/>
      <c r="EL51" s="775"/>
      <c r="EM51" s="775"/>
      <c r="EN51" s="775"/>
      <c r="EO51" s="775"/>
      <c r="EP51" s="775"/>
      <c r="EQ51" s="775"/>
      <c r="ER51" s="775"/>
      <c r="ES51" s="775"/>
      <c r="ET51" s="775"/>
      <c r="EU51" s="775"/>
      <c r="EV51" s="775"/>
      <c r="EW51" s="775"/>
      <c r="EX51" s="775"/>
      <c r="EY51" s="775"/>
      <c r="EZ51" s="775"/>
      <c r="FA51" s="775"/>
      <c r="FB51" s="775"/>
      <c r="FC51" s="775"/>
      <c r="FD51" s="775"/>
      <c r="FE51" s="775"/>
      <c r="FF51" s="775"/>
      <c r="FG51" s="775"/>
      <c r="FH51" s="775"/>
      <c r="FI51" s="775"/>
      <c r="FJ51" s="775"/>
      <c r="FK51" s="775"/>
      <c r="FL51" s="775"/>
      <c r="FM51" s="775"/>
      <c r="FN51" s="775"/>
      <c r="FO51" s="775"/>
      <c r="FP51" s="775"/>
      <c r="FQ51" s="775"/>
      <c r="FR51" s="775"/>
      <c r="FS51" s="775"/>
      <c r="FT51" s="775"/>
      <c r="FU51" s="775"/>
      <c r="FV51" s="775"/>
      <c r="FW51" s="775"/>
      <c r="FX51" s="775"/>
      <c r="FY51" s="775"/>
      <c r="FZ51" s="775"/>
      <c r="GA51" s="775"/>
      <c r="GB51" s="775"/>
      <c r="GC51" s="775"/>
      <c r="GD51" s="775"/>
      <c r="GE51" s="775"/>
      <c r="GF51" s="775"/>
      <c r="GG51" s="775"/>
      <c r="GH51" s="775"/>
      <c r="GI51" s="775"/>
      <c r="GJ51" s="775"/>
      <c r="GK51" s="775"/>
      <c r="GL51" s="775"/>
      <c r="GM51" s="775"/>
      <c r="GN51" s="775"/>
      <c r="GO51" s="775"/>
      <c r="GP51" s="775"/>
      <c r="GQ51" s="775"/>
      <c r="GR51" s="775"/>
      <c r="GS51" s="775"/>
      <c r="GT51" s="775"/>
      <c r="GU51" s="775"/>
      <c r="GV51" s="775"/>
      <c r="GW51" s="775"/>
      <c r="GX51" s="775"/>
      <c r="GY51" s="775"/>
      <c r="GZ51" s="775"/>
      <c r="HA51" s="775"/>
      <c r="HB51" s="775"/>
      <c r="HC51" s="775"/>
      <c r="HD51" s="775"/>
      <c r="HE51" s="775"/>
      <c r="HF51" s="775"/>
      <c r="HG51" s="775"/>
      <c r="HH51" s="775"/>
      <c r="HI51" s="775"/>
      <c r="HJ51" s="775"/>
      <c r="HK51" s="775"/>
      <c r="HL51" s="775"/>
      <c r="HM51" s="775"/>
      <c r="HN51" s="775"/>
      <c r="HO51" s="775"/>
    </row>
    <row r="52" spans="1:29" ht="25.5" customHeight="1">
      <c r="A52" s="402"/>
      <c r="B52" s="355"/>
      <c r="C52" s="355"/>
      <c r="D52" s="383"/>
      <c r="E52" s="355"/>
      <c r="F52" s="356"/>
      <c r="G52" s="1063" t="s">
        <v>483</v>
      </c>
      <c r="H52" s="1064"/>
      <c r="I52" s="1064"/>
      <c r="J52" s="483">
        <v>14052400</v>
      </c>
      <c r="K52" s="1069">
        <f>SUM(J52:J58)</f>
        <v>166706854</v>
      </c>
      <c r="L52" s="1171" t="s">
        <v>875</v>
      </c>
      <c r="M52" s="1068"/>
      <c r="N52" s="1068"/>
      <c r="O52" s="1068"/>
      <c r="P52" s="483">
        <v>3971695</v>
      </c>
      <c r="Q52" s="1204">
        <f>SUM(P52:P58)</f>
        <v>3971695</v>
      </c>
      <c r="R52" s="1079" t="s">
        <v>528</v>
      </c>
      <c r="S52" s="1080"/>
      <c r="T52" s="1080"/>
      <c r="U52" s="1080"/>
      <c r="V52" s="488">
        <v>1223067</v>
      </c>
      <c r="W52" s="1055">
        <f>SUM(V52:V58)</f>
        <v>1849212</v>
      </c>
      <c r="X52" s="355"/>
      <c r="Y52" s="383"/>
      <c r="Z52" s="424"/>
      <c r="AA52" s="402"/>
      <c r="AB52" s="383"/>
      <c r="AC52" s="330"/>
    </row>
    <row r="53" spans="1:29" ht="25.5" customHeight="1">
      <c r="A53" s="402"/>
      <c r="B53" s="355"/>
      <c r="C53" s="382"/>
      <c r="D53" s="383"/>
      <c r="E53" s="355"/>
      <c r="F53" s="356"/>
      <c r="G53" s="1111" t="s">
        <v>636</v>
      </c>
      <c r="H53" s="1080"/>
      <c r="I53" s="1080"/>
      <c r="J53" s="483">
        <v>93484500</v>
      </c>
      <c r="K53" s="1070"/>
      <c r="L53" s="1172"/>
      <c r="M53" s="1173"/>
      <c r="N53" s="1173"/>
      <c r="O53" s="1173"/>
      <c r="P53" s="357"/>
      <c r="Q53" s="1205"/>
      <c r="R53" s="1074" t="s">
        <v>775</v>
      </c>
      <c r="S53" s="1064"/>
      <c r="T53" s="1064"/>
      <c r="U53" s="1064"/>
      <c r="V53" s="488">
        <v>626145</v>
      </c>
      <c r="W53" s="1113"/>
      <c r="X53" s="316"/>
      <c r="Y53" s="340"/>
      <c r="Z53" s="328"/>
      <c r="AA53" s="339"/>
      <c r="AB53" s="340"/>
      <c r="AC53" s="341"/>
    </row>
    <row r="54" spans="1:29" ht="30" customHeight="1">
      <c r="A54" s="402"/>
      <c r="B54" s="355"/>
      <c r="C54" s="382"/>
      <c r="D54" s="383"/>
      <c r="E54" s="355"/>
      <c r="F54" s="356"/>
      <c r="G54" s="1111" t="s">
        <v>544</v>
      </c>
      <c r="H54" s="1080"/>
      <c r="I54" s="1080"/>
      <c r="J54" s="488">
        <v>6780668</v>
      </c>
      <c r="K54" s="1070"/>
      <c r="L54" s="460"/>
      <c r="M54" s="461"/>
      <c r="N54" s="461"/>
      <c r="O54" s="461"/>
      <c r="P54" s="357"/>
      <c r="Q54" s="1205"/>
      <c r="R54" s="1074"/>
      <c r="S54" s="1064"/>
      <c r="T54" s="1064"/>
      <c r="U54" s="1064"/>
      <c r="V54" s="488"/>
      <c r="W54" s="1113"/>
      <c r="X54" s="316"/>
      <c r="Y54" s="340"/>
      <c r="Z54" s="328"/>
      <c r="AA54" s="339"/>
      <c r="AB54" s="340"/>
      <c r="AC54" s="341"/>
    </row>
    <row r="55" spans="1:29" ht="26.25" customHeight="1">
      <c r="A55" s="1140" t="s">
        <v>496</v>
      </c>
      <c r="B55" s="1166"/>
      <c r="C55" s="1167"/>
      <c r="D55" s="388">
        <f>SUM('6. kiadások megbontása'!D64)</f>
        <v>206129134</v>
      </c>
      <c r="E55" s="335">
        <f>SUM('6. kiadások megbontása'!E64)</f>
        <v>304800</v>
      </c>
      <c r="F55" s="336">
        <f>SUM(D55:E55)</f>
        <v>206433934</v>
      </c>
      <c r="G55" s="1111" t="s">
        <v>777</v>
      </c>
      <c r="H55" s="1080"/>
      <c r="I55" s="1080"/>
      <c r="J55" s="483">
        <v>24032378</v>
      </c>
      <c r="K55" s="1070"/>
      <c r="L55" s="381"/>
      <c r="M55" s="355"/>
      <c r="N55" s="355"/>
      <c r="O55" s="355"/>
      <c r="P55" s="355"/>
      <c r="Q55" s="1205"/>
      <c r="R55" s="1076"/>
      <c r="S55" s="1062"/>
      <c r="T55" s="1062"/>
      <c r="U55" s="1062"/>
      <c r="V55" s="316"/>
      <c r="W55" s="1113"/>
      <c r="X55" s="426">
        <f>SUM(W52+Q52+K52)</f>
        <v>172527761</v>
      </c>
      <c r="Y55" s="349">
        <v>0</v>
      </c>
      <c r="Z55" s="350">
        <f>SUM(X55:Y55)</f>
        <v>172527761</v>
      </c>
      <c r="AA55" s="427">
        <f>X55-D55</f>
        <v>-33601373</v>
      </c>
      <c r="AB55" s="349">
        <f>Y55-E55</f>
        <v>-304800</v>
      </c>
      <c r="AC55" s="351">
        <f>SUM(AA55:AB55)</f>
        <v>-33906173</v>
      </c>
    </row>
    <row r="56" spans="1:29" ht="29.25" customHeight="1">
      <c r="A56" s="331"/>
      <c r="B56" s="428"/>
      <c r="C56" s="622"/>
      <c r="D56" s="388"/>
      <c r="E56" s="335"/>
      <c r="F56" s="336"/>
      <c r="G56" s="1111" t="s">
        <v>779</v>
      </c>
      <c r="H56" s="1080"/>
      <c r="I56" s="1080"/>
      <c r="J56" s="488">
        <v>18590000</v>
      </c>
      <c r="K56" s="1070"/>
      <c r="L56" s="381"/>
      <c r="M56" s="355"/>
      <c r="N56" s="355"/>
      <c r="O56" s="355"/>
      <c r="P56" s="429"/>
      <c r="Q56" s="1205"/>
      <c r="R56" s="1076"/>
      <c r="S56" s="1062"/>
      <c r="T56" s="1062"/>
      <c r="U56" s="1062"/>
      <c r="V56" s="425"/>
      <c r="W56" s="1113"/>
      <c r="X56" s="404"/>
      <c r="Y56" s="338"/>
      <c r="Z56" s="350"/>
      <c r="AA56" s="348"/>
      <c r="AB56" s="349"/>
      <c r="AC56" s="341"/>
    </row>
    <row r="57" spans="1:29" ht="36.75" customHeight="1">
      <c r="A57" s="331"/>
      <c r="B57" s="428"/>
      <c r="C57" s="622"/>
      <c r="D57" s="388"/>
      <c r="E57" s="335"/>
      <c r="F57" s="336"/>
      <c r="G57" s="1061" t="s">
        <v>992</v>
      </c>
      <c r="H57" s="1062"/>
      <c r="I57" s="1062"/>
      <c r="J57" s="488">
        <v>9248756</v>
      </c>
      <c r="K57" s="1070"/>
      <c r="L57" s="381"/>
      <c r="M57" s="355"/>
      <c r="N57" s="355"/>
      <c r="O57" s="355"/>
      <c r="P57" s="429"/>
      <c r="Q57" s="1205"/>
      <c r="R57" s="800"/>
      <c r="S57" s="801"/>
      <c r="T57" s="801"/>
      <c r="U57" s="801"/>
      <c r="V57" s="425"/>
      <c r="W57" s="1113"/>
      <c r="X57" s="404"/>
      <c r="Y57" s="338"/>
      <c r="Z57" s="350"/>
      <c r="AA57" s="348"/>
      <c r="AB57" s="349"/>
      <c r="AC57" s="341"/>
    </row>
    <row r="58" spans="1:29" ht="19.5" customHeight="1" thickBot="1">
      <c r="A58" s="331"/>
      <c r="B58" s="428"/>
      <c r="C58" s="622"/>
      <c r="D58" s="388"/>
      <c r="E58" s="335"/>
      <c r="F58" s="336"/>
      <c r="G58" s="1061" t="s">
        <v>985</v>
      </c>
      <c r="H58" s="1062"/>
      <c r="I58" s="1062"/>
      <c r="J58" s="316">
        <f>597022-78870</f>
        <v>518152</v>
      </c>
      <c r="K58" s="1070"/>
      <c r="L58" s="381"/>
      <c r="M58" s="355"/>
      <c r="N58" s="355"/>
      <c r="O58" s="355"/>
      <c r="P58" s="429"/>
      <c r="Q58" s="1205"/>
      <c r="R58" s="318"/>
      <c r="S58" s="319"/>
      <c r="T58" s="319"/>
      <c r="U58" s="319"/>
      <c r="V58" s="425"/>
      <c r="W58" s="1056"/>
      <c r="X58" s="404"/>
      <c r="Y58" s="338"/>
      <c r="Z58" s="350"/>
      <c r="AA58" s="348"/>
      <c r="AB58" s="349"/>
      <c r="AC58" s="341"/>
    </row>
    <row r="59" spans="1:29" ht="15.75" customHeight="1">
      <c r="A59" s="1185" t="s">
        <v>497</v>
      </c>
      <c r="B59" s="1186"/>
      <c r="C59" s="1187"/>
      <c r="D59" s="1193">
        <f>'6. kiadások megbontása'!G64</f>
        <v>95003105</v>
      </c>
      <c r="E59" s="1193">
        <f>SUM('6. kiadások megbontása'!H64)</f>
        <v>4099743</v>
      </c>
      <c r="F59" s="1195">
        <f>SUM(D59:E59)</f>
        <v>99102848</v>
      </c>
      <c r="G59" s="1110" t="s">
        <v>871</v>
      </c>
      <c r="H59" s="1050"/>
      <c r="I59" s="1050"/>
      <c r="J59" s="760">
        <v>11287000</v>
      </c>
      <c r="K59" s="1090">
        <f>SUM(J59:J61)</f>
        <v>11570018</v>
      </c>
      <c r="L59" s="1065" t="s">
        <v>931</v>
      </c>
      <c r="M59" s="1066"/>
      <c r="N59" s="1066"/>
      <c r="O59" s="1066"/>
      <c r="P59" s="435">
        <v>6245115</v>
      </c>
      <c r="Q59" s="1069">
        <f>SUM(P59:P60)</f>
        <v>49652374</v>
      </c>
      <c r="R59" s="1049" t="s">
        <v>988</v>
      </c>
      <c r="S59" s="1050"/>
      <c r="T59" s="1050"/>
      <c r="U59" s="1050"/>
      <c r="V59" s="1053">
        <v>31099867</v>
      </c>
      <c r="W59" s="1055">
        <f>SUM(V59)</f>
        <v>31099867</v>
      </c>
      <c r="X59" s="1043">
        <f>SUM(K59+Q59+W59)</f>
        <v>92322259</v>
      </c>
      <c r="Y59" s="1046">
        <f>Q61+W61</f>
        <v>4099743</v>
      </c>
      <c r="Z59" s="1040">
        <f>SUM(X59:Y60)</f>
        <v>96422002</v>
      </c>
      <c r="AA59" s="1043">
        <f>X59-D59</f>
        <v>-2680846</v>
      </c>
      <c r="AB59" s="1046">
        <f>Y59-E59</f>
        <v>0</v>
      </c>
      <c r="AC59" s="1040">
        <f>SUM(AA59:AB59)</f>
        <v>-2680846</v>
      </c>
    </row>
    <row r="60" spans="1:29" ht="24.75" customHeight="1" thickBot="1">
      <c r="A60" s="1188"/>
      <c r="B60" s="1189"/>
      <c r="C60" s="1190"/>
      <c r="D60" s="1194"/>
      <c r="E60" s="1194"/>
      <c r="F60" s="1196"/>
      <c r="G60" s="1063" t="s">
        <v>991</v>
      </c>
      <c r="H60" s="1064"/>
      <c r="I60" s="1064"/>
      <c r="J60" s="488">
        <v>195364</v>
      </c>
      <c r="K60" s="1091"/>
      <c r="L60" s="1076" t="s">
        <v>982</v>
      </c>
      <c r="M60" s="1062"/>
      <c r="N60" s="1062"/>
      <c r="O60" s="1062"/>
      <c r="P60" s="316">
        <v>43407259</v>
      </c>
      <c r="Q60" s="1070"/>
      <c r="R60" s="1051"/>
      <c r="S60" s="1052"/>
      <c r="T60" s="1052"/>
      <c r="U60" s="1052"/>
      <c r="V60" s="1054"/>
      <c r="W60" s="1056"/>
      <c r="X60" s="1044"/>
      <c r="Y60" s="1047"/>
      <c r="Z60" s="1041"/>
      <c r="AA60" s="1044"/>
      <c r="AB60" s="1047"/>
      <c r="AC60" s="1041"/>
    </row>
    <row r="61" spans="1:29" ht="39" customHeight="1" thickBot="1">
      <c r="A61" s="806"/>
      <c r="B61" s="807"/>
      <c r="C61" s="808"/>
      <c r="D61" s="809"/>
      <c r="E61" s="820"/>
      <c r="F61" s="810"/>
      <c r="G61" s="1061" t="s">
        <v>993</v>
      </c>
      <c r="H61" s="1062"/>
      <c r="I61" s="1062"/>
      <c r="J61" s="825">
        <v>87654</v>
      </c>
      <c r="K61" s="1116"/>
      <c r="L61" s="1202" t="s">
        <v>987</v>
      </c>
      <c r="M61" s="1203"/>
      <c r="N61" s="1203"/>
      <c r="O61" s="1203"/>
      <c r="P61" s="873">
        <v>1687190</v>
      </c>
      <c r="Q61" s="819">
        <f>SUM(P61)</f>
        <v>1687190</v>
      </c>
      <c r="R61" s="1049" t="s">
        <v>989</v>
      </c>
      <c r="S61" s="1050"/>
      <c r="T61" s="1050"/>
      <c r="U61" s="1050"/>
      <c r="V61" s="824">
        <v>2412553</v>
      </c>
      <c r="W61" s="823">
        <f>SUM(V61)</f>
        <v>2412553</v>
      </c>
      <c r="X61" s="1045"/>
      <c r="Y61" s="1048"/>
      <c r="Z61" s="1042"/>
      <c r="AA61" s="1045"/>
      <c r="AB61" s="1048"/>
      <c r="AC61" s="1042"/>
    </row>
    <row r="62" spans="1:223" s="459" customFormat="1" ht="44.25" customHeight="1" thickBot="1" thickTop="1">
      <c r="A62" s="1168" t="s">
        <v>932</v>
      </c>
      <c r="B62" s="1169"/>
      <c r="C62" s="1170"/>
      <c r="D62" s="684">
        <f>SUM(D53:D60)</f>
        <v>301132239</v>
      </c>
      <c r="E62" s="685">
        <f>SUM(E53:E60)</f>
        <v>4404543</v>
      </c>
      <c r="F62" s="766">
        <f>SUM(D62:E62)</f>
        <v>305536782</v>
      </c>
      <c r="G62" s="821"/>
      <c r="H62" s="1150" t="s">
        <v>99</v>
      </c>
      <c r="I62" s="1151"/>
      <c r="J62" s="1152"/>
      <c r="K62" s="474">
        <f>SUM(K52:K60)</f>
        <v>178276872</v>
      </c>
      <c r="L62" s="473"/>
      <c r="M62" s="1077" t="s">
        <v>100</v>
      </c>
      <c r="N62" s="1077"/>
      <c r="O62" s="1077"/>
      <c r="P62" s="1078"/>
      <c r="Q62" s="474">
        <f>SUM(Q52:Q61)</f>
        <v>55311259</v>
      </c>
      <c r="R62" s="475"/>
      <c r="S62" s="1077" t="s">
        <v>101</v>
      </c>
      <c r="T62" s="1077"/>
      <c r="U62" s="1077"/>
      <c r="V62" s="1078"/>
      <c r="W62" s="476">
        <f>SUM(W52:W61)</f>
        <v>35361632</v>
      </c>
      <c r="X62" s="477">
        <f>SUM(X51:X59)</f>
        <v>264850020</v>
      </c>
      <c r="Y62" s="478">
        <f>SUM(Y51:Y59)</f>
        <v>4099743</v>
      </c>
      <c r="Z62" s="479">
        <f>SUM(X62:Y62)</f>
        <v>268949763</v>
      </c>
      <c r="AA62" s="477">
        <f>X62-D62</f>
        <v>-36282219</v>
      </c>
      <c r="AB62" s="480">
        <f>Y62-E62</f>
        <v>-304800</v>
      </c>
      <c r="AC62" s="479">
        <f>SUM(AA62:AB62)</f>
        <v>-36587019</v>
      </c>
      <c r="AD62" s="481"/>
      <c r="AE62" s="481"/>
      <c r="AF62" s="481"/>
      <c r="AG62" s="481"/>
      <c r="AH62" s="481"/>
      <c r="AI62" s="481"/>
      <c r="AJ62" s="481"/>
      <c r="AK62" s="481"/>
      <c r="AL62" s="481"/>
      <c r="AM62" s="481"/>
      <c r="AN62" s="481"/>
      <c r="AO62" s="481"/>
      <c r="AP62" s="481"/>
      <c r="AQ62" s="481"/>
      <c r="AR62" s="481"/>
      <c r="AS62" s="481"/>
      <c r="AT62" s="481"/>
      <c r="AU62" s="481"/>
      <c r="AV62" s="481"/>
      <c r="AW62" s="481"/>
      <c r="AX62" s="481"/>
      <c r="AY62" s="481"/>
      <c r="AZ62" s="481"/>
      <c r="BA62" s="481"/>
      <c r="BB62" s="481"/>
      <c r="BC62" s="481"/>
      <c r="BD62" s="481"/>
      <c r="BE62" s="481"/>
      <c r="BF62" s="481"/>
      <c r="BG62" s="481"/>
      <c r="BH62" s="481"/>
      <c r="BI62" s="481"/>
      <c r="BJ62" s="481"/>
      <c r="BK62" s="481"/>
      <c r="BL62" s="481"/>
      <c r="BM62" s="481"/>
      <c r="BN62" s="481"/>
      <c r="BO62" s="481"/>
      <c r="BP62" s="481"/>
      <c r="BQ62" s="481"/>
      <c r="BR62" s="481"/>
      <c r="BS62" s="481"/>
      <c r="BT62" s="481"/>
      <c r="BU62" s="481"/>
      <c r="BV62" s="481"/>
      <c r="BW62" s="481"/>
      <c r="BX62" s="481"/>
      <c r="BY62" s="481"/>
      <c r="BZ62" s="481"/>
      <c r="CA62" s="481"/>
      <c r="CB62" s="481"/>
      <c r="CC62" s="481"/>
      <c r="CD62" s="481"/>
      <c r="CE62" s="481"/>
      <c r="CF62" s="481"/>
      <c r="CG62" s="481"/>
      <c r="CH62" s="481"/>
      <c r="CI62" s="481"/>
      <c r="CJ62" s="481"/>
      <c r="CK62" s="481"/>
      <c r="CL62" s="481"/>
      <c r="CM62" s="481"/>
      <c r="CN62" s="481"/>
      <c r="CO62" s="481"/>
      <c r="CP62" s="481"/>
      <c r="CQ62" s="481"/>
      <c r="CR62" s="481"/>
      <c r="CS62" s="481"/>
      <c r="CT62" s="481"/>
      <c r="CU62" s="481"/>
      <c r="CV62" s="481"/>
      <c r="CW62" s="481"/>
      <c r="CX62" s="481"/>
      <c r="CY62" s="481"/>
      <c r="CZ62" s="481"/>
      <c r="DA62" s="481"/>
      <c r="DB62" s="481"/>
      <c r="DC62" s="481"/>
      <c r="DD62" s="481"/>
      <c r="DE62" s="481"/>
      <c r="DF62" s="481"/>
      <c r="DG62" s="481"/>
      <c r="DH62" s="481"/>
      <c r="DI62" s="481"/>
      <c r="DJ62" s="481"/>
      <c r="DK62" s="481"/>
      <c r="DL62" s="481"/>
      <c r="DM62" s="481"/>
      <c r="DN62" s="481"/>
      <c r="DO62" s="481"/>
      <c r="DP62" s="481"/>
      <c r="DQ62" s="481"/>
      <c r="DR62" s="481"/>
      <c r="DS62" s="481"/>
      <c r="DT62" s="481"/>
      <c r="DU62" s="481"/>
      <c r="DV62" s="481"/>
      <c r="DW62" s="481"/>
      <c r="DX62" s="481"/>
      <c r="DY62" s="481"/>
      <c r="DZ62" s="481"/>
      <c r="EA62" s="481"/>
      <c r="EB62" s="481"/>
      <c r="EC62" s="481"/>
      <c r="ED62" s="481"/>
      <c r="EE62" s="481"/>
      <c r="EF62" s="481"/>
      <c r="EG62" s="481"/>
      <c r="EH62" s="481"/>
      <c r="EI62" s="481"/>
      <c r="EJ62" s="481"/>
      <c r="EK62" s="481"/>
      <c r="EL62" s="481"/>
      <c r="EM62" s="481"/>
      <c r="EN62" s="481"/>
      <c r="EO62" s="481"/>
      <c r="EP62" s="481"/>
      <c r="EQ62" s="481"/>
      <c r="ER62" s="481"/>
      <c r="ES62" s="481"/>
      <c r="ET62" s="481"/>
      <c r="EU62" s="481"/>
      <c r="EV62" s="481"/>
      <c r="EW62" s="481"/>
      <c r="EX62" s="481"/>
      <c r="EY62" s="481"/>
      <c r="EZ62" s="481"/>
      <c r="FA62" s="481"/>
      <c r="FB62" s="481"/>
      <c r="FC62" s="481"/>
      <c r="FD62" s="481"/>
      <c r="FE62" s="481"/>
      <c r="FF62" s="481"/>
      <c r="FG62" s="481"/>
      <c r="FH62" s="481"/>
      <c r="FI62" s="481"/>
      <c r="FJ62" s="481"/>
      <c r="FK62" s="481"/>
      <c r="FL62" s="481"/>
      <c r="FM62" s="481"/>
      <c r="FN62" s="481"/>
      <c r="FO62" s="481"/>
      <c r="FP62" s="481"/>
      <c r="FQ62" s="481"/>
      <c r="FR62" s="481"/>
      <c r="FS62" s="481"/>
      <c r="FT62" s="481"/>
      <c r="FU62" s="481"/>
      <c r="FV62" s="481"/>
      <c r="FW62" s="481"/>
      <c r="FX62" s="481"/>
      <c r="FY62" s="481"/>
      <c r="FZ62" s="481"/>
      <c r="GA62" s="481"/>
      <c r="GB62" s="481"/>
      <c r="GC62" s="481"/>
      <c r="GD62" s="481"/>
      <c r="GE62" s="481"/>
      <c r="GF62" s="481"/>
      <c r="GG62" s="481"/>
      <c r="GH62" s="481"/>
      <c r="GI62" s="481"/>
      <c r="GJ62" s="481"/>
      <c r="GK62" s="481"/>
      <c r="GL62" s="481"/>
      <c r="GM62" s="481"/>
      <c r="GN62" s="481"/>
      <c r="GO62" s="481"/>
      <c r="GP62" s="481"/>
      <c r="GQ62" s="481"/>
      <c r="GR62" s="481"/>
      <c r="GS62" s="481"/>
      <c r="GT62" s="481"/>
      <c r="GU62" s="481"/>
      <c r="GV62" s="481"/>
      <c r="GW62" s="481"/>
      <c r="GX62" s="481"/>
      <c r="GY62" s="481"/>
      <c r="GZ62" s="481"/>
      <c r="HA62" s="481"/>
      <c r="HB62" s="481"/>
      <c r="HC62" s="481"/>
      <c r="HD62" s="481"/>
      <c r="HE62" s="481"/>
      <c r="HF62" s="481"/>
      <c r="HG62" s="481"/>
      <c r="HH62" s="481"/>
      <c r="HI62" s="481"/>
      <c r="HJ62" s="481"/>
      <c r="HK62" s="481"/>
      <c r="HL62" s="481"/>
      <c r="HM62" s="481"/>
      <c r="HN62" s="481"/>
      <c r="HO62" s="481"/>
    </row>
    <row r="63" spans="1:29" ht="21" customHeight="1" thickBot="1" thickTop="1">
      <c r="A63" s="1182" t="s">
        <v>373</v>
      </c>
      <c r="B63" s="1183"/>
      <c r="C63" s="1184"/>
      <c r="D63" s="446">
        <f>SUM(D62,D40,D32,D48)</f>
        <v>1312900057</v>
      </c>
      <c r="E63" s="446">
        <f>SUM(E62,E40,E32,E48)</f>
        <v>389389212</v>
      </c>
      <c r="F63" s="686">
        <f>SUM(D63:E63)</f>
        <v>1702289269</v>
      </c>
      <c r="G63" s="822"/>
      <c r="H63" s="1199" t="s">
        <v>104</v>
      </c>
      <c r="I63" s="1200"/>
      <c r="J63" s="1201"/>
      <c r="K63" s="448">
        <f>SUM(K62,K40,K32,K48)</f>
        <v>502208628</v>
      </c>
      <c r="L63" s="447"/>
      <c r="M63" s="1197" t="s">
        <v>105</v>
      </c>
      <c r="N63" s="1197"/>
      <c r="O63" s="1197"/>
      <c r="P63" s="1198"/>
      <c r="Q63" s="448">
        <f>SUM(Q62,Q40,Q32,Q48)</f>
        <v>518995152</v>
      </c>
      <c r="R63" s="449"/>
      <c r="S63" s="1197" t="s">
        <v>106</v>
      </c>
      <c r="T63" s="1197"/>
      <c r="U63" s="1197"/>
      <c r="V63" s="1198"/>
      <c r="W63" s="777">
        <f>SUM(W62,W40,W32,W48)</f>
        <v>681085489</v>
      </c>
      <c r="X63" s="778">
        <f>SUM(X62,X40,X32,X48)</f>
        <v>1285112882</v>
      </c>
      <c r="Y63" s="450">
        <f>SUM(Y62,Y40,Y32,Y48)</f>
        <v>417176387</v>
      </c>
      <c r="Z63" s="451">
        <f>SUM(W63+Q63+K63)</f>
        <v>1702289269</v>
      </c>
      <c r="AA63" s="450">
        <f>SUM(AA62,AA40,AA32,AA48)</f>
        <v>-27787175</v>
      </c>
      <c r="AB63" s="450">
        <f>SUM(AB62,AB40,AB32,AB48)</f>
        <v>27787175</v>
      </c>
      <c r="AC63" s="686">
        <f>SUM(AC62,AC40,AC32,AC48)</f>
        <v>0</v>
      </c>
    </row>
    <row r="64" spans="1:29" ht="19.5" thickTop="1">
      <c r="A64" s="1191"/>
      <c r="B64" s="1192"/>
      <c r="C64" s="1192"/>
      <c r="D64" s="423"/>
      <c r="E64" s="423"/>
      <c r="F64" s="423"/>
      <c r="G64" s="369"/>
      <c r="H64" s="369"/>
      <c r="I64" s="369"/>
      <c r="J64" s="452"/>
      <c r="K64" s="399"/>
      <c r="L64" s="367"/>
      <c r="M64" s="355"/>
      <c r="N64" s="355"/>
      <c r="O64" s="355"/>
      <c r="P64" s="355"/>
      <c r="Q64" s="355"/>
      <c r="R64" s="367"/>
      <c r="S64" s="423"/>
      <c r="T64" s="423"/>
      <c r="U64" s="423"/>
      <c r="V64" s="423"/>
      <c r="W64" s="423"/>
      <c r="X64" s="423"/>
      <c r="Y64" s="423"/>
      <c r="Z64" s="423"/>
      <c r="AA64" s="423"/>
      <c r="AB64" s="423"/>
      <c r="AC64" s="367"/>
    </row>
    <row r="65" spans="1:3" ht="12.75">
      <c r="A65" s="423"/>
      <c r="B65" s="423"/>
      <c r="C65" s="423"/>
    </row>
    <row r="67" spans="1:2" ht="12.75">
      <c r="A67" s="876">
        <v>13</v>
      </c>
      <c r="B67" s="876" t="s">
        <v>1041</v>
      </c>
    </row>
  </sheetData>
  <sheetProtection/>
  <mergeCells count="201">
    <mergeCell ref="M48:P48"/>
    <mergeCell ref="A40:C40"/>
    <mergeCell ref="M40:P40"/>
    <mergeCell ref="Q46:Q47"/>
    <mergeCell ref="L43:O44"/>
    <mergeCell ref="A47:C47"/>
    <mergeCell ref="L46:O46"/>
    <mergeCell ref="B45:C45"/>
    <mergeCell ref="L41:Q42"/>
    <mergeCell ref="P35:P36"/>
    <mergeCell ref="G46:I46"/>
    <mergeCell ref="W46:W47"/>
    <mergeCell ref="R45:U45"/>
    <mergeCell ref="D41:F41"/>
    <mergeCell ref="P43:P44"/>
    <mergeCell ref="A41:C42"/>
    <mergeCell ref="B37:C37"/>
    <mergeCell ref="A31:C31"/>
    <mergeCell ref="AA41:AC41"/>
    <mergeCell ref="S32:V32"/>
    <mergeCell ref="L31:O31"/>
    <mergeCell ref="L39:O39"/>
    <mergeCell ref="W35:W39"/>
    <mergeCell ref="G35:I36"/>
    <mergeCell ref="L38:O38"/>
    <mergeCell ref="G44:I44"/>
    <mergeCell ref="L45:O45"/>
    <mergeCell ref="H40:J40"/>
    <mergeCell ref="Q35:Q39"/>
    <mergeCell ref="R35:U36"/>
    <mergeCell ref="G41:K42"/>
    <mergeCell ref="Q52:Q58"/>
    <mergeCell ref="R52:U52"/>
    <mergeCell ref="R53:U53"/>
    <mergeCell ref="K43:K45"/>
    <mergeCell ref="W43:W45"/>
    <mergeCell ref="R50:W51"/>
    <mergeCell ref="R54:U54"/>
    <mergeCell ref="W52:W58"/>
    <mergeCell ref="L47:O47"/>
    <mergeCell ref="K46:K47"/>
    <mergeCell ref="S63:V63"/>
    <mergeCell ref="G43:I43"/>
    <mergeCell ref="G56:I56"/>
    <mergeCell ref="G55:I55"/>
    <mergeCell ref="G58:I58"/>
    <mergeCell ref="H63:J63"/>
    <mergeCell ref="K59:K61"/>
    <mergeCell ref="R55:U55"/>
    <mergeCell ref="L61:O61"/>
    <mergeCell ref="M63:P63"/>
    <mergeCell ref="A63:C63"/>
    <mergeCell ref="A59:C60"/>
    <mergeCell ref="A64:C64"/>
    <mergeCell ref="D59:D60"/>
    <mergeCell ref="E59:E60"/>
    <mergeCell ref="F59:F60"/>
    <mergeCell ref="H62:J62"/>
    <mergeCell ref="M62:P62"/>
    <mergeCell ref="L60:O60"/>
    <mergeCell ref="A48:C48"/>
    <mergeCell ref="G50:K51"/>
    <mergeCell ref="H48:J48"/>
    <mergeCell ref="G52:I52"/>
    <mergeCell ref="A50:C51"/>
    <mergeCell ref="D50:F50"/>
    <mergeCell ref="G53:I53"/>
    <mergeCell ref="S62:V62"/>
    <mergeCell ref="A55:C55"/>
    <mergeCell ref="Q59:Q60"/>
    <mergeCell ref="R56:U56"/>
    <mergeCell ref="A62:C62"/>
    <mergeCell ref="G59:I59"/>
    <mergeCell ref="K52:K58"/>
    <mergeCell ref="L52:O52"/>
    <mergeCell ref="L53:O53"/>
    <mergeCell ref="G54:I54"/>
    <mergeCell ref="V35:V36"/>
    <mergeCell ref="S48:V48"/>
    <mergeCell ref="X41:Z41"/>
    <mergeCell ref="X50:Z50"/>
    <mergeCell ref="L50:Q51"/>
    <mergeCell ref="R43:U43"/>
    <mergeCell ref="Q43:Q45"/>
    <mergeCell ref="R47:U47"/>
    <mergeCell ref="R39:U39"/>
    <mergeCell ref="L37:O37"/>
    <mergeCell ref="A33:C34"/>
    <mergeCell ref="D33:F33"/>
    <mergeCell ref="G33:K34"/>
    <mergeCell ref="K35:K39"/>
    <mergeCell ref="G37:I37"/>
    <mergeCell ref="AA50:AC50"/>
    <mergeCell ref="S40:V40"/>
    <mergeCell ref="R37:U37"/>
    <mergeCell ref="R44:U44"/>
    <mergeCell ref="R41:W42"/>
    <mergeCell ref="A27:C27"/>
    <mergeCell ref="L21:O21"/>
    <mergeCell ref="K8:K17"/>
    <mergeCell ref="AA33:AC33"/>
    <mergeCell ref="R33:W34"/>
    <mergeCell ref="X33:Z33"/>
    <mergeCell ref="W8:W17"/>
    <mergeCell ref="R17:U17"/>
    <mergeCell ref="A32:C32"/>
    <mergeCell ref="H32:J32"/>
    <mergeCell ref="R10:U10"/>
    <mergeCell ref="B22:C22"/>
    <mergeCell ref="T1:AB1"/>
    <mergeCell ref="X6:Z6"/>
    <mergeCell ref="AA6:AC6"/>
    <mergeCell ref="R19:U19"/>
    <mergeCell ref="A6:C7"/>
    <mergeCell ref="L6:Q7"/>
    <mergeCell ref="R6:W7"/>
    <mergeCell ref="D6:F6"/>
    <mergeCell ref="W28:W31"/>
    <mergeCell ref="W18:W20"/>
    <mergeCell ref="R31:U31"/>
    <mergeCell ref="R23:U23"/>
    <mergeCell ref="W23:W27"/>
    <mergeCell ref="R22:U22"/>
    <mergeCell ref="R24:U24"/>
    <mergeCell ref="R27:U27"/>
    <mergeCell ref="R28:U28"/>
    <mergeCell ref="G6:K7"/>
    <mergeCell ref="A3:AC3"/>
    <mergeCell ref="G8:I8"/>
    <mergeCell ref="G12:I12"/>
    <mergeCell ref="R8:U8"/>
    <mergeCell ref="L11:O11"/>
    <mergeCell ref="L8:O8"/>
    <mergeCell ref="R11:U11"/>
    <mergeCell ref="R12:U12"/>
    <mergeCell ref="G9:I9"/>
    <mergeCell ref="R9:U9"/>
    <mergeCell ref="G10:I10"/>
    <mergeCell ref="L9:O9"/>
    <mergeCell ref="L15:O15"/>
    <mergeCell ref="L16:O16"/>
    <mergeCell ref="Q8:Q17"/>
    <mergeCell ref="R13:U13"/>
    <mergeCell ref="R15:U15"/>
    <mergeCell ref="L12:O12"/>
    <mergeCell ref="L10:O10"/>
    <mergeCell ref="R14:U14"/>
    <mergeCell ref="G11:I11"/>
    <mergeCell ref="G16:I16"/>
    <mergeCell ref="G15:I15"/>
    <mergeCell ref="L20:O20"/>
    <mergeCell ref="G14:I14"/>
    <mergeCell ref="R20:U20"/>
    <mergeCell ref="R16:U16"/>
    <mergeCell ref="R18:U18"/>
    <mergeCell ref="G17:I17"/>
    <mergeCell ref="Q21:Q22"/>
    <mergeCell ref="L22:O22"/>
    <mergeCell ref="K18:K20"/>
    <mergeCell ref="Q18:Q20"/>
    <mergeCell ref="K21:K22"/>
    <mergeCell ref="G13:I13"/>
    <mergeCell ref="G22:I22"/>
    <mergeCell ref="L13:O13"/>
    <mergeCell ref="L14:O14"/>
    <mergeCell ref="G20:I20"/>
    <mergeCell ref="Q23:Q27"/>
    <mergeCell ref="L23:O23"/>
    <mergeCell ref="M32:P32"/>
    <mergeCell ref="L35:O36"/>
    <mergeCell ref="L33:Q34"/>
    <mergeCell ref="L27:O27"/>
    <mergeCell ref="L29:O29"/>
    <mergeCell ref="L30:O30"/>
    <mergeCell ref="Q28:Q31"/>
    <mergeCell ref="L18:O18"/>
    <mergeCell ref="L19:O19"/>
    <mergeCell ref="K23:K27"/>
    <mergeCell ref="L25:O25"/>
    <mergeCell ref="L26:O26"/>
    <mergeCell ref="L24:O24"/>
    <mergeCell ref="G21:I21"/>
    <mergeCell ref="L17:O17"/>
    <mergeCell ref="G38:I38"/>
    <mergeCell ref="G57:I57"/>
    <mergeCell ref="G60:I60"/>
    <mergeCell ref="G61:I61"/>
    <mergeCell ref="L59:O59"/>
    <mergeCell ref="L28:O28"/>
    <mergeCell ref="K28:K31"/>
    <mergeCell ref="J35:J36"/>
    <mergeCell ref="Z59:Z61"/>
    <mergeCell ref="AA59:AA61"/>
    <mergeCell ref="AB59:AB61"/>
    <mergeCell ref="AC59:AC61"/>
    <mergeCell ref="R61:U61"/>
    <mergeCell ref="R59:U60"/>
    <mergeCell ref="V59:V60"/>
    <mergeCell ref="W59:W60"/>
    <mergeCell ref="X59:X61"/>
    <mergeCell ref="Y59:Y61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scale="3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N105"/>
  <sheetViews>
    <sheetView zoomScalePageLayoutView="0" workbookViewId="0" topLeftCell="A1">
      <selection activeCell="M1" sqref="M1"/>
    </sheetView>
  </sheetViews>
  <sheetFormatPr defaultColWidth="9.00390625" defaultRowHeight="12.75"/>
  <cols>
    <col min="1" max="1" width="50.875" style="0" customWidth="1"/>
    <col min="14" max="14" width="9.125" style="154" customWidth="1"/>
  </cols>
  <sheetData>
    <row r="1" spans="8:13" ht="15">
      <c r="H1" s="1"/>
      <c r="I1" s="1"/>
      <c r="J1" s="1"/>
      <c r="K1" s="1"/>
      <c r="L1" s="1"/>
      <c r="M1" s="6" t="s">
        <v>1047</v>
      </c>
    </row>
    <row r="2" spans="8:13" ht="12.75">
      <c r="H2" s="1"/>
      <c r="I2" s="1"/>
      <c r="J2" s="1"/>
      <c r="K2" s="1"/>
      <c r="L2" s="1"/>
      <c r="M2" s="2"/>
    </row>
    <row r="3" spans="1:14" s="79" customFormat="1" ht="14.25" customHeight="1">
      <c r="A3" s="1219" t="s">
        <v>530</v>
      </c>
      <c r="B3" s="1219"/>
      <c r="C3" s="1219"/>
      <c r="D3" s="1219"/>
      <c r="E3" s="1219"/>
      <c r="F3" s="1219"/>
      <c r="G3" s="1219"/>
      <c r="H3" s="1219"/>
      <c r="I3" s="1219"/>
      <c r="J3" s="1219"/>
      <c r="K3" s="1219"/>
      <c r="L3" s="1219"/>
      <c r="M3" s="1219"/>
      <c r="N3" s="155"/>
    </row>
    <row r="4" spans="1:14" s="79" customFormat="1" ht="14.25" customHeight="1">
      <c r="A4" s="1219" t="s">
        <v>451</v>
      </c>
      <c r="B4" s="1219"/>
      <c r="C4" s="1219"/>
      <c r="D4" s="1219"/>
      <c r="E4" s="1219"/>
      <c r="F4" s="1219"/>
      <c r="G4" s="1219"/>
      <c r="H4" s="1219"/>
      <c r="I4" s="1219"/>
      <c r="J4" s="1219"/>
      <c r="K4" s="1219"/>
      <c r="L4" s="1219"/>
      <c r="M4" s="1219"/>
      <c r="N4" s="155"/>
    </row>
    <row r="5" spans="1:14" s="79" customFormat="1" ht="18" customHeight="1">
      <c r="A5" s="1219"/>
      <c r="B5" s="1219"/>
      <c r="C5" s="1219"/>
      <c r="D5" s="1219"/>
      <c r="E5" s="1219"/>
      <c r="F5" s="1219"/>
      <c r="G5" s="1219"/>
      <c r="H5" s="1219"/>
      <c r="I5" s="1219"/>
      <c r="J5" s="1219"/>
      <c r="K5" s="1219"/>
      <c r="L5" s="1219"/>
      <c r="M5" s="1219"/>
      <c r="N5" s="155"/>
    </row>
    <row r="6" spans="1:14" s="78" customFormat="1" ht="12.75">
      <c r="A6" s="140" t="s">
        <v>369</v>
      </c>
      <c r="B6" s="109" t="s">
        <v>352</v>
      </c>
      <c r="C6" s="109" t="s">
        <v>353</v>
      </c>
      <c r="D6" s="109" t="s">
        <v>354</v>
      </c>
      <c r="E6" s="109" t="s">
        <v>355</v>
      </c>
      <c r="F6" s="109" t="s">
        <v>356</v>
      </c>
      <c r="G6" s="109" t="s">
        <v>357</v>
      </c>
      <c r="H6" s="109" t="s">
        <v>358</v>
      </c>
      <c r="I6" s="109" t="s">
        <v>359</v>
      </c>
      <c r="J6" s="109" t="s">
        <v>360</v>
      </c>
      <c r="K6" s="109" t="s">
        <v>361</v>
      </c>
      <c r="L6" s="109" t="s">
        <v>362</v>
      </c>
      <c r="M6" s="109" t="s">
        <v>363</v>
      </c>
      <c r="N6" s="156"/>
    </row>
    <row r="7" spans="1:14" s="81" customFormat="1" ht="22.5" customHeight="1">
      <c r="A7" s="157" t="s">
        <v>801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3"/>
    </row>
    <row r="8" spans="1:14" s="608" customFormat="1" ht="20.25" customHeight="1">
      <c r="A8" s="605" t="s">
        <v>800</v>
      </c>
      <c r="B8" s="606"/>
      <c r="C8" s="606"/>
      <c r="D8" s="606"/>
      <c r="E8" s="606"/>
      <c r="F8" s="606"/>
      <c r="G8" s="606"/>
      <c r="H8" s="606"/>
      <c r="I8" s="606"/>
      <c r="J8" s="606"/>
      <c r="K8" s="606"/>
      <c r="L8" s="606"/>
      <c r="M8" s="606"/>
      <c r="N8" s="607"/>
    </row>
    <row r="9" spans="1:14" s="80" customFormat="1" ht="12.75">
      <c r="A9" s="144" t="s">
        <v>639</v>
      </c>
      <c r="B9" s="111">
        <v>14</v>
      </c>
      <c r="C9" s="111">
        <v>14</v>
      </c>
      <c r="D9" s="111">
        <v>14</v>
      </c>
      <c r="E9" s="111">
        <v>14</v>
      </c>
      <c r="F9" s="111">
        <v>14</v>
      </c>
      <c r="G9" s="111">
        <v>14</v>
      </c>
      <c r="H9" s="111">
        <v>14</v>
      </c>
      <c r="I9" s="111">
        <v>14</v>
      </c>
      <c r="J9" s="111">
        <v>13</v>
      </c>
      <c r="K9" s="111">
        <v>13</v>
      </c>
      <c r="L9" s="111">
        <v>13</v>
      </c>
      <c r="M9" s="111">
        <v>13</v>
      </c>
      <c r="N9" s="162"/>
    </row>
    <row r="10" spans="1:14" s="80" customFormat="1" ht="12.75" customHeight="1">
      <c r="A10" s="144" t="s">
        <v>640</v>
      </c>
      <c r="B10" s="111">
        <v>2</v>
      </c>
      <c r="C10" s="111">
        <v>2</v>
      </c>
      <c r="D10" s="111">
        <v>2</v>
      </c>
      <c r="E10" s="111">
        <v>2</v>
      </c>
      <c r="F10" s="111">
        <v>2</v>
      </c>
      <c r="G10" s="111">
        <v>2</v>
      </c>
      <c r="H10" s="111">
        <v>2</v>
      </c>
      <c r="I10" s="111">
        <v>2</v>
      </c>
      <c r="J10" s="111">
        <v>2</v>
      </c>
      <c r="K10" s="111">
        <v>2</v>
      </c>
      <c r="L10" s="111">
        <v>2</v>
      </c>
      <c r="M10" s="111">
        <v>2</v>
      </c>
      <c r="N10" s="162"/>
    </row>
    <row r="11" spans="1:14" s="80" customFormat="1" ht="12.75">
      <c r="A11" s="163" t="s">
        <v>641</v>
      </c>
      <c r="B11" s="111">
        <v>8</v>
      </c>
      <c r="C11" s="111">
        <v>8</v>
      </c>
      <c r="D11" s="111">
        <v>8</v>
      </c>
      <c r="E11" s="111">
        <v>8</v>
      </c>
      <c r="F11" s="111">
        <v>8</v>
      </c>
      <c r="G11" s="111">
        <v>8</v>
      </c>
      <c r="H11" s="111">
        <v>8</v>
      </c>
      <c r="I11" s="111">
        <v>8</v>
      </c>
      <c r="J11" s="111">
        <v>7</v>
      </c>
      <c r="K11" s="111">
        <v>7</v>
      </c>
      <c r="L11" s="111">
        <v>7</v>
      </c>
      <c r="M11" s="111">
        <v>7</v>
      </c>
      <c r="N11" s="162"/>
    </row>
    <row r="12" spans="1:14" s="80" customFormat="1" ht="12.75">
      <c r="A12" s="144" t="s">
        <v>642</v>
      </c>
      <c r="B12" s="111">
        <v>1</v>
      </c>
      <c r="C12" s="111">
        <v>1</v>
      </c>
      <c r="D12" s="111">
        <v>1</v>
      </c>
      <c r="E12" s="111">
        <v>1</v>
      </c>
      <c r="F12" s="111">
        <v>1</v>
      </c>
      <c r="G12" s="111">
        <v>1</v>
      </c>
      <c r="H12" s="111">
        <v>1</v>
      </c>
      <c r="I12" s="111">
        <v>1</v>
      </c>
      <c r="J12" s="111">
        <v>1</v>
      </c>
      <c r="K12" s="111">
        <v>1</v>
      </c>
      <c r="L12" s="111">
        <v>1</v>
      </c>
      <c r="M12" s="111">
        <v>1</v>
      </c>
      <c r="N12" s="162"/>
    </row>
    <row r="13" spans="1:14" s="80" customFormat="1" ht="12.75">
      <c r="A13" s="144" t="s">
        <v>937</v>
      </c>
      <c r="B13" s="111">
        <v>1</v>
      </c>
      <c r="C13" s="111">
        <v>1</v>
      </c>
      <c r="D13" s="111">
        <v>1</v>
      </c>
      <c r="E13" s="111">
        <v>1</v>
      </c>
      <c r="F13" s="111">
        <v>1</v>
      </c>
      <c r="G13" s="111">
        <v>1</v>
      </c>
      <c r="H13" s="111">
        <v>1</v>
      </c>
      <c r="I13" s="111">
        <v>1</v>
      </c>
      <c r="J13" s="111">
        <v>1</v>
      </c>
      <c r="K13" s="111">
        <v>1</v>
      </c>
      <c r="L13" s="111">
        <v>1</v>
      </c>
      <c r="M13" s="111">
        <v>1</v>
      </c>
      <c r="N13" s="162"/>
    </row>
    <row r="14" spans="1:14" s="608" customFormat="1" ht="20.25" customHeight="1">
      <c r="A14" s="605" t="s">
        <v>802</v>
      </c>
      <c r="B14" s="606"/>
      <c r="C14" s="606"/>
      <c r="D14" s="606"/>
      <c r="E14" s="606"/>
      <c r="F14" s="606"/>
      <c r="G14" s="606"/>
      <c r="H14" s="606"/>
      <c r="I14" s="606"/>
      <c r="J14" s="606"/>
      <c r="K14" s="606"/>
      <c r="L14" s="606"/>
      <c r="M14" s="606"/>
      <c r="N14" s="607"/>
    </row>
    <row r="15" spans="1:14" s="80" customFormat="1" ht="12.75">
      <c r="A15" s="144" t="s">
        <v>803</v>
      </c>
      <c r="B15" s="111">
        <v>1</v>
      </c>
      <c r="C15" s="111">
        <v>1</v>
      </c>
      <c r="D15" s="111">
        <v>1</v>
      </c>
      <c r="E15" s="111">
        <v>1</v>
      </c>
      <c r="F15" s="111">
        <v>1</v>
      </c>
      <c r="G15" s="111">
        <v>1</v>
      </c>
      <c r="H15" s="111">
        <v>1</v>
      </c>
      <c r="I15" s="111">
        <v>1</v>
      </c>
      <c r="J15" s="111">
        <v>1</v>
      </c>
      <c r="K15" s="111">
        <v>1</v>
      </c>
      <c r="L15" s="111">
        <v>1</v>
      </c>
      <c r="M15" s="111">
        <v>1</v>
      </c>
      <c r="N15" s="162"/>
    </row>
    <row r="16" spans="1:14" s="80" customFormat="1" ht="12.75">
      <c r="A16" s="144" t="s">
        <v>804</v>
      </c>
      <c r="B16" s="111">
        <v>1</v>
      </c>
      <c r="C16" s="111">
        <v>1</v>
      </c>
      <c r="D16" s="111">
        <v>1</v>
      </c>
      <c r="E16" s="111">
        <v>1</v>
      </c>
      <c r="F16" s="111">
        <v>1</v>
      </c>
      <c r="G16" s="111">
        <v>1</v>
      </c>
      <c r="H16" s="111">
        <v>1</v>
      </c>
      <c r="I16" s="111">
        <v>1</v>
      </c>
      <c r="J16" s="111">
        <v>1</v>
      </c>
      <c r="K16" s="111">
        <v>1</v>
      </c>
      <c r="L16" s="111">
        <v>1</v>
      </c>
      <c r="M16" s="111">
        <v>1</v>
      </c>
      <c r="N16" s="162"/>
    </row>
    <row r="17" spans="1:14" s="80" customFormat="1" ht="12.75">
      <c r="A17" s="144" t="s">
        <v>805</v>
      </c>
      <c r="B17" s="111">
        <v>1</v>
      </c>
      <c r="C17" s="111">
        <v>1</v>
      </c>
      <c r="D17" s="111">
        <v>1</v>
      </c>
      <c r="E17" s="111">
        <v>1</v>
      </c>
      <c r="F17" s="111">
        <v>1</v>
      </c>
      <c r="G17" s="111">
        <v>1</v>
      </c>
      <c r="H17" s="111">
        <v>1</v>
      </c>
      <c r="I17" s="111">
        <v>1</v>
      </c>
      <c r="J17" s="111">
        <v>1</v>
      </c>
      <c r="K17" s="111">
        <v>1</v>
      </c>
      <c r="L17" s="111">
        <v>1</v>
      </c>
      <c r="M17" s="111">
        <v>1</v>
      </c>
      <c r="N17" s="162"/>
    </row>
    <row r="18" spans="1:14" s="608" customFormat="1" ht="20.25" customHeight="1">
      <c r="A18" s="605" t="s">
        <v>647</v>
      </c>
      <c r="B18" s="606"/>
      <c r="C18" s="606"/>
      <c r="D18" s="606"/>
      <c r="E18" s="606"/>
      <c r="F18" s="606"/>
      <c r="G18" s="606"/>
      <c r="H18" s="606"/>
      <c r="I18" s="606"/>
      <c r="J18" s="606"/>
      <c r="K18" s="606"/>
      <c r="L18" s="606"/>
      <c r="M18" s="606"/>
      <c r="N18" s="607"/>
    </row>
    <row r="19" spans="1:14" s="80" customFormat="1" ht="12.75">
      <c r="A19" s="144" t="s">
        <v>806</v>
      </c>
      <c r="B19" s="111">
        <v>1</v>
      </c>
      <c r="C19" s="111">
        <v>1</v>
      </c>
      <c r="D19" s="111">
        <v>1</v>
      </c>
      <c r="E19" s="111">
        <v>1</v>
      </c>
      <c r="F19" s="111">
        <v>1</v>
      </c>
      <c r="G19" s="111">
        <v>1</v>
      </c>
      <c r="H19" s="111">
        <v>1</v>
      </c>
      <c r="I19" s="111">
        <v>1</v>
      </c>
      <c r="J19" s="111">
        <v>1</v>
      </c>
      <c r="K19" s="111">
        <v>1</v>
      </c>
      <c r="L19" s="111">
        <v>1</v>
      </c>
      <c r="M19" s="111">
        <v>1</v>
      </c>
      <c r="N19" s="162"/>
    </row>
    <row r="20" spans="1:14" s="80" customFormat="1" ht="12.75">
      <c r="A20" s="144" t="s">
        <v>807</v>
      </c>
      <c r="B20" s="111">
        <v>1</v>
      </c>
      <c r="C20" s="111">
        <v>1</v>
      </c>
      <c r="D20" s="111">
        <v>1</v>
      </c>
      <c r="E20" s="111">
        <v>1</v>
      </c>
      <c r="F20" s="111">
        <v>1</v>
      </c>
      <c r="G20" s="111">
        <v>1</v>
      </c>
      <c r="H20" s="111">
        <v>1</v>
      </c>
      <c r="I20" s="111">
        <v>1</v>
      </c>
      <c r="J20" s="111">
        <v>1</v>
      </c>
      <c r="K20" s="111">
        <v>1</v>
      </c>
      <c r="L20" s="111">
        <v>1</v>
      </c>
      <c r="M20" s="111">
        <v>1</v>
      </c>
      <c r="N20" s="162"/>
    </row>
    <row r="21" spans="1:14" s="608" customFormat="1" ht="20.25" customHeight="1">
      <c r="A21" s="605" t="s">
        <v>808</v>
      </c>
      <c r="B21" s="606"/>
      <c r="C21" s="606"/>
      <c r="D21" s="606"/>
      <c r="E21" s="606"/>
      <c r="F21" s="606"/>
      <c r="G21" s="606"/>
      <c r="H21" s="606"/>
      <c r="I21" s="606"/>
      <c r="J21" s="606"/>
      <c r="K21" s="606"/>
      <c r="L21" s="606"/>
      <c r="M21" s="606"/>
      <c r="N21" s="607"/>
    </row>
    <row r="22" spans="1:14" s="80" customFormat="1" ht="12.75">
      <c r="A22" s="144" t="s">
        <v>643</v>
      </c>
      <c r="B22" s="111">
        <v>2</v>
      </c>
      <c r="C22" s="111">
        <v>2</v>
      </c>
      <c r="D22" s="111">
        <v>2</v>
      </c>
      <c r="E22" s="111">
        <v>2</v>
      </c>
      <c r="F22" s="111">
        <v>2</v>
      </c>
      <c r="G22" s="111">
        <v>2</v>
      </c>
      <c r="H22" s="111">
        <v>2</v>
      </c>
      <c r="I22" s="111">
        <v>2</v>
      </c>
      <c r="J22" s="690">
        <v>2</v>
      </c>
      <c r="K22" s="690">
        <v>2</v>
      </c>
      <c r="L22" s="690">
        <v>2</v>
      </c>
      <c r="M22" s="690">
        <v>2</v>
      </c>
      <c r="N22" s="162"/>
    </row>
    <row r="23" spans="1:14" s="80" customFormat="1" ht="12.75">
      <c r="A23" s="144" t="s">
        <v>644</v>
      </c>
      <c r="B23" s="111">
        <v>1</v>
      </c>
      <c r="C23" s="111">
        <v>1</v>
      </c>
      <c r="D23" s="111">
        <v>1</v>
      </c>
      <c r="E23" s="111">
        <v>1</v>
      </c>
      <c r="F23" s="111">
        <v>1</v>
      </c>
      <c r="G23" s="111">
        <v>1</v>
      </c>
      <c r="H23" s="111">
        <v>1</v>
      </c>
      <c r="I23" s="111">
        <v>1</v>
      </c>
      <c r="J23" s="690">
        <v>1</v>
      </c>
      <c r="K23" s="690">
        <v>1</v>
      </c>
      <c r="L23" s="690">
        <v>1</v>
      </c>
      <c r="M23" s="690">
        <v>1</v>
      </c>
      <c r="N23" s="162"/>
    </row>
    <row r="24" spans="1:14" s="608" customFormat="1" ht="20.25" customHeight="1">
      <c r="A24" s="605" t="s">
        <v>600</v>
      </c>
      <c r="B24" s="606"/>
      <c r="C24" s="606"/>
      <c r="D24" s="606"/>
      <c r="E24" s="606"/>
      <c r="F24" s="606"/>
      <c r="G24" s="606"/>
      <c r="H24" s="606"/>
      <c r="I24" s="606"/>
      <c r="J24" s="606"/>
      <c r="K24" s="606"/>
      <c r="L24" s="606"/>
      <c r="M24" s="606"/>
      <c r="N24" s="607"/>
    </row>
    <row r="25" spans="1:14" s="80" customFormat="1" ht="12.75">
      <c r="A25" s="144" t="s">
        <v>645</v>
      </c>
      <c r="B25" s="111">
        <v>1</v>
      </c>
      <c r="C25" s="111">
        <v>1</v>
      </c>
      <c r="D25" s="111">
        <v>1</v>
      </c>
      <c r="E25" s="111">
        <v>1</v>
      </c>
      <c r="F25" s="111">
        <v>1</v>
      </c>
      <c r="G25" s="111">
        <v>1</v>
      </c>
      <c r="H25" s="111">
        <v>1</v>
      </c>
      <c r="I25" s="111">
        <v>1</v>
      </c>
      <c r="J25" s="111">
        <v>1</v>
      </c>
      <c r="K25" s="111">
        <v>1</v>
      </c>
      <c r="L25" s="111">
        <v>1</v>
      </c>
      <c r="M25" s="111">
        <v>1</v>
      </c>
      <c r="N25" s="162"/>
    </row>
    <row r="26" spans="1:14" s="80" customFormat="1" ht="12.75">
      <c r="A26" s="144" t="s">
        <v>809</v>
      </c>
      <c r="B26" s="111">
        <v>2</v>
      </c>
      <c r="C26" s="111">
        <v>2</v>
      </c>
      <c r="D26" s="111">
        <v>2</v>
      </c>
      <c r="E26" s="111">
        <v>2</v>
      </c>
      <c r="F26" s="111">
        <v>2</v>
      </c>
      <c r="G26" s="111">
        <v>2</v>
      </c>
      <c r="H26" s="111">
        <v>2</v>
      </c>
      <c r="I26" s="111">
        <v>2</v>
      </c>
      <c r="J26" s="111">
        <v>2</v>
      </c>
      <c r="K26" s="111">
        <v>2</v>
      </c>
      <c r="L26" s="111">
        <v>2</v>
      </c>
      <c r="M26" s="111">
        <v>2</v>
      </c>
      <c r="N26" s="162"/>
    </row>
    <row r="27" spans="1:14" s="80" customFormat="1" ht="25.5">
      <c r="A27" s="144" t="s">
        <v>810</v>
      </c>
      <c r="B27" s="111">
        <v>0.5</v>
      </c>
      <c r="C27" s="111">
        <v>0.5</v>
      </c>
      <c r="D27" s="111">
        <v>0.5</v>
      </c>
      <c r="E27" s="111">
        <v>0.5</v>
      </c>
      <c r="F27" s="111">
        <v>0.5</v>
      </c>
      <c r="G27" s="111">
        <v>0.5</v>
      </c>
      <c r="H27" s="111">
        <v>0.5</v>
      </c>
      <c r="I27" s="111">
        <v>0.5</v>
      </c>
      <c r="J27" s="111">
        <v>0.5</v>
      </c>
      <c r="K27" s="111">
        <v>0.5</v>
      </c>
      <c r="L27" s="111">
        <v>0.5</v>
      </c>
      <c r="M27" s="111">
        <v>0.5</v>
      </c>
      <c r="N27" s="162"/>
    </row>
    <row r="28" spans="1:14" s="80" customFormat="1" ht="25.5">
      <c r="A28" s="144" t="s">
        <v>811</v>
      </c>
      <c r="B28" s="111">
        <v>0.625</v>
      </c>
      <c r="C28" s="111">
        <v>0.625</v>
      </c>
      <c r="D28" s="111">
        <v>0.625</v>
      </c>
      <c r="E28" s="111">
        <v>0.625</v>
      </c>
      <c r="F28" s="111">
        <v>0.625</v>
      </c>
      <c r="G28" s="111">
        <v>0.625</v>
      </c>
      <c r="H28" s="111">
        <v>0.625</v>
      </c>
      <c r="I28" s="111">
        <v>0.625</v>
      </c>
      <c r="J28" s="111">
        <v>0.625</v>
      </c>
      <c r="K28" s="111">
        <v>0.625</v>
      </c>
      <c r="L28" s="111">
        <v>0.625</v>
      </c>
      <c r="M28" s="111">
        <v>0.625</v>
      </c>
      <c r="N28" s="162"/>
    </row>
    <row r="29" spans="1:14" s="608" customFormat="1" ht="20.25" customHeight="1">
      <c r="A29" s="605" t="s">
        <v>735</v>
      </c>
      <c r="B29" s="606"/>
      <c r="C29" s="606"/>
      <c r="D29" s="606"/>
      <c r="E29" s="606"/>
      <c r="F29" s="606"/>
      <c r="G29" s="606"/>
      <c r="H29" s="606"/>
      <c r="I29" s="606"/>
      <c r="J29" s="606"/>
      <c r="K29" s="606"/>
      <c r="L29" s="606"/>
      <c r="M29" s="606"/>
      <c r="N29" s="607"/>
    </row>
    <row r="30" spans="1:14" s="80" customFormat="1" ht="12.75">
      <c r="A30" s="144" t="s">
        <v>812</v>
      </c>
      <c r="B30" s="111">
        <v>0.5</v>
      </c>
      <c r="C30" s="111">
        <v>0.5</v>
      </c>
      <c r="D30" s="111">
        <v>0.5</v>
      </c>
      <c r="E30" s="111">
        <v>0.5</v>
      </c>
      <c r="F30" s="111">
        <v>0.5</v>
      </c>
      <c r="G30" s="111">
        <v>0.5</v>
      </c>
      <c r="H30" s="111">
        <v>0.5</v>
      </c>
      <c r="I30" s="111">
        <v>0.5</v>
      </c>
      <c r="J30" s="111">
        <v>0.5</v>
      </c>
      <c r="K30" s="111">
        <v>0.5</v>
      </c>
      <c r="L30" s="111">
        <v>0.5</v>
      </c>
      <c r="M30" s="111">
        <v>0.5</v>
      </c>
      <c r="N30" s="162"/>
    </row>
    <row r="31" spans="1:14" s="80" customFormat="1" ht="12.75">
      <c r="A31" s="144" t="s">
        <v>646</v>
      </c>
      <c r="B31" s="111">
        <v>3</v>
      </c>
      <c r="C31" s="111">
        <v>4</v>
      </c>
      <c r="D31" s="111">
        <v>4</v>
      </c>
      <c r="E31" s="111">
        <v>4</v>
      </c>
      <c r="F31" s="111">
        <v>4</v>
      </c>
      <c r="G31" s="111">
        <v>4</v>
      </c>
      <c r="H31" s="111">
        <v>4</v>
      </c>
      <c r="I31" s="111">
        <v>4</v>
      </c>
      <c r="J31" s="111">
        <v>4</v>
      </c>
      <c r="K31" s="111">
        <v>4</v>
      </c>
      <c r="L31" s="111">
        <v>4</v>
      </c>
      <c r="M31" s="111">
        <v>4</v>
      </c>
      <c r="N31" s="162"/>
    </row>
    <row r="32" spans="1:14" s="161" customFormat="1" ht="28.5" customHeight="1">
      <c r="A32" s="158" t="s">
        <v>1003</v>
      </c>
      <c r="B32" s="159"/>
      <c r="C32" s="159"/>
      <c r="D32" s="159"/>
      <c r="E32" s="159"/>
      <c r="F32" s="159"/>
      <c r="G32" s="159"/>
      <c r="H32" s="159"/>
      <c r="I32" s="159"/>
      <c r="J32" s="159"/>
      <c r="K32" s="159"/>
      <c r="L32" s="159"/>
      <c r="M32" s="159"/>
      <c r="N32" s="160"/>
    </row>
    <row r="33" spans="1:14" s="80" customFormat="1" ht="12.75">
      <c r="A33" s="144" t="s">
        <v>1004</v>
      </c>
      <c r="B33" s="111">
        <v>0</v>
      </c>
      <c r="C33" s="111">
        <v>3</v>
      </c>
      <c r="D33" s="111">
        <v>3</v>
      </c>
      <c r="E33" s="111">
        <v>3</v>
      </c>
      <c r="F33" s="111">
        <v>3</v>
      </c>
      <c r="G33" s="111">
        <v>3</v>
      </c>
      <c r="H33" s="111">
        <v>3</v>
      </c>
      <c r="I33" s="111">
        <v>3</v>
      </c>
      <c r="J33" s="111">
        <v>3</v>
      </c>
      <c r="K33" s="111">
        <v>3</v>
      </c>
      <c r="L33" s="111">
        <v>3</v>
      </c>
      <c r="M33" s="111">
        <v>3</v>
      </c>
      <c r="N33" s="162"/>
    </row>
    <row r="34" spans="1:14" s="80" customFormat="1" ht="12.75">
      <c r="A34" s="144" t="s">
        <v>1005</v>
      </c>
      <c r="B34" s="111">
        <v>0</v>
      </c>
      <c r="C34" s="111">
        <v>1</v>
      </c>
      <c r="D34" s="111">
        <v>1</v>
      </c>
      <c r="E34" s="111">
        <v>1</v>
      </c>
      <c r="F34" s="111">
        <v>1</v>
      </c>
      <c r="G34" s="111">
        <v>1</v>
      </c>
      <c r="H34" s="111">
        <v>0</v>
      </c>
      <c r="I34" s="111">
        <v>0</v>
      </c>
      <c r="J34" s="111">
        <v>1</v>
      </c>
      <c r="K34" s="111">
        <v>1</v>
      </c>
      <c r="L34" s="111">
        <v>1</v>
      </c>
      <c r="M34" s="111">
        <v>1</v>
      </c>
      <c r="N34" s="162"/>
    </row>
    <row r="35" spans="1:14" s="161" customFormat="1" ht="28.5" customHeight="1">
      <c r="A35" s="158" t="s">
        <v>1006</v>
      </c>
      <c r="B35" s="159"/>
      <c r="C35" s="159"/>
      <c r="D35" s="159"/>
      <c r="E35" s="159"/>
      <c r="F35" s="159"/>
      <c r="G35" s="159"/>
      <c r="H35" s="159"/>
      <c r="I35" s="159"/>
      <c r="J35" s="159"/>
      <c r="K35" s="159"/>
      <c r="L35" s="159"/>
      <c r="M35" s="159"/>
      <c r="N35" s="160"/>
    </row>
    <row r="36" spans="1:14" s="80" customFormat="1" ht="12.75">
      <c r="A36" s="144" t="s">
        <v>1007</v>
      </c>
      <c r="B36" s="111">
        <v>1.5</v>
      </c>
      <c r="C36" s="111">
        <v>1.5</v>
      </c>
      <c r="D36" s="111">
        <v>1.5</v>
      </c>
      <c r="E36" s="111">
        <v>1.5</v>
      </c>
      <c r="F36" s="111">
        <v>1.5</v>
      </c>
      <c r="G36" s="111">
        <v>1.5</v>
      </c>
      <c r="H36" s="111">
        <v>1.5</v>
      </c>
      <c r="I36" s="111">
        <v>1.5</v>
      </c>
      <c r="J36" s="111">
        <v>1.5</v>
      </c>
      <c r="K36" s="111">
        <v>1.5</v>
      </c>
      <c r="L36" s="111">
        <v>1.5</v>
      </c>
      <c r="M36" s="111">
        <v>1.5</v>
      </c>
      <c r="N36" s="162"/>
    </row>
    <row r="37" spans="1:14" s="137" customFormat="1" ht="25.5">
      <c r="A37" s="142" t="s">
        <v>865</v>
      </c>
      <c r="B37" s="136">
        <f>SUM(B9:B36)</f>
        <v>43.125</v>
      </c>
      <c r="C37" s="136">
        <f aca="true" t="shared" si="0" ref="C37:M37">SUM(C9:C36)</f>
        <v>48.125</v>
      </c>
      <c r="D37" s="136">
        <f t="shared" si="0"/>
        <v>48.125</v>
      </c>
      <c r="E37" s="136">
        <f t="shared" si="0"/>
        <v>48.125</v>
      </c>
      <c r="F37" s="136">
        <f t="shared" si="0"/>
        <v>48.125</v>
      </c>
      <c r="G37" s="136">
        <f t="shared" si="0"/>
        <v>48.125</v>
      </c>
      <c r="H37" s="136">
        <f t="shared" si="0"/>
        <v>47.125</v>
      </c>
      <c r="I37" s="136">
        <f t="shared" si="0"/>
        <v>47.125</v>
      </c>
      <c r="J37" s="136">
        <f t="shared" si="0"/>
        <v>46.125</v>
      </c>
      <c r="K37" s="136">
        <f t="shared" si="0"/>
        <v>46.125</v>
      </c>
      <c r="L37" s="136">
        <f t="shared" si="0"/>
        <v>46.125</v>
      </c>
      <c r="M37" s="136">
        <f t="shared" si="0"/>
        <v>46.125</v>
      </c>
      <c r="N37" s="164"/>
    </row>
    <row r="38" spans="1:14" s="80" customFormat="1" ht="14.25" customHeight="1">
      <c r="A38" s="141"/>
      <c r="B38" s="111"/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62"/>
    </row>
    <row r="39" spans="1:14" s="81" customFormat="1" ht="22.5" customHeight="1">
      <c r="A39" s="157" t="s">
        <v>379</v>
      </c>
      <c r="B39" s="110"/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3"/>
    </row>
    <row r="40" spans="1:14" s="80" customFormat="1" ht="12.75">
      <c r="A40" s="144" t="s">
        <v>427</v>
      </c>
      <c r="B40" s="111">
        <v>23</v>
      </c>
      <c r="C40" s="111">
        <v>23</v>
      </c>
      <c r="D40" s="111">
        <v>23</v>
      </c>
      <c r="E40" s="111">
        <v>23</v>
      </c>
      <c r="F40" s="111">
        <v>23</v>
      </c>
      <c r="G40" s="111">
        <v>23</v>
      </c>
      <c r="H40" s="111">
        <v>23</v>
      </c>
      <c r="I40" s="111">
        <v>23</v>
      </c>
      <c r="J40" s="111">
        <v>23</v>
      </c>
      <c r="K40" s="111">
        <v>23</v>
      </c>
      <c r="L40" s="111">
        <v>23</v>
      </c>
      <c r="M40" s="111">
        <v>23</v>
      </c>
      <c r="N40" s="162"/>
    </row>
    <row r="41" spans="1:14" s="80" customFormat="1" ht="12.75">
      <c r="A41" s="144" t="s">
        <v>813</v>
      </c>
      <c r="B41" s="111">
        <v>1</v>
      </c>
      <c r="C41" s="111">
        <v>1</v>
      </c>
      <c r="D41" s="111">
        <v>1</v>
      </c>
      <c r="E41" s="111">
        <v>1</v>
      </c>
      <c r="F41" s="111">
        <v>1</v>
      </c>
      <c r="G41" s="111">
        <v>1</v>
      </c>
      <c r="H41" s="111">
        <v>1</v>
      </c>
      <c r="I41" s="111">
        <v>1</v>
      </c>
      <c r="J41" s="111">
        <v>1</v>
      </c>
      <c r="K41" s="111">
        <v>1</v>
      </c>
      <c r="L41" s="111">
        <v>1</v>
      </c>
      <c r="M41" s="111">
        <v>1</v>
      </c>
      <c r="N41" s="162"/>
    </row>
    <row r="42" spans="1:14" s="81" customFormat="1" ht="22.5" customHeight="1">
      <c r="A42" s="157" t="s">
        <v>506</v>
      </c>
      <c r="B42" s="136">
        <f>SUM(B40:B41)</f>
        <v>24</v>
      </c>
      <c r="C42" s="136">
        <f aca="true" t="shared" si="1" ref="C42:M42">SUM(C40:C41)</f>
        <v>24</v>
      </c>
      <c r="D42" s="136">
        <f t="shared" si="1"/>
        <v>24</v>
      </c>
      <c r="E42" s="136">
        <f t="shared" si="1"/>
        <v>24</v>
      </c>
      <c r="F42" s="136">
        <f t="shared" si="1"/>
        <v>24</v>
      </c>
      <c r="G42" s="136">
        <f t="shared" si="1"/>
        <v>24</v>
      </c>
      <c r="H42" s="136">
        <f t="shared" si="1"/>
        <v>24</v>
      </c>
      <c r="I42" s="136">
        <f t="shared" si="1"/>
        <v>24</v>
      </c>
      <c r="J42" s="136">
        <f t="shared" si="1"/>
        <v>24</v>
      </c>
      <c r="K42" s="136">
        <f t="shared" si="1"/>
        <v>24</v>
      </c>
      <c r="L42" s="136">
        <f t="shared" si="1"/>
        <v>24</v>
      </c>
      <c r="M42" s="136">
        <f t="shared" si="1"/>
        <v>24</v>
      </c>
      <c r="N42" s="113"/>
    </row>
    <row r="43" spans="1:13" s="113" customFormat="1" ht="14.25" customHeight="1">
      <c r="A43" s="145"/>
      <c r="B43" s="112"/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</row>
    <row r="44" spans="1:14" s="81" customFormat="1" ht="22.5" customHeight="1">
      <c r="A44" s="157" t="s">
        <v>449</v>
      </c>
      <c r="B44" s="110"/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3"/>
    </row>
    <row r="45" spans="1:14" s="161" customFormat="1" ht="15.75" customHeight="1">
      <c r="A45" s="158" t="s">
        <v>814</v>
      </c>
      <c r="B45" s="159"/>
      <c r="C45" s="159"/>
      <c r="D45" s="159"/>
      <c r="E45" s="159"/>
      <c r="F45" s="159"/>
      <c r="G45" s="159"/>
      <c r="H45" s="159"/>
      <c r="I45" s="159"/>
      <c r="J45" s="159"/>
      <c r="K45" s="159"/>
      <c r="L45" s="159"/>
      <c r="M45" s="159"/>
      <c r="N45" s="160"/>
    </row>
    <row r="46" spans="1:14" s="80" customFormat="1" ht="12.75">
      <c r="A46" s="144" t="s">
        <v>648</v>
      </c>
      <c r="B46" s="111">
        <v>1</v>
      </c>
      <c r="C46" s="111">
        <v>1</v>
      </c>
      <c r="D46" s="111">
        <v>1</v>
      </c>
      <c r="E46" s="111">
        <v>1</v>
      </c>
      <c r="F46" s="111">
        <v>1</v>
      </c>
      <c r="G46" s="111">
        <v>1</v>
      </c>
      <c r="H46" s="111">
        <v>1</v>
      </c>
      <c r="I46" s="111">
        <v>1</v>
      </c>
      <c r="J46" s="111">
        <v>1</v>
      </c>
      <c r="K46" s="111">
        <v>1</v>
      </c>
      <c r="L46" s="111">
        <v>1</v>
      </c>
      <c r="M46" s="111">
        <v>1</v>
      </c>
      <c r="N46" s="162"/>
    </row>
    <row r="47" spans="1:14" s="80" customFormat="1" ht="12.75">
      <c r="A47" s="146" t="s">
        <v>649</v>
      </c>
      <c r="B47" s="111">
        <v>1</v>
      </c>
      <c r="C47" s="111">
        <v>1</v>
      </c>
      <c r="D47" s="111">
        <v>1</v>
      </c>
      <c r="E47" s="111">
        <v>1</v>
      </c>
      <c r="F47" s="111">
        <v>1</v>
      </c>
      <c r="G47" s="111">
        <v>1</v>
      </c>
      <c r="H47" s="111">
        <v>1</v>
      </c>
      <c r="I47" s="111">
        <v>1</v>
      </c>
      <c r="J47" s="111">
        <v>1</v>
      </c>
      <c r="K47" s="111">
        <v>1</v>
      </c>
      <c r="L47" s="111">
        <v>1</v>
      </c>
      <c r="M47" s="111">
        <v>1</v>
      </c>
      <c r="N47" s="162"/>
    </row>
    <row r="48" spans="1:14" s="161" customFormat="1" ht="15" customHeight="1">
      <c r="A48" s="158" t="s">
        <v>650</v>
      </c>
      <c r="B48" s="159"/>
      <c r="C48" s="159"/>
      <c r="D48" s="159"/>
      <c r="E48" s="159"/>
      <c r="F48" s="159"/>
      <c r="G48" s="159"/>
      <c r="H48" s="159"/>
      <c r="I48" s="159"/>
      <c r="J48" s="159"/>
      <c r="K48" s="159"/>
      <c r="L48" s="159"/>
      <c r="M48" s="159"/>
      <c r="N48" s="160"/>
    </row>
    <row r="49" spans="1:14" s="80" customFormat="1" ht="12.75">
      <c r="A49" s="146" t="s">
        <v>815</v>
      </c>
      <c r="B49" s="111">
        <v>12</v>
      </c>
      <c r="C49" s="111">
        <v>12</v>
      </c>
      <c r="D49" s="111">
        <v>12</v>
      </c>
      <c r="E49" s="111">
        <v>12</v>
      </c>
      <c r="F49" s="111">
        <v>12</v>
      </c>
      <c r="G49" s="111">
        <v>12</v>
      </c>
      <c r="H49" s="111">
        <v>12</v>
      </c>
      <c r="I49" s="111">
        <v>12</v>
      </c>
      <c r="J49" s="111">
        <v>12</v>
      </c>
      <c r="K49" s="111">
        <v>12</v>
      </c>
      <c r="L49" s="111">
        <v>12</v>
      </c>
      <c r="M49" s="111">
        <v>12</v>
      </c>
      <c r="N49" s="162"/>
    </row>
    <row r="50" spans="1:14" s="161" customFormat="1" ht="15" customHeight="1">
      <c r="A50" s="158" t="s">
        <v>348</v>
      </c>
      <c r="B50" s="159"/>
      <c r="C50" s="159"/>
      <c r="D50" s="159"/>
      <c r="E50" s="159"/>
      <c r="F50" s="159"/>
      <c r="G50" s="159"/>
      <c r="H50" s="159"/>
      <c r="I50" s="159"/>
      <c r="J50" s="159"/>
      <c r="K50" s="159"/>
      <c r="L50" s="159"/>
      <c r="M50" s="159"/>
      <c r="N50" s="160"/>
    </row>
    <row r="51" spans="1:14" s="80" customFormat="1" ht="25.5">
      <c r="A51" s="144" t="s">
        <v>1034</v>
      </c>
      <c r="B51" s="111">
        <v>1</v>
      </c>
      <c r="C51" s="111">
        <v>1</v>
      </c>
      <c r="D51" s="111">
        <v>1</v>
      </c>
      <c r="E51" s="111">
        <v>1</v>
      </c>
      <c r="F51" s="111">
        <v>1</v>
      </c>
      <c r="G51" s="111">
        <v>1</v>
      </c>
      <c r="H51" s="111">
        <v>1</v>
      </c>
      <c r="I51" s="111">
        <v>1</v>
      </c>
      <c r="J51" s="111">
        <v>1</v>
      </c>
      <c r="K51" s="111">
        <v>1</v>
      </c>
      <c r="L51" s="111">
        <v>1</v>
      </c>
      <c r="M51" s="111">
        <v>1</v>
      </c>
      <c r="N51" s="162"/>
    </row>
    <row r="52" spans="1:14" s="161" customFormat="1" ht="15" customHeight="1">
      <c r="A52" s="158" t="s">
        <v>819</v>
      </c>
      <c r="B52" s="159"/>
      <c r="C52" s="159"/>
      <c r="D52" s="159"/>
      <c r="E52" s="159"/>
      <c r="F52" s="159"/>
      <c r="G52" s="159"/>
      <c r="H52" s="159"/>
      <c r="I52" s="159"/>
      <c r="J52" s="159"/>
      <c r="K52" s="159"/>
      <c r="L52" s="159"/>
      <c r="M52" s="159"/>
      <c r="N52" s="160"/>
    </row>
    <row r="53" spans="1:14" s="80" customFormat="1" ht="25.5">
      <c r="A53" s="144" t="s">
        <v>936</v>
      </c>
      <c r="B53" s="111">
        <v>1</v>
      </c>
      <c r="C53" s="111">
        <v>1</v>
      </c>
      <c r="D53" s="111">
        <v>1</v>
      </c>
      <c r="E53" s="111">
        <v>1</v>
      </c>
      <c r="F53" s="111">
        <v>1</v>
      </c>
      <c r="G53" s="111">
        <v>1</v>
      </c>
      <c r="H53" s="111">
        <v>1</v>
      </c>
      <c r="I53" s="111">
        <v>1</v>
      </c>
      <c r="J53" s="111">
        <v>1</v>
      </c>
      <c r="K53" s="111">
        <v>1</v>
      </c>
      <c r="L53" s="111">
        <v>1</v>
      </c>
      <c r="M53" s="111">
        <v>1</v>
      </c>
      <c r="N53" s="162"/>
    </row>
    <row r="54" spans="1:14" s="161" customFormat="1" ht="15" customHeight="1">
      <c r="A54" s="158" t="s">
        <v>816</v>
      </c>
      <c r="B54" s="159"/>
      <c r="C54" s="159"/>
      <c r="D54" s="159"/>
      <c r="E54" s="159"/>
      <c r="F54" s="159"/>
      <c r="G54" s="159"/>
      <c r="H54" s="159"/>
      <c r="I54" s="159"/>
      <c r="J54" s="159"/>
      <c r="K54" s="159"/>
      <c r="L54" s="159"/>
      <c r="M54" s="159"/>
      <c r="N54" s="160"/>
    </row>
    <row r="55" spans="1:14" s="80" customFormat="1" ht="12.75">
      <c r="A55" s="144" t="s">
        <v>817</v>
      </c>
      <c r="B55" s="111">
        <v>1</v>
      </c>
      <c r="C55" s="111">
        <v>1</v>
      </c>
      <c r="D55" s="111">
        <v>1</v>
      </c>
      <c r="E55" s="111">
        <v>1</v>
      </c>
      <c r="F55" s="111">
        <v>1</v>
      </c>
      <c r="G55" s="111">
        <v>1</v>
      </c>
      <c r="H55" s="111">
        <v>1</v>
      </c>
      <c r="I55" s="111">
        <v>1</v>
      </c>
      <c r="J55" s="111">
        <v>1</v>
      </c>
      <c r="K55" s="111">
        <v>1</v>
      </c>
      <c r="L55" s="111">
        <v>1</v>
      </c>
      <c r="M55" s="111">
        <v>1</v>
      </c>
      <c r="N55" s="162"/>
    </row>
    <row r="56" spans="1:14" s="80" customFormat="1" ht="12.75">
      <c r="A56" s="144" t="s">
        <v>818</v>
      </c>
      <c r="B56" s="111">
        <v>1</v>
      </c>
      <c r="C56" s="111">
        <v>1</v>
      </c>
      <c r="D56" s="111">
        <v>1</v>
      </c>
      <c r="E56" s="111">
        <v>1</v>
      </c>
      <c r="F56" s="111">
        <v>1</v>
      </c>
      <c r="G56" s="111">
        <v>1</v>
      </c>
      <c r="H56" s="111">
        <v>1</v>
      </c>
      <c r="I56" s="111">
        <v>1</v>
      </c>
      <c r="J56" s="111">
        <v>1</v>
      </c>
      <c r="K56" s="111">
        <v>1</v>
      </c>
      <c r="L56" s="111">
        <v>1</v>
      </c>
      <c r="M56" s="111">
        <v>1</v>
      </c>
      <c r="N56" s="162"/>
    </row>
    <row r="57" spans="1:14" s="161" customFormat="1" ht="15" customHeight="1">
      <c r="A57" s="158" t="s">
        <v>365</v>
      </c>
      <c r="B57" s="159"/>
      <c r="C57" s="159"/>
      <c r="D57" s="159"/>
      <c r="E57" s="159"/>
      <c r="F57" s="159"/>
      <c r="G57" s="159"/>
      <c r="H57" s="159"/>
      <c r="I57" s="159"/>
      <c r="J57" s="159"/>
      <c r="K57" s="159"/>
      <c r="L57" s="159"/>
      <c r="M57" s="159"/>
      <c r="N57" s="160"/>
    </row>
    <row r="58" spans="1:14" s="80" customFormat="1" ht="12.75">
      <c r="A58" s="143" t="s">
        <v>366</v>
      </c>
      <c r="B58" s="111">
        <v>1</v>
      </c>
      <c r="C58" s="111">
        <v>1</v>
      </c>
      <c r="D58" s="111">
        <v>1</v>
      </c>
      <c r="E58" s="111">
        <v>1</v>
      </c>
      <c r="F58" s="111">
        <v>1</v>
      </c>
      <c r="G58" s="111">
        <v>1</v>
      </c>
      <c r="H58" s="111">
        <v>1</v>
      </c>
      <c r="I58" s="111">
        <v>1</v>
      </c>
      <c r="J58" s="111">
        <v>1</v>
      </c>
      <c r="K58" s="111">
        <v>1</v>
      </c>
      <c r="L58" s="111">
        <v>1</v>
      </c>
      <c r="M58" s="111">
        <v>1</v>
      </c>
      <c r="N58" s="162"/>
    </row>
    <row r="59" spans="1:14" s="161" customFormat="1" ht="15" customHeight="1">
      <c r="A59" s="158" t="s">
        <v>367</v>
      </c>
      <c r="B59" s="159"/>
      <c r="C59" s="159"/>
      <c r="D59" s="159"/>
      <c r="E59" s="159"/>
      <c r="F59" s="159"/>
      <c r="G59" s="159"/>
      <c r="H59" s="159"/>
      <c r="I59" s="159"/>
      <c r="J59" s="159"/>
      <c r="K59" s="159"/>
      <c r="L59" s="159"/>
      <c r="M59" s="159"/>
      <c r="N59" s="160"/>
    </row>
    <row r="60" spans="1:14" s="80" customFormat="1" ht="12.75">
      <c r="A60" s="143" t="s">
        <v>368</v>
      </c>
      <c r="B60" s="152">
        <v>5</v>
      </c>
      <c r="C60" s="152">
        <v>5</v>
      </c>
      <c r="D60" s="152">
        <v>5</v>
      </c>
      <c r="E60" s="152">
        <v>5</v>
      </c>
      <c r="F60" s="152">
        <v>5</v>
      </c>
      <c r="G60" s="152">
        <v>5</v>
      </c>
      <c r="H60" s="111">
        <v>5</v>
      </c>
      <c r="I60" s="111">
        <v>5</v>
      </c>
      <c r="J60" s="111">
        <v>5</v>
      </c>
      <c r="K60" s="111">
        <v>5</v>
      </c>
      <c r="L60" s="111">
        <v>5</v>
      </c>
      <c r="M60" s="111">
        <v>5</v>
      </c>
      <c r="N60" s="162"/>
    </row>
    <row r="61" spans="1:14" s="161" customFormat="1" ht="42.75" customHeight="1">
      <c r="A61" s="158" t="s">
        <v>1038</v>
      </c>
      <c r="B61" s="159"/>
      <c r="C61" s="159"/>
      <c r="D61" s="159"/>
      <c r="E61" s="159"/>
      <c r="F61" s="159"/>
      <c r="G61" s="159"/>
      <c r="H61" s="159"/>
      <c r="I61" s="159"/>
      <c r="J61" s="159"/>
      <c r="K61" s="159"/>
      <c r="L61" s="159"/>
      <c r="M61" s="159"/>
      <c r="N61" s="160"/>
    </row>
    <row r="62" spans="1:14" s="80" customFormat="1" ht="12.75">
      <c r="A62" s="143" t="s">
        <v>934</v>
      </c>
      <c r="B62" s="152">
        <v>0.5</v>
      </c>
      <c r="C62" s="152">
        <v>0.5</v>
      </c>
      <c r="D62" s="152">
        <v>0.5</v>
      </c>
      <c r="E62" s="152">
        <v>0.5</v>
      </c>
      <c r="F62" s="152">
        <v>0.5</v>
      </c>
      <c r="G62" s="152">
        <v>0.5</v>
      </c>
      <c r="H62" s="111">
        <v>0.5</v>
      </c>
      <c r="I62" s="111">
        <v>0.5</v>
      </c>
      <c r="J62" s="111">
        <v>0.5</v>
      </c>
      <c r="K62" s="111">
        <v>0.5</v>
      </c>
      <c r="L62" s="111">
        <v>0.5</v>
      </c>
      <c r="M62" s="111">
        <v>0.5</v>
      </c>
      <c r="N62" s="162"/>
    </row>
    <row r="63" spans="1:14" s="80" customFormat="1" ht="12.75">
      <c r="A63" s="143" t="s">
        <v>935</v>
      </c>
      <c r="B63" s="152">
        <v>0.5</v>
      </c>
      <c r="C63" s="152">
        <v>0.5</v>
      </c>
      <c r="D63" s="152">
        <v>0.5</v>
      </c>
      <c r="E63" s="152">
        <v>0.5</v>
      </c>
      <c r="F63" s="152">
        <v>0.5</v>
      </c>
      <c r="G63" s="152">
        <v>0.5</v>
      </c>
      <c r="H63" s="111">
        <v>0.5</v>
      </c>
      <c r="I63" s="111">
        <v>0.5</v>
      </c>
      <c r="J63" s="111">
        <v>0.5</v>
      </c>
      <c r="K63" s="111">
        <v>0.5</v>
      </c>
      <c r="L63" s="111">
        <v>0.5</v>
      </c>
      <c r="M63" s="111">
        <v>0.5</v>
      </c>
      <c r="N63" s="162"/>
    </row>
    <row r="64" spans="1:14" s="80" customFormat="1" ht="12.75">
      <c r="A64" s="144" t="s">
        <v>645</v>
      </c>
      <c r="B64" s="152">
        <v>1</v>
      </c>
      <c r="C64" s="152">
        <v>1</v>
      </c>
      <c r="D64" s="152">
        <v>1</v>
      </c>
      <c r="E64" s="152">
        <v>1</v>
      </c>
      <c r="F64" s="152">
        <v>1</v>
      </c>
      <c r="G64" s="152">
        <v>1</v>
      </c>
      <c r="H64" s="152">
        <v>1</v>
      </c>
      <c r="I64" s="152">
        <v>1</v>
      </c>
      <c r="J64" s="152">
        <v>1</v>
      </c>
      <c r="K64" s="152">
        <v>1</v>
      </c>
      <c r="L64" s="152">
        <v>1</v>
      </c>
      <c r="M64" s="152">
        <v>1</v>
      </c>
      <c r="N64" s="162"/>
    </row>
    <row r="65" spans="1:14" s="80" customFormat="1" ht="12.75">
      <c r="A65" s="144" t="s">
        <v>767</v>
      </c>
      <c r="B65" s="152">
        <v>1</v>
      </c>
      <c r="C65" s="152">
        <v>2</v>
      </c>
      <c r="D65" s="152">
        <v>2</v>
      </c>
      <c r="E65" s="152">
        <v>2</v>
      </c>
      <c r="F65" s="152">
        <v>2</v>
      </c>
      <c r="G65" s="152">
        <v>2</v>
      </c>
      <c r="H65" s="152">
        <v>2</v>
      </c>
      <c r="I65" s="152">
        <v>2</v>
      </c>
      <c r="J65" s="152">
        <v>2</v>
      </c>
      <c r="K65" s="152">
        <v>2</v>
      </c>
      <c r="L65" s="152">
        <v>2</v>
      </c>
      <c r="M65" s="152">
        <v>2</v>
      </c>
      <c r="N65" s="162"/>
    </row>
    <row r="66" spans="1:14" s="80" customFormat="1" ht="12.75">
      <c r="A66" s="144" t="s">
        <v>1035</v>
      </c>
      <c r="B66" s="152">
        <v>1</v>
      </c>
      <c r="C66" s="152">
        <v>1</v>
      </c>
      <c r="D66" s="152">
        <v>1</v>
      </c>
      <c r="E66" s="152">
        <v>1</v>
      </c>
      <c r="F66" s="152">
        <v>1</v>
      </c>
      <c r="G66" s="152">
        <v>1</v>
      </c>
      <c r="H66" s="152">
        <v>1</v>
      </c>
      <c r="I66" s="152">
        <v>1</v>
      </c>
      <c r="J66" s="152">
        <v>1</v>
      </c>
      <c r="K66" s="152">
        <v>1</v>
      </c>
      <c r="L66" s="152">
        <v>1</v>
      </c>
      <c r="M66" s="152">
        <v>1</v>
      </c>
      <c r="N66" s="162"/>
    </row>
    <row r="67" spans="1:14" s="80" customFormat="1" ht="12.75">
      <c r="A67" s="144" t="s">
        <v>1036</v>
      </c>
      <c r="B67" s="152">
        <v>0.5</v>
      </c>
      <c r="C67" s="152">
        <v>0.5</v>
      </c>
      <c r="D67" s="152">
        <v>0.5</v>
      </c>
      <c r="E67" s="152">
        <v>0.5</v>
      </c>
      <c r="F67" s="152">
        <v>0.5</v>
      </c>
      <c r="G67" s="152">
        <v>0.5</v>
      </c>
      <c r="H67" s="152">
        <v>0.5</v>
      </c>
      <c r="I67" s="152">
        <v>0.5</v>
      </c>
      <c r="J67" s="152">
        <v>0.5</v>
      </c>
      <c r="K67" s="152">
        <v>0.5</v>
      </c>
      <c r="L67" s="152">
        <v>0.5</v>
      </c>
      <c r="M67" s="152">
        <v>0.5</v>
      </c>
      <c r="N67" s="162"/>
    </row>
    <row r="68" spans="1:14" s="80" customFormat="1" ht="12.75">
      <c r="A68" s="143" t="s">
        <v>820</v>
      </c>
      <c r="B68" s="152">
        <v>0</v>
      </c>
      <c r="C68" s="152">
        <v>1</v>
      </c>
      <c r="D68" s="152">
        <v>1</v>
      </c>
      <c r="E68" s="152">
        <v>1</v>
      </c>
      <c r="F68" s="152">
        <v>1</v>
      </c>
      <c r="G68" s="152">
        <v>1</v>
      </c>
      <c r="H68" s="152">
        <v>1</v>
      </c>
      <c r="I68" s="152">
        <v>1</v>
      </c>
      <c r="J68" s="152">
        <v>1</v>
      </c>
      <c r="K68" s="152">
        <v>1</v>
      </c>
      <c r="L68" s="152">
        <v>1</v>
      </c>
      <c r="M68" s="152">
        <v>1</v>
      </c>
      <c r="N68" s="162"/>
    </row>
    <row r="69" spans="1:14" s="161" customFormat="1" ht="30" customHeight="1">
      <c r="A69" s="158" t="s">
        <v>999</v>
      </c>
      <c r="B69" s="159"/>
      <c r="C69" s="159"/>
      <c r="D69" s="159"/>
      <c r="E69" s="159"/>
      <c r="F69" s="159"/>
      <c r="G69" s="159"/>
      <c r="H69" s="159"/>
      <c r="I69" s="159"/>
      <c r="J69" s="159"/>
      <c r="K69" s="159"/>
      <c r="L69" s="159"/>
      <c r="M69" s="159"/>
      <c r="N69" s="160"/>
    </row>
    <row r="70" spans="1:14" s="80" customFormat="1" ht="12.75">
      <c r="A70" s="143" t="s">
        <v>1025</v>
      </c>
      <c r="B70" s="152">
        <v>0</v>
      </c>
      <c r="C70" s="152">
        <v>0</v>
      </c>
      <c r="D70" s="152">
        <v>0</v>
      </c>
      <c r="E70" s="152">
        <v>2</v>
      </c>
      <c r="F70" s="152">
        <v>2</v>
      </c>
      <c r="G70" s="152">
        <v>2</v>
      </c>
      <c r="H70" s="152">
        <v>2</v>
      </c>
      <c r="I70" s="152">
        <v>2</v>
      </c>
      <c r="J70" s="152">
        <v>2</v>
      </c>
      <c r="K70" s="152">
        <v>2</v>
      </c>
      <c r="L70" s="152">
        <v>2</v>
      </c>
      <c r="M70" s="152">
        <v>2</v>
      </c>
      <c r="N70" s="162"/>
    </row>
    <row r="71" spans="1:14" s="80" customFormat="1" ht="12.75">
      <c r="A71" s="143" t="s">
        <v>1000</v>
      </c>
      <c r="B71" s="152">
        <v>0</v>
      </c>
      <c r="C71" s="152">
        <v>0</v>
      </c>
      <c r="D71" s="152">
        <v>0</v>
      </c>
      <c r="E71" s="152">
        <v>1</v>
      </c>
      <c r="F71" s="152">
        <v>1</v>
      </c>
      <c r="G71" s="152">
        <v>1</v>
      </c>
      <c r="H71" s="152">
        <v>1</v>
      </c>
      <c r="I71" s="152">
        <v>1</v>
      </c>
      <c r="J71" s="152">
        <v>1</v>
      </c>
      <c r="K71" s="152">
        <v>1</v>
      </c>
      <c r="L71" s="152">
        <v>1</v>
      </c>
      <c r="M71" s="152">
        <v>1</v>
      </c>
      <c r="N71" s="162"/>
    </row>
    <row r="72" spans="1:14" s="80" customFormat="1" ht="12.75">
      <c r="A72" s="143" t="s">
        <v>1039</v>
      </c>
      <c r="B72" s="152">
        <v>0</v>
      </c>
      <c r="C72" s="152">
        <v>0</v>
      </c>
      <c r="D72" s="152">
        <v>0</v>
      </c>
      <c r="E72" s="152">
        <v>1</v>
      </c>
      <c r="F72" s="152">
        <v>1</v>
      </c>
      <c r="G72" s="152">
        <v>1</v>
      </c>
      <c r="H72" s="152">
        <v>1</v>
      </c>
      <c r="I72" s="152">
        <v>1</v>
      </c>
      <c r="J72" s="152">
        <v>1</v>
      </c>
      <c r="K72" s="152">
        <v>1</v>
      </c>
      <c r="L72" s="152">
        <v>1</v>
      </c>
      <c r="M72" s="152">
        <v>1</v>
      </c>
      <c r="N72" s="162"/>
    </row>
    <row r="73" spans="1:14" s="80" customFormat="1" ht="12.75">
      <c r="A73" s="143" t="s">
        <v>1002</v>
      </c>
      <c r="B73" s="152">
        <v>0</v>
      </c>
      <c r="C73" s="152">
        <v>0</v>
      </c>
      <c r="D73" s="152">
        <v>0</v>
      </c>
      <c r="E73" s="152">
        <v>1</v>
      </c>
      <c r="F73" s="152">
        <v>1</v>
      </c>
      <c r="G73" s="152">
        <v>1</v>
      </c>
      <c r="H73" s="152">
        <v>1</v>
      </c>
      <c r="I73" s="152">
        <v>1</v>
      </c>
      <c r="J73" s="152">
        <v>1</v>
      </c>
      <c r="K73" s="152">
        <v>1</v>
      </c>
      <c r="L73" s="152">
        <v>1</v>
      </c>
      <c r="M73" s="152">
        <v>1</v>
      </c>
      <c r="N73" s="162"/>
    </row>
    <row r="74" spans="1:14" s="161" customFormat="1" ht="29.25" customHeight="1">
      <c r="A74" s="158" t="s">
        <v>1037</v>
      </c>
      <c r="B74" s="159"/>
      <c r="C74" s="159"/>
      <c r="D74" s="159"/>
      <c r="E74" s="159"/>
      <c r="F74" s="159"/>
      <c r="G74" s="159"/>
      <c r="H74" s="159"/>
      <c r="I74" s="159"/>
      <c r="J74" s="159"/>
      <c r="K74" s="159"/>
      <c r="L74" s="159"/>
      <c r="M74" s="159"/>
      <c r="N74" s="160"/>
    </row>
    <row r="75" spans="1:14" s="80" customFormat="1" ht="12.75">
      <c r="A75" s="143" t="s">
        <v>1001</v>
      </c>
      <c r="B75" s="152">
        <v>0</v>
      </c>
      <c r="C75" s="152">
        <v>0</v>
      </c>
      <c r="D75" s="152">
        <v>1</v>
      </c>
      <c r="E75" s="152">
        <v>1</v>
      </c>
      <c r="F75" s="152">
        <v>1</v>
      </c>
      <c r="G75" s="152">
        <v>1</v>
      </c>
      <c r="H75" s="152">
        <v>1</v>
      </c>
      <c r="I75" s="152">
        <v>1</v>
      </c>
      <c r="J75" s="152">
        <v>1</v>
      </c>
      <c r="K75" s="152">
        <v>1</v>
      </c>
      <c r="L75" s="152">
        <v>1</v>
      </c>
      <c r="M75" s="152">
        <v>1</v>
      </c>
      <c r="N75" s="162"/>
    </row>
    <row r="76" spans="1:14" s="81" customFormat="1" ht="22.5" customHeight="1">
      <c r="A76" s="157" t="s">
        <v>392</v>
      </c>
      <c r="B76" s="136">
        <f>SUM(B46:B75)</f>
        <v>28.5</v>
      </c>
      <c r="C76" s="136">
        <f aca="true" t="shared" si="2" ref="C76:M76">SUM(C46:C75)</f>
        <v>30.5</v>
      </c>
      <c r="D76" s="136">
        <f t="shared" si="2"/>
        <v>31.5</v>
      </c>
      <c r="E76" s="136">
        <f t="shared" si="2"/>
        <v>36.5</v>
      </c>
      <c r="F76" s="136">
        <f t="shared" si="2"/>
        <v>36.5</v>
      </c>
      <c r="G76" s="136">
        <f t="shared" si="2"/>
        <v>36.5</v>
      </c>
      <c r="H76" s="136">
        <f t="shared" si="2"/>
        <v>36.5</v>
      </c>
      <c r="I76" s="136">
        <f t="shared" si="2"/>
        <v>36.5</v>
      </c>
      <c r="J76" s="136">
        <f t="shared" si="2"/>
        <v>36.5</v>
      </c>
      <c r="K76" s="136">
        <f t="shared" si="2"/>
        <v>36.5</v>
      </c>
      <c r="L76" s="136">
        <f t="shared" si="2"/>
        <v>36.5</v>
      </c>
      <c r="M76" s="136">
        <f t="shared" si="2"/>
        <v>36.5</v>
      </c>
      <c r="N76" s="113"/>
    </row>
    <row r="77" spans="1:14" s="80" customFormat="1" ht="14.25" customHeight="1">
      <c r="A77" s="141"/>
      <c r="B77" s="111"/>
      <c r="C77" s="111"/>
      <c r="D77" s="111"/>
      <c r="E77" s="111"/>
      <c r="F77" s="111"/>
      <c r="G77" s="111"/>
      <c r="H77" s="111"/>
      <c r="I77" s="111"/>
      <c r="J77" s="111"/>
      <c r="K77" s="111"/>
      <c r="L77" s="111"/>
      <c r="M77" s="111"/>
      <c r="N77" s="162"/>
    </row>
    <row r="78" spans="1:14" s="81" customFormat="1" ht="22.5" customHeight="1">
      <c r="A78" s="157" t="s">
        <v>927</v>
      </c>
      <c r="B78" s="110"/>
      <c r="C78" s="110"/>
      <c r="D78" s="110"/>
      <c r="E78" s="110"/>
      <c r="F78" s="110"/>
      <c r="G78" s="110"/>
      <c r="H78" s="110"/>
      <c r="I78" s="110"/>
      <c r="J78" s="110"/>
      <c r="K78" s="110"/>
      <c r="L78" s="110"/>
      <c r="M78" s="110"/>
      <c r="N78" s="113"/>
    </row>
    <row r="79" spans="1:14" s="80" customFormat="1" ht="12.75">
      <c r="A79" s="144" t="s">
        <v>821</v>
      </c>
      <c r="B79" s="111">
        <v>1</v>
      </c>
      <c r="C79" s="111">
        <v>1</v>
      </c>
      <c r="D79" s="111">
        <v>1</v>
      </c>
      <c r="E79" s="111">
        <v>1</v>
      </c>
      <c r="F79" s="111">
        <v>1</v>
      </c>
      <c r="G79" s="111">
        <v>1</v>
      </c>
      <c r="H79" s="111">
        <v>1</v>
      </c>
      <c r="I79" s="111">
        <v>1</v>
      </c>
      <c r="J79" s="111">
        <v>1</v>
      </c>
      <c r="K79" s="111">
        <v>1</v>
      </c>
      <c r="L79" s="111">
        <v>1</v>
      </c>
      <c r="M79" s="111">
        <v>1</v>
      </c>
      <c r="N79" s="162"/>
    </row>
    <row r="80" spans="1:14" s="80" customFormat="1" ht="12.75">
      <c r="A80" s="144" t="s">
        <v>822</v>
      </c>
      <c r="B80" s="111">
        <v>1</v>
      </c>
      <c r="C80" s="111">
        <v>1</v>
      </c>
      <c r="D80" s="111">
        <v>1</v>
      </c>
      <c r="E80" s="111">
        <v>1</v>
      </c>
      <c r="F80" s="111">
        <v>1</v>
      </c>
      <c r="G80" s="111">
        <v>1</v>
      </c>
      <c r="H80" s="111">
        <v>1</v>
      </c>
      <c r="I80" s="111">
        <v>1</v>
      </c>
      <c r="J80" s="111">
        <v>1</v>
      </c>
      <c r="K80" s="111">
        <v>1</v>
      </c>
      <c r="L80" s="111">
        <v>1</v>
      </c>
      <c r="M80" s="111">
        <v>1</v>
      </c>
      <c r="N80" s="162"/>
    </row>
    <row r="81" spans="1:14" s="80" customFormat="1" ht="12.75">
      <c r="A81" s="144" t="s">
        <v>823</v>
      </c>
      <c r="B81" s="111">
        <v>1</v>
      </c>
      <c r="C81" s="111">
        <v>1</v>
      </c>
      <c r="D81" s="111">
        <v>1</v>
      </c>
      <c r="E81" s="111">
        <v>1</v>
      </c>
      <c r="F81" s="111">
        <v>1</v>
      </c>
      <c r="G81" s="111">
        <v>1</v>
      </c>
      <c r="H81" s="111">
        <v>1</v>
      </c>
      <c r="I81" s="111">
        <v>1</v>
      </c>
      <c r="J81" s="111">
        <v>1</v>
      </c>
      <c r="K81" s="111">
        <v>1</v>
      </c>
      <c r="L81" s="111">
        <v>1</v>
      </c>
      <c r="M81" s="111">
        <v>1</v>
      </c>
      <c r="N81" s="162"/>
    </row>
    <row r="82" spans="1:14" s="80" customFormat="1" ht="12.75">
      <c r="A82" s="144" t="s">
        <v>824</v>
      </c>
      <c r="B82" s="111">
        <v>1</v>
      </c>
      <c r="C82" s="111">
        <v>1</v>
      </c>
      <c r="D82" s="111">
        <v>1</v>
      </c>
      <c r="E82" s="111">
        <v>1</v>
      </c>
      <c r="F82" s="111">
        <v>1</v>
      </c>
      <c r="G82" s="111">
        <v>1</v>
      </c>
      <c r="H82" s="111">
        <v>1</v>
      </c>
      <c r="I82" s="111">
        <v>1</v>
      </c>
      <c r="J82" s="111">
        <v>1</v>
      </c>
      <c r="K82" s="111">
        <v>1</v>
      </c>
      <c r="L82" s="111">
        <v>1</v>
      </c>
      <c r="M82" s="111">
        <v>1</v>
      </c>
      <c r="N82" s="162"/>
    </row>
    <row r="83" spans="1:14" s="81" customFormat="1" ht="30" customHeight="1">
      <c r="A83" s="142" t="s">
        <v>928</v>
      </c>
      <c r="B83" s="136">
        <f aca="true" t="shared" si="3" ref="B83:M83">SUM(B79:B82)</f>
        <v>4</v>
      </c>
      <c r="C83" s="136">
        <f t="shared" si="3"/>
        <v>4</v>
      </c>
      <c r="D83" s="136">
        <f t="shared" si="3"/>
        <v>4</v>
      </c>
      <c r="E83" s="136">
        <f t="shared" si="3"/>
        <v>4</v>
      </c>
      <c r="F83" s="136">
        <f t="shared" si="3"/>
        <v>4</v>
      </c>
      <c r="G83" s="136">
        <f t="shared" si="3"/>
        <v>4</v>
      </c>
      <c r="H83" s="136">
        <f t="shared" si="3"/>
        <v>4</v>
      </c>
      <c r="I83" s="136">
        <f t="shared" si="3"/>
        <v>4</v>
      </c>
      <c r="J83" s="136">
        <f t="shared" si="3"/>
        <v>4</v>
      </c>
      <c r="K83" s="136">
        <f t="shared" si="3"/>
        <v>4</v>
      </c>
      <c r="L83" s="136">
        <f t="shared" si="3"/>
        <v>4</v>
      </c>
      <c r="M83" s="136">
        <f t="shared" si="3"/>
        <v>4</v>
      </c>
      <c r="N83" s="113"/>
    </row>
    <row r="84" spans="1:14" s="81" customFormat="1" ht="30.75" customHeight="1">
      <c r="A84" s="859" t="s">
        <v>428</v>
      </c>
      <c r="B84" s="458">
        <f aca="true" t="shared" si="4" ref="B84:M84">SUM(B83,B76,B42,B37)</f>
        <v>99.625</v>
      </c>
      <c r="C84" s="458">
        <f t="shared" si="4"/>
        <v>106.625</v>
      </c>
      <c r="D84" s="458">
        <f t="shared" si="4"/>
        <v>107.625</v>
      </c>
      <c r="E84" s="458">
        <f t="shared" si="4"/>
        <v>112.625</v>
      </c>
      <c r="F84" s="458">
        <f t="shared" si="4"/>
        <v>112.625</v>
      </c>
      <c r="G84" s="458">
        <f t="shared" si="4"/>
        <v>112.625</v>
      </c>
      <c r="H84" s="458">
        <f t="shared" si="4"/>
        <v>111.625</v>
      </c>
      <c r="I84" s="458">
        <f t="shared" si="4"/>
        <v>111.625</v>
      </c>
      <c r="J84" s="458">
        <f t="shared" si="4"/>
        <v>110.625</v>
      </c>
      <c r="K84" s="458">
        <f t="shared" si="4"/>
        <v>110.625</v>
      </c>
      <c r="L84" s="458">
        <f t="shared" si="4"/>
        <v>110.625</v>
      </c>
      <c r="M84" s="458">
        <f t="shared" si="4"/>
        <v>110.625</v>
      </c>
      <c r="N84" s="113"/>
    </row>
    <row r="85" spans="1:14" s="80" customFormat="1" ht="6" customHeight="1">
      <c r="A85" s="141"/>
      <c r="B85" s="111"/>
      <c r="C85" s="111"/>
      <c r="D85" s="111"/>
      <c r="E85" s="111"/>
      <c r="F85" s="111"/>
      <c r="G85" s="111"/>
      <c r="H85" s="111"/>
      <c r="I85" s="111"/>
      <c r="J85" s="111"/>
      <c r="K85" s="111"/>
      <c r="L85" s="111"/>
      <c r="M85" s="111"/>
      <c r="N85" s="162"/>
    </row>
    <row r="86" spans="1:14" s="81" customFormat="1" ht="25.5" customHeight="1">
      <c r="A86" s="157" t="s">
        <v>364</v>
      </c>
      <c r="B86" s="110"/>
      <c r="C86" s="110"/>
      <c r="D86" s="110"/>
      <c r="E86" s="110"/>
      <c r="F86" s="110"/>
      <c r="G86" s="110"/>
      <c r="H86" s="110"/>
      <c r="I86" s="110"/>
      <c r="J86" s="110"/>
      <c r="K86" s="110"/>
      <c r="L86" s="110"/>
      <c r="M86" s="110"/>
      <c r="N86" s="113"/>
    </row>
    <row r="87" spans="1:14" s="608" customFormat="1" ht="35.25" customHeight="1">
      <c r="A87" s="605" t="s">
        <v>830</v>
      </c>
      <c r="B87" s="606"/>
      <c r="C87" s="606"/>
      <c r="D87" s="606"/>
      <c r="E87" s="606"/>
      <c r="F87" s="606"/>
      <c r="G87" s="606"/>
      <c r="H87" s="606"/>
      <c r="I87" s="606"/>
      <c r="J87" s="606"/>
      <c r="K87" s="606"/>
      <c r="L87" s="606"/>
      <c r="M87" s="606"/>
      <c r="N87" s="607"/>
    </row>
    <row r="88" spans="1:14" s="80" customFormat="1" ht="20.25" customHeight="1">
      <c r="A88" s="456" t="s">
        <v>825</v>
      </c>
      <c r="B88" s="457">
        <v>12</v>
      </c>
      <c r="C88" s="457">
        <v>12</v>
      </c>
      <c r="D88" s="457">
        <v>0</v>
      </c>
      <c r="E88" s="457">
        <v>0</v>
      </c>
      <c r="F88" s="457">
        <v>0</v>
      </c>
      <c r="G88" s="457">
        <v>0</v>
      </c>
      <c r="H88" s="457">
        <v>0</v>
      </c>
      <c r="I88" s="457">
        <v>0</v>
      </c>
      <c r="J88" s="457">
        <v>0</v>
      </c>
      <c r="K88" s="457">
        <v>0</v>
      </c>
      <c r="L88" s="457">
        <v>0</v>
      </c>
      <c r="M88" s="457">
        <v>0</v>
      </c>
      <c r="N88" s="162"/>
    </row>
    <row r="89" spans="1:14" s="80" customFormat="1" ht="20.25" customHeight="1">
      <c r="A89" s="456" t="s">
        <v>826</v>
      </c>
      <c r="B89" s="457">
        <v>15</v>
      </c>
      <c r="C89" s="457">
        <v>15</v>
      </c>
      <c r="D89" s="457">
        <v>0</v>
      </c>
      <c r="E89" s="457">
        <v>0</v>
      </c>
      <c r="F89" s="457">
        <v>0</v>
      </c>
      <c r="G89" s="457">
        <v>0</v>
      </c>
      <c r="H89" s="457">
        <v>0</v>
      </c>
      <c r="I89" s="457">
        <v>0</v>
      </c>
      <c r="J89" s="457">
        <v>0</v>
      </c>
      <c r="K89" s="457">
        <v>0</v>
      </c>
      <c r="L89" s="457">
        <v>0</v>
      </c>
      <c r="M89" s="457">
        <v>0</v>
      </c>
      <c r="N89" s="162"/>
    </row>
    <row r="90" spans="1:14" s="80" customFormat="1" ht="20.25" customHeight="1">
      <c r="A90" s="456" t="s">
        <v>827</v>
      </c>
      <c r="B90" s="457">
        <v>15</v>
      </c>
      <c r="C90" s="457">
        <v>15</v>
      </c>
      <c r="D90" s="457">
        <v>0</v>
      </c>
      <c r="E90" s="457">
        <v>0</v>
      </c>
      <c r="F90" s="457">
        <v>0</v>
      </c>
      <c r="G90" s="457">
        <v>0</v>
      </c>
      <c r="H90" s="457">
        <v>0</v>
      </c>
      <c r="I90" s="457">
        <v>0</v>
      </c>
      <c r="J90" s="457">
        <v>0</v>
      </c>
      <c r="K90" s="457">
        <v>0</v>
      </c>
      <c r="L90" s="457">
        <v>0</v>
      </c>
      <c r="M90" s="457">
        <v>0</v>
      </c>
      <c r="N90" s="162"/>
    </row>
    <row r="91" spans="1:14" s="608" customFormat="1" ht="35.25" customHeight="1">
      <c r="A91" s="605" t="s">
        <v>997</v>
      </c>
      <c r="B91" s="606"/>
      <c r="C91" s="606"/>
      <c r="D91" s="606"/>
      <c r="E91" s="606"/>
      <c r="F91" s="606"/>
      <c r="G91" s="606"/>
      <c r="H91" s="606"/>
      <c r="I91" s="606"/>
      <c r="J91" s="606"/>
      <c r="K91" s="606"/>
      <c r="L91" s="606"/>
      <c r="M91" s="606"/>
      <c r="N91" s="607"/>
    </row>
    <row r="92" spans="1:14" s="80" customFormat="1" ht="20.25" customHeight="1">
      <c r="A92" s="456" t="s">
        <v>825</v>
      </c>
      <c r="B92" s="457">
        <v>0</v>
      </c>
      <c r="C92" s="457">
        <v>0</v>
      </c>
      <c r="D92" s="457">
        <v>11</v>
      </c>
      <c r="E92" s="457">
        <v>11</v>
      </c>
      <c r="F92" s="457">
        <v>11</v>
      </c>
      <c r="G92" s="457">
        <v>11</v>
      </c>
      <c r="H92" s="457">
        <v>11</v>
      </c>
      <c r="I92" s="457">
        <v>11</v>
      </c>
      <c r="J92" s="457">
        <v>11</v>
      </c>
      <c r="K92" s="457">
        <v>11</v>
      </c>
      <c r="L92" s="457">
        <v>11</v>
      </c>
      <c r="M92" s="457">
        <v>11</v>
      </c>
      <c r="N92" s="162"/>
    </row>
    <row r="93" spans="1:14" s="80" customFormat="1" ht="20.25" customHeight="1">
      <c r="A93" s="456" t="s">
        <v>826</v>
      </c>
      <c r="B93" s="457">
        <v>0</v>
      </c>
      <c r="C93" s="457">
        <v>0</v>
      </c>
      <c r="D93" s="457">
        <v>11</v>
      </c>
      <c r="E93" s="457">
        <v>11</v>
      </c>
      <c r="F93" s="457">
        <v>11</v>
      </c>
      <c r="G93" s="457">
        <v>11</v>
      </c>
      <c r="H93" s="457">
        <v>11</v>
      </c>
      <c r="I93" s="457">
        <v>11</v>
      </c>
      <c r="J93" s="457">
        <v>11</v>
      </c>
      <c r="K93" s="457">
        <v>11</v>
      </c>
      <c r="L93" s="457">
        <v>11</v>
      </c>
      <c r="M93" s="457">
        <v>11</v>
      </c>
      <c r="N93" s="162"/>
    </row>
    <row r="94" spans="1:14" s="80" customFormat="1" ht="20.25" customHeight="1">
      <c r="A94" s="456" t="s">
        <v>827</v>
      </c>
      <c r="B94" s="457">
        <v>0</v>
      </c>
      <c r="C94" s="457">
        <v>0</v>
      </c>
      <c r="D94" s="457">
        <v>11</v>
      </c>
      <c r="E94" s="457">
        <v>11</v>
      </c>
      <c r="F94" s="457">
        <v>11</v>
      </c>
      <c r="G94" s="457">
        <v>11</v>
      </c>
      <c r="H94" s="457">
        <v>11</v>
      </c>
      <c r="I94" s="457">
        <v>11</v>
      </c>
      <c r="J94" s="457">
        <v>11</v>
      </c>
      <c r="K94" s="457">
        <v>11</v>
      </c>
      <c r="L94" s="457">
        <v>11</v>
      </c>
      <c r="M94" s="457">
        <v>11</v>
      </c>
      <c r="N94" s="162"/>
    </row>
    <row r="95" spans="1:14" s="80" customFormat="1" ht="20.25" customHeight="1">
      <c r="A95" s="456" t="s">
        <v>998</v>
      </c>
      <c r="B95" s="457">
        <v>0</v>
      </c>
      <c r="C95" s="457">
        <v>0</v>
      </c>
      <c r="D95" s="457">
        <v>5</v>
      </c>
      <c r="E95" s="457">
        <v>5</v>
      </c>
      <c r="F95" s="457">
        <v>5</v>
      </c>
      <c r="G95" s="457">
        <v>5</v>
      </c>
      <c r="H95" s="457">
        <v>5</v>
      </c>
      <c r="I95" s="457">
        <v>5</v>
      </c>
      <c r="J95" s="457">
        <v>5</v>
      </c>
      <c r="K95" s="457">
        <v>5</v>
      </c>
      <c r="L95" s="457">
        <v>5</v>
      </c>
      <c r="M95" s="457">
        <v>5</v>
      </c>
      <c r="N95" s="162"/>
    </row>
    <row r="96" spans="1:14" s="608" customFormat="1" ht="35.25" customHeight="1">
      <c r="A96" s="605" t="s">
        <v>831</v>
      </c>
      <c r="B96" s="606"/>
      <c r="C96" s="606"/>
      <c r="D96" s="606"/>
      <c r="E96" s="606"/>
      <c r="F96" s="606"/>
      <c r="G96" s="606"/>
      <c r="H96" s="606"/>
      <c r="I96" s="606"/>
      <c r="J96" s="606"/>
      <c r="K96" s="606"/>
      <c r="L96" s="606"/>
      <c r="M96" s="606"/>
      <c r="N96" s="607"/>
    </row>
    <row r="97" spans="1:14" s="80" customFormat="1" ht="20.25" customHeight="1">
      <c r="A97" s="456" t="s">
        <v>828</v>
      </c>
      <c r="B97" s="457">
        <v>12</v>
      </c>
      <c r="C97" s="457">
        <v>12</v>
      </c>
      <c r="D97" s="457">
        <v>0</v>
      </c>
      <c r="E97" s="457">
        <v>0</v>
      </c>
      <c r="F97" s="457">
        <v>0</v>
      </c>
      <c r="G97" s="457">
        <v>0</v>
      </c>
      <c r="H97" s="457">
        <v>0</v>
      </c>
      <c r="I97" s="457">
        <v>0</v>
      </c>
      <c r="J97" s="457">
        <v>0</v>
      </c>
      <c r="K97" s="457">
        <v>0</v>
      </c>
      <c r="L97" s="457">
        <v>0</v>
      </c>
      <c r="M97" s="457">
        <v>0</v>
      </c>
      <c r="N97" s="162"/>
    </row>
    <row r="98" spans="1:14" s="80" customFormat="1" ht="20.25" customHeight="1">
      <c r="A98" s="456" t="s">
        <v>829</v>
      </c>
      <c r="B98" s="457">
        <v>72</v>
      </c>
      <c r="C98" s="457">
        <v>72</v>
      </c>
      <c r="D98" s="457">
        <v>0</v>
      </c>
      <c r="E98" s="457">
        <v>0</v>
      </c>
      <c r="F98" s="457">
        <v>0</v>
      </c>
      <c r="G98" s="457">
        <v>0</v>
      </c>
      <c r="H98" s="457">
        <v>0</v>
      </c>
      <c r="I98" s="457">
        <v>0</v>
      </c>
      <c r="J98" s="457">
        <v>0</v>
      </c>
      <c r="K98" s="457">
        <v>0</v>
      </c>
      <c r="L98" s="457">
        <v>0</v>
      </c>
      <c r="M98" s="457">
        <v>0</v>
      </c>
      <c r="N98" s="162"/>
    </row>
    <row r="99" spans="1:14" s="608" customFormat="1" ht="35.25" customHeight="1">
      <c r="A99" s="605" t="s">
        <v>995</v>
      </c>
      <c r="B99" s="606"/>
      <c r="C99" s="606"/>
      <c r="D99" s="606"/>
      <c r="E99" s="606"/>
      <c r="F99" s="606"/>
      <c r="G99" s="606"/>
      <c r="H99" s="606"/>
      <c r="I99" s="606"/>
      <c r="J99" s="606"/>
      <c r="K99" s="606"/>
      <c r="L99" s="606"/>
      <c r="M99" s="606"/>
      <c r="N99" s="607"/>
    </row>
    <row r="100" spans="1:14" s="80" customFormat="1" ht="20.25" customHeight="1">
      <c r="A100" s="456" t="s">
        <v>996</v>
      </c>
      <c r="B100" s="457">
        <v>0</v>
      </c>
      <c r="C100" s="457">
        <v>0</v>
      </c>
      <c r="D100" s="457">
        <v>94</v>
      </c>
      <c r="E100" s="457">
        <v>94</v>
      </c>
      <c r="F100" s="457">
        <v>94</v>
      </c>
      <c r="G100" s="457">
        <v>94</v>
      </c>
      <c r="H100" s="457">
        <v>94</v>
      </c>
      <c r="I100" s="457">
        <v>94</v>
      </c>
      <c r="J100" s="457">
        <v>94</v>
      </c>
      <c r="K100" s="457">
        <v>94</v>
      </c>
      <c r="L100" s="457">
        <v>94</v>
      </c>
      <c r="M100" s="457">
        <v>94</v>
      </c>
      <c r="N100" s="162"/>
    </row>
    <row r="101" spans="1:14" s="81" customFormat="1" ht="32.25" customHeight="1">
      <c r="A101" s="859" t="s">
        <v>529</v>
      </c>
      <c r="B101" s="458">
        <f>SUM(B87:B100)</f>
        <v>126</v>
      </c>
      <c r="C101" s="458">
        <f aca="true" t="shared" si="5" ref="C101:M101">SUM(C87:C100)</f>
        <v>126</v>
      </c>
      <c r="D101" s="458">
        <f t="shared" si="5"/>
        <v>132</v>
      </c>
      <c r="E101" s="458">
        <f t="shared" si="5"/>
        <v>132</v>
      </c>
      <c r="F101" s="458">
        <f t="shared" si="5"/>
        <v>132</v>
      </c>
      <c r="G101" s="458">
        <f t="shared" si="5"/>
        <v>132</v>
      </c>
      <c r="H101" s="458">
        <f t="shared" si="5"/>
        <v>132</v>
      </c>
      <c r="I101" s="458">
        <f t="shared" si="5"/>
        <v>132</v>
      </c>
      <c r="J101" s="458">
        <f t="shared" si="5"/>
        <v>132</v>
      </c>
      <c r="K101" s="458">
        <f t="shared" si="5"/>
        <v>132</v>
      </c>
      <c r="L101" s="458">
        <f t="shared" si="5"/>
        <v>132</v>
      </c>
      <c r="M101" s="458">
        <f t="shared" si="5"/>
        <v>132</v>
      </c>
      <c r="N101" s="113"/>
    </row>
    <row r="105" spans="2:3" ht="12.75">
      <c r="B105" s="880">
        <v>14</v>
      </c>
      <c r="C105" s="876" t="s">
        <v>1041</v>
      </c>
    </row>
  </sheetData>
  <sheetProtection/>
  <mergeCells count="3">
    <mergeCell ref="A3:M3"/>
    <mergeCell ref="A4:M4"/>
    <mergeCell ref="A5:M5"/>
  </mergeCells>
  <printOptions horizontalCentered="1" verticalCentered="1"/>
  <pageMargins left="0.7086614173228347" right="0.7086614173228347" top="0.5511811023622047" bottom="0.5511811023622047" header="0.31496062992125984" footer="0.31496062992125984"/>
  <pageSetup horizontalDpi="600" verticalDpi="600" orientation="landscape" paperSize="9" scale="80" r:id="rId1"/>
  <rowBreaks count="1" manualBreakCount="1">
    <brk id="3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H75"/>
  <sheetViews>
    <sheetView view="pageBreakPreview" zoomScaleSheetLayoutView="100" zoomScalePageLayoutView="0" workbookViewId="0" topLeftCell="A1">
      <selection activeCell="C1" sqref="C1:D1"/>
    </sheetView>
  </sheetViews>
  <sheetFormatPr defaultColWidth="8.875" defaultRowHeight="12.75"/>
  <cols>
    <col min="1" max="1" width="4.125" style="83" bestFit="1" customWidth="1"/>
    <col min="2" max="2" width="2.375" style="3" customWidth="1"/>
    <col min="3" max="3" width="88.625" style="3" customWidth="1"/>
    <col min="4" max="4" width="15.625" style="3" bestFit="1" customWidth="1"/>
    <col min="5" max="16384" width="8.875" style="3" customWidth="1"/>
  </cols>
  <sheetData>
    <row r="1" spans="3:5" ht="15">
      <c r="C1" s="964" t="s">
        <v>1046</v>
      </c>
      <c r="D1" s="1229"/>
      <c r="E1" s="82"/>
    </row>
    <row r="2" spans="3:5" ht="15">
      <c r="C2" s="6"/>
      <c r="D2" s="151"/>
      <c r="E2" s="82"/>
    </row>
    <row r="3" spans="2:4" ht="15.75">
      <c r="B3" s="1230" t="s">
        <v>882</v>
      </c>
      <c r="C3" s="1230"/>
      <c r="D3" s="1230"/>
    </row>
    <row r="4" spans="2:4" ht="15">
      <c r="B4" s="167"/>
      <c r="C4" s="167"/>
      <c r="D4" s="167"/>
    </row>
    <row r="5" ht="15.75" thickBot="1">
      <c r="D5" s="6"/>
    </row>
    <row r="6" spans="1:4" s="4" customFormat="1" ht="14.25">
      <c r="A6" s="1224" t="s">
        <v>440</v>
      </c>
      <c r="B6" s="1231" t="s">
        <v>369</v>
      </c>
      <c r="C6" s="1232"/>
      <c r="D6" s="7" t="s">
        <v>381</v>
      </c>
    </row>
    <row r="7" spans="1:4" s="95" customFormat="1" ht="12">
      <c r="A7" s="1225"/>
      <c r="B7" s="1223" t="s">
        <v>434</v>
      </c>
      <c r="C7" s="1223"/>
      <c r="D7" s="94" t="s">
        <v>435</v>
      </c>
    </row>
    <row r="8" spans="1:4" s="4" customFormat="1" ht="14.25">
      <c r="A8" s="101">
        <v>1</v>
      </c>
      <c r="B8" s="96" t="s">
        <v>375</v>
      </c>
      <c r="C8" s="11"/>
      <c r="D8" s="299"/>
    </row>
    <row r="9" spans="1:4" s="13" customFormat="1" ht="15">
      <c r="A9" s="101">
        <v>2</v>
      </c>
      <c r="B9" s="97" t="s">
        <v>449</v>
      </c>
      <c r="C9" s="12"/>
      <c r="D9" s="300"/>
    </row>
    <row r="10" spans="1:4" ht="27.75" customHeight="1">
      <c r="A10" s="101">
        <v>3</v>
      </c>
      <c r="B10" s="85" t="s">
        <v>382</v>
      </c>
      <c r="C10" s="139" t="s">
        <v>888</v>
      </c>
      <c r="D10" s="687">
        <f>242490975+151044</f>
        <v>242642019</v>
      </c>
    </row>
    <row r="11" spans="1:4" ht="27.75" customHeight="1">
      <c r="A11" s="101">
        <v>4</v>
      </c>
      <c r="B11" s="85" t="s">
        <v>382</v>
      </c>
      <c r="C11" s="139" t="s">
        <v>889</v>
      </c>
      <c r="D11" s="687">
        <v>3832400</v>
      </c>
    </row>
    <row r="12" spans="1:4" ht="27.75" customHeight="1">
      <c r="A12" s="101">
        <v>5</v>
      </c>
      <c r="B12" s="85" t="s">
        <v>382</v>
      </c>
      <c r="C12" s="139" t="s">
        <v>890</v>
      </c>
      <c r="D12" s="687">
        <v>17861888</v>
      </c>
    </row>
    <row r="13" spans="1:4" ht="27.75" customHeight="1">
      <c r="A13" s="101">
        <v>6</v>
      </c>
      <c r="B13" s="85" t="s">
        <v>382</v>
      </c>
      <c r="C13" s="139" t="s">
        <v>763</v>
      </c>
      <c r="D13" s="687">
        <f>17462500-5238750</f>
        <v>12223750</v>
      </c>
    </row>
    <row r="14" spans="1:4" ht="27.75" customHeight="1">
      <c r="A14" s="101">
        <v>7</v>
      </c>
      <c r="B14" s="85" t="s">
        <v>382</v>
      </c>
      <c r="C14" s="139" t="s">
        <v>764</v>
      </c>
      <c r="D14" s="687">
        <v>525300</v>
      </c>
    </row>
    <row r="15" spans="1:4" ht="27.75" customHeight="1">
      <c r="A15" s="101">
        <v>8</v>
      </c>
      <c r="B15" s="85" t="s">
        <v>382</v>
      </c>
      <c r="C15" s="139" t="s">
        <v>765</v>
      </c>
      <c r="D15" s="687">
        <v>3225085</v>
      </c>
    </row>
    <row r="16" spans="1:4" ht="18.75" customHeight="1">
      <c r="A16" s="101">
        <v>9</v>
      </c>
      <c r="B16" s="85" t="s">
        <v>382</v>
      </c>
      <c r="C16" s="139" t="s">
        <v>891</v>
      </c>
      <c r="D16" s="687">
        <v>5419000</v>
      </c>
    </row>
    <row r="17" spans="1:4" ht="45">
      <c r="A17" s="101">
        <v>10</v>
      </c>
      <c r="B17" s="85" t="s">
        <v>382</v>
      </c>
      <c r="C17" s="139" t="s">
        <v>957</v>
      </c>
      <c r="D17" s="687">
        <f>335750+495250</f>
        <v>831000</v>
      </c>
    </row>
    <row r="18" spans="1:4" ht="18.75" customHeight="1">
      <c r="A18" s="101">
        <v>11</v>
      </c>
      <c r="B18" s="85" t="s">
        <v>382</v>
      </c>
      <c r="C18" s="139" t="s">
        <v>894</v>
      </c>
      <c r="D18" s="687">
        <v>76200</v>
      </c>
    </row>
    <row r="19" spans="1:4" ht="21.75" customHeight="1">
      <c r="A19" s="101">
        <v>12</v>
      </c>
      <c r="B19" s="85" t="s">
        <v>382</v>
      </c>
      <c r="C19" s="139" t="s">
        <v>895</v>
      </c>
      <c r="D19" s="687">
        <v>1023620</v>
      </c>
    </row>
    <row r="20" spans="1:4" ht="21" customHeight="1">
      <c r="A20" s="101">
        <v>13</v>
      </c>
      <c r="B20" s="85" t="s">
        <v>382</v>
      </c>
      <c r="C20" s="139" t="s">
        <v>896</v>
      </c>
      <c r="D20" s="687">
        <v>3250000</v>
      </c>
    </row>
    <row r="21" spans="1:4" ht="28.5" customHeight="1">
      <c r="A21" s="101">
        <v>14</v>
      </c>
      <c r="B21" s="85" t="s">
        <v>382</v>
      </c>
      <c r="C21" s="139" t="s">
        <v>897</v>
      </c>
      <c r="D21" s="687">
        <v>101600</v>
      </c>
    </row>
    <row r="22" spans="1:4" ht="28.5" customHeight="1">
      <c r="A22" s="101">
        <v>15</v>
      </c>
      <c r="B22" s="85" t="s">
        <v>382</v>
      </c>
      <c r="C22" s="139" t="s">
        <v>898</v>
      </c>
      <c r="D22" s="687">
        <v>10986734</v>
      </c>
    </row>
    <row r="23" spans="1:4" ht="15.75" customHeight="1">
      <c r="A23" s="101">
        <v>16</v>
      </c>
      <c r="B23" s="85" t="s">
        <v>382</v>
      </c>
      <c r="C23" s="139" t="s">
        <v>1008</v>
      </c>
      <c r="D23" s="687">
        <v>299888</v>
      </c>
    </row>
    <row r="24" spans="1:4" ht="15.75" customHeight="1">
      <c r="A24" s="101">
        <v>17</v>
      </c>
      <c r="B24" s="85" t="s">
        <v>382</v>
      </c>
      <c r="C24" s="139" t="s">
        <v>1009</v>
      </c>
      <c r="D24" s="687">
        <v>1846997</v>
      </c>
    </row>
    <row r="25" spans="1:4" ht="30" customHeight="1">
      <c r="A25" s="101">
        <v>18</v>
      </c>
      <c r="B25" s="85" t="s">
        <v>382</v>
      </c>
      <c r="C25" s="139" t="s">
        <v>1013</v>
      </c>
      <c r="D25" s="687">
        <v>8983129</v>
      </c>
    </row>
    <row r="26" spans="1:4" ht="17.25" customHeight="1">
      <c r="A26" s="101">
        <v>19</v>
      </c>
      <c r="B26" s="85" t="s">
        <v>382</v>
      </c>
      <c r="C26" s="139" t="s">
        <v>1012</v>
      </c>
      <c r="D26" s="687">
        <v>2497100</v>
      </c>
    </row>
    <row r="27" spans="1:4" ht="20.25" customHeight="1">
      <c r="A27" s="101">
        <v>20</v>
      </c>
      <c r="B27" s="85" t="s">
        <v>382</v>
      </c>
      <c r="C27" s="139" t="s">
        <v>1011</v>
      </c>
      <c r="D27" s="687">
        <v>120000</v>
      </c>
    </row>
    <row r="28" spans="1:4" s="37" customFormat="1" ht="15">
      <c r="A28" s="101">
        <v>21</v>
      </c>
      <c r="B28" s="85"/>
      <c r="C28" s="15" t="s">
        <v>392</v>
      </c>
      <c r="D28" s="301">
        <f>SUM(D10:D27)</f>
        <v>315745710</v>
      </c>
    </row>
    <row r="29" spans="1:4" s="37" customFormat="1" ht="15">
      <c r="A29" s="101">
        <v>22</v>
      </c>
      <c r="B29" s="1220" t="s">
        <v>379</v>
      </c>
      <c r="C29" s="1221"/>
      <c r="D29" s="1222"/>
    </row>
    <row r="30" spans="1:4" ht="18.75" customHeight="1">
      <c r="A30" s="101">
        <v>23</v>
      </c>
      <c r="B30" s="85" t="s">
        <v>382</v>
      </c>
      <c r="C30" s="139" t="s">
        <v>899</v>
      </c>
      <c r="D30" s="687">
        <v>1229404</v>
      </c>
    </row>
    <row r="31" spans="1:4" s="37" customFormat="1" ht="15">
      <c r="A31" s="101">
        <v>24</v>
      </c>
      <c r="B31" s="138"/>
      <c r="C31" s="15" t="s">
        <v>506</v>
      </c>
      <c r="D31" s="301">
        <f>SUM(D30:D30)</f>
        <v>1229404</v>
      </c>
    </row>
    <row r="32" spans="1:4" s="37" customFormat="1" ht="15">
      <c r="A32" s="101">
        <v>25</v>
      </c>
      <c r="B32" s="1220" t="s">
        <v>801</v>
      </c>
      <c r="C32" s="1221"/>
      <c r="D32" s="1222"/>
    </row>
    <row r="33" spans="1:4" ht="32.25" customHeight="1">
      <c r="A33" s="101">
        <v>26</v>
      </c>
      <c r="B33" s="85" t="s">
        <v>382</v>
      </c>
      <c r="C33" s="139" t="s">
        <v>900</v>
      </c>
      <c r="D33" s="687">
        <v>139700</v>
      </c>
    </row>
    <row r="34" spans="1:4" ht="18.75" customHeight="1">
      <c r="A34" s="101">
        <v>27</v>
      </c>
      <c r="B34" s="85" t="s">
        <v>382</v>
      </c>
      <c r="C34" s="139" t="s">
        <v>901</v>
      </c>
      <c r="D34" s="687">
        <v>88900</v>
      </c>
    </row>
    <row r="35" spans="1:4" ht="18.75" customHeight="1">
      <c r="A35" s="101">
        <v>28</v>
      </c>
      <c r="B35" s="85" t="s">
        <v>382</v>
      </c>
      <c r="C35" s="139" t="s">
        <v>902</v>
      </c>
      <c r="D35" s="687">
        <v>76200</v>
      </c>
    </row>
    <row r="36" spans="1:4" ht="30">
      <c r="A36" s="101">
        <v>29</v>
      </c>
      <c r="B36" s="85" t="s">
        <v>382</v>
      </c>
      <c r="C36" s="139" t="s">
        <v>1016</v>
      </c>
      <c r="D36" s="687">
        <v>1687190</v>
      </c>
    </row>
    <row r="37" spans="1:4" ht="15">
      <c r="A37" s="101">
        <v>30</v>
      </c>
      <c r="B37" s="85" t="s">
        <v>382</v>
      </c>
      <c r="C37" s="139" t="s">
        <v>1017</v>
      </c>
      <c r="D37" s="687">
        <v>2412553</v>
      </c>
    </row>
    <row r="38" spans="1:4" s="37" customFormat="1" ht="15">
      <c r="A38" s="101">
        <v>31</v>
      </c>
      <c r="B38" s="138"/>
      <c r="C38" s="15" t="s">
        <v>1014</v>
      </c>
      <c r="D38" s="301">
        <f>SUM(D33:D37)</f>
        <v>4404543</v>
      </c>
    </row>
    <row r="39" spans="1:4" s="37" customFormat="1" ht="15">
      <c r="A39" s="101">
        <v>32</v>
      </c>
      <c r="B39" s="1220" t="s">
        <v>927</v>
      </c>
      <c r="C39" s="1221"/>
      <c r="D39" s="1222"/>
    </row>
    <row r="40" spans="1:4" ht="18.75" customHeight="1">
      <c r="A40" s="101">
        <v>33</v>
      </c>
      <c r="B40" s="85" t="s">
        <v>382</v>
      </c>
      <c r="C40" s="139" t="s">
        <v>1015</v>
      </c>
      <c r="D40" s="687">
        <v>103900</v>
      </c>
    </row>
    <row r="41" spans="1:4" s="37" customFormat="1" ht="15">
      <c r="A41" s="101">
        <v>34</v>
      </c>
      <c r="B41" s="138"/>
      <c r="C41" s="15" t="s">
        <v>928</v>
      </c>
      <c r="D41" s="301">
        <f>SUM(D40:D40)</f>
        <v>103900</v>
      </c>
    </row>
    <row r="42" spans="1:4" s="4" customFormat="1" ht="15" thickBot="1">
      <c r="A42" s="102">
        <v>35</v>
      </c>
      <c r="B42" s="16" t="s">
        <v>372</v>
      </c>
      <c r="C42" s="16"/>
      <c r="D42" s="302">
        <f>SUM(D38+D41+D31+D28)</f>
        <v>321483557</v>
      </c>
    </row>
    <row r="43" spans="1:4" ht="15">
      <c r="A43" s="561">
        <v>36</v>
      </c>
      <c r="B43" s="1226" t="s">
        <v>380</v>
      </c>
      <c r="C43" s="1226"/>
      <c r="D43" s="1227"/>
    </row>
    <row r="44" spans="1:4" s="13" customFormat="1" ht="15">
      <c r="A44" s="101">
        <v>37</v>
      </c>
      <c r="B44" s="114" t="s">
        <v>449</v>
      </c>
      <c r="C44" s="14"/>
      <c r="D44" s="8"/>
    </row>
    <row r="45" spans="1:4" ht="18.75" customHeight="1">
      <c r="A45" s="101">
        <v>38</v>
      </c>
      <c r="B45" s="85" t="s">
        <v>382</v>
      </c>
      <c r="C45" s="139" t="s">
        <v>766</v>
      </c>
      <c r="D45" s="687">
        <v>254000</v>
      </c>
    </row>
    <row r="46" spans="1:4" ht="18.75" customHeight="1">
      <c r="A46" s="101">
        <v>39</v>
      </c>
      <c r="B46" s="85" t="s">
        <v>382</v>
      </c>
      <c r="C46" s="139" t="s">
        <v>885</v>
      </c>
      <c r="D46" s="687">
        <v>254000</v>
      </c>
    </row>
    <row r="47" spans="1:4" s="37" customFormat="1" ht="29.25" customHeight="1">
      <c r="A47" s="101">
        <v>40</v>
      </c>
      <c r="B47" s="85" t="s">
        <v>382</v>
      </c>
      <c r="C47" s="139" t="s">
        <v>883</v>
      </c>
      <c r="D47" s="687">
        <v>2500000</v>
      </c>
    </row>
    <row r="48" spans="1:4" s="37" customFormat="1" ht="45">
      <c r="A48" s="101">
        <v>41</v>
      </c>
      <c r="B48" s="85" t="s">
        <v>382</v>
      </c>
      <c r="C48" s="139" t="s">
        <v>956</v>
      </c>
      <c r="D48" s="687">
        <f>22279919+850900</f>
        <v>23130819</v>
      </c>
    </row>
    <row r="49" spans="1:4" s="37" customFormat="1" ht="29.25" customHeight="1">
      <c r="A49" s="101">
        <v>42</v>
      </c>
      <c r="B49" s="85" t="s">
        <v>382</v>
      </c>
      <c r="C49" s="139" t="s">
        <v>893</v>
      </c>
      <c r="D49" s="687">
        <v>2606050</v>
      </c>
    </row>
    <row r="50" spans="1:4" ht="18.75" customHeight="1">
      <c r="A50" s="101">
        <v>43</v>
      </c>
      <c r="B50" s="85" t="s">
        <v>382</v>
      </c>
      <c r="C50" s="139" t="s">
        <v>892</v>
      </c>
      <c r="D50" s="687">
        <v>389000</v>
      </c>
    </row>
    <row r="51" spans="1:4" ht="18.75" customHeight="1">
      <c r="A51" s="101">
        <v>44</v>
      </c>
      <c r="B51" s="85" t="s">
        <v>382</v>
      </c>
      <c r="C51" s="139" t="s">
        <v>904</v>
      </c>
      <c r="D51" s="687">
        <v>17634204</v>
      </c>
    </row>
    <row r="52" spans="1:4" ht="18.75" customHeight="1">
      <c r="A52" s="101">
        <v>45</v>
      </c>
      <c r="B52" s="85" t="s">
        <v>382</v>
      </c>
      <c r="C52" s="139" t="s">
        <v>960</v>
      </c>
      <c r="D52" s="687">
        <v>3000000</v>
      </c>
    </row>
    <row r="53" spans="1:4" ht="18.75" customHeight="1">
      <c r="A53" s="101">
        <v>46</v>
      </c>
      <c r="B53" s="85" t="s">
        <v>382</v>
      </c>
      <c r="C53" s="139" t="s">
        <v>961</v>
      </c>
      <c r="D53" s="687">
        <v>5000000</v>
      </c>
    </row>
    <row r="54" spans="1:4" ht="30">
      <c r="A54" s="101">
        <v>47</v>
      </c>
      <c r="B54" s="85" t="s">
        <v>382</v>
      </c>
      <c r="C54" s="139" t="s">
        <v>1010</v>
      </c>
      <c r="D54" s="687">
        <v>6528562</v>
      </c>
    </row>
    <row r="55" spans="1:4" s="13" customFormat="1" ht="15">
      <c r="A55" s="101">
        <v>48</v>
      </c>
      <c r="B55" s="99"/>
      <c r="C55" s="5" t="s">
        <v>392</v>
      </c>
      <c r="D55" s="303">
        <f>SUM(D43:D54)</f>
        <v>61296635</v>
      </c>
    </row>
    <row r="56" spans="1:4" ht="15.75" thickBot="1">
      <c r="A56" s="102">
        <v>49</v>
      </c>
      <c r="B56" s="98" t="s">
        <v>372</v>
      </c>
      <c r="C56" s="16"/>
      <c r="D56" s="304">
        <f>SUM(D55)</f>
        <v>61296635</v>
      </c>
    </row>
    <row r="57" spans="1:4" ht="15">
      <c r="A57" s="101">
        <v>50</v>
      </c>
      <c r="B57" s="1226" t="s">
        <v>110</v>
      </c>
      <c r="C57" s="1226"/>
      <c r="D57" s="1227"/>
    </row>
    <row r="58" spans="1:4" s="13" customFormat="1" ht="15">
      <c r="A58" s="101">
        <v>51</v>
      </c>
      <c r="B58" s="17" t="s">
        <v>449</v>
      </c>
      <c r="C58" s="14"/>
      <c r="D58" s="9"/>
    </row>
    <row r="59" spans="1:4" s="37" customFormat="1" ht="20.25" customHeight="1">
      <c r="A59" s="101">
        <v>52</v>
      </c>
      <c r="B59" s="85" t="s">
        <v>382</v>
      </c>
      <c r="C59" s="139" t="s">
        <v>430</v>
      </c>
      <c r="D59" s="688">
        <v>449520</v>
      </c>
    </row>
    <row r="60" spans="1:4" ht="27.75" customHeight="1">
      <c r="A60" s="101">
        <v>53</v>
      </c>
      <c r="B60" s="85" t="s">
        <v>382</v>
      </c>
      <c r="C60" s="139" t="s">
        <v>884</v>
      </c>
      <c r="D60" s="687">
        <v>1159500</v>
      </c>
    </row>
    <row r="61" spans="1:4" s="4" customFormat="1" ht="15" thickBot="1">
      <c r="A61" s="102">
        <v>54</v>
      </c>
      <c r="B61" s="18" t="s">
        <v>372</v>
      </c>
      <c r="C61" s="16"/>
      <c r="D61" s="305">
        <f>SUM(D59:D60)</f>
        <v>1609020</v>
      </c>
    </row>
    <row r="62" spans="1:4" ht="15" hidden="1">
      <c r="A62" s="561">
        <v>45</v>
      </c>
      <c r="B62" s="1226" t="s">
        <v>431</v>
      </c>
      <c r="C62" s="1226"/>
      <c r="D62" s="1227"/>
    </row>
    <row r="63" spans="1:4" s="13" customFormat="1" ht="15" hidden="1">
      <c r="A63" s="101">
        <v>46</v>
      </c>
      <c r="B63" s="85"/>
      <c r="C63" s="20"/>
      <c r="D63" s="19"/>
    </row>
    <row r="64" spans="1:4" s="4" customFormat="1" ht="15" hidden="1" thickBot="1">
      <c r="A64" s="101">
        <v>47</v>
      </c>
      <c r="B64" s="18" t="s">
        <v>372</v>
      </c>
      <c r="C64" s="16"/>
      <c r="D64" s="10">
        <f>SUM(D63:D63)</f>
        <v>0</v>
      </c>
    </row>
    <row r="65" spans="1:4" ht="15">
      <c r="A65" s="101">
        <v>55</v>
      </c>
      <c r="B65" s="1226" t="s">
        <v>432</v>
      </c>
      <c r="C65" s="1226"/>
      <c r="D65" s="1227"/>
    </row>
    <row r="66" spans="1:4" ht="15">
      <c r="A66" s="101">
        <v>56</v>
      </c>
      <c r="B66" s="17" t="s">
        <v>449</v>
      </c>
      <c r="C66" s="93"/>
      <c r="D66" s="92"/>
    </row>
    <row r="67" spans="1:4" ht="30">
      <c r="A67" s="101">
        <v>57</v>
      </c>
      <c r="B67" s="85" t="s">
        <v>382</v>
      </c>
      <c r="C67" s="86" t="s">
        <v>903</v>
      </c>
      <c r="D67" s="689">
        <v>5000000</v>
      </c>
    </row>
    <row r="68" spans="1:4" s="4" customFormat="1" ht="15" thickBot="1">
      <c r="A68" s="102">
        <v>58</v>
      </c>
      <c r="B68" s="18" t="s">
        <v>372</v>
      </c>
      <c r="C68" s="16"/>
      <c r="D68" s="305">
        <f>SUM(D67:D67)</f>
        <v>5000000</v>
      </c>
    </row>
    <row r="69" spans="1:4" ht="21" customHeight="1" thickBot="1">
      <c r="A69" s="102">
        <v>59</v>
      </c>
      <c r="B69" s="100" t="s">
        <v>373</v>
      </c>
      <c r="C69" s="18"/>
      <c r="D69" s="305">
        <f>SUM(D68+D61+D56+D42)</f>
        <v>389389212</v>
      </c>
    </row>
    <row r="71" spans="1:3" ht="21" customHeight="1">
      <c r="A71" s="881">
        <v>15</v>
      </c>
      <c r="C71" s="876" t="s">
        <v>1041</v>
      </c>
    </row>
    <row r="73" spans="2:4" ht="15">
      <c r="B73" s="1228"/>
      <c r="C73" s="1228"/>
      <c r="D73" s="1228"/>
    </row>
    <row r="75" ht="15">
      <c r="H75" s="84"/>
    </row>
  </sheetData>
  <sheetProtection/>
  <mergeCells count="13">
    <mergeCell ref="B73:D73"/>
    <mergeCell ref="B32:D32"/>
    <mergeCell ref="C1:D1"/>
    <mergeCell ref="B57:D57"/>
    <mergeCell ref="B3:D3"/>
    <mergeCell ref="B6:C6"/>
    <mergeCell ref="B43:D43"/>
    <mergeCell ref="B39:D39"/>
    <mergeCell ref="B7:C7"/>
    <mergeCell ref="B29:D29"/>
    <mergeCell ref="A6:A7"/>
    <mergeCell ref="B62:D62"/>
    <mergeCell ref="B65:D65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scale="82" r:id="rId1"/>
  <rowBreaks count="1" manualBreakCount="1">
    <brk id="42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OTP Bank Rt.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Juhász Anikó</cp:lastModifiedBy>
  <cp:lastPrinted>2018-04-03T07:34:13Z</cp:lastPrinted>
  <dcterms:created xsi:type="dcterms:W3CDTF">2001-11-30T10:27:10Z</dcterms:created>
  <dcterms:modified xsi:type="dcterms:W3CDTF">2018-04-16T09:58:12Z</dcterms:modified>
  <cp:category/>
  <cp:version/>
  <cp:contentType/>
  <cp:contentStatus/>
</cp:coreProperties>
</file>