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28680" yWindow="-120" windowWidth="19440" windowHeight="15600" tabRatio="944" firstSheet="3" activeTab="10"/>
  </bookViews>
  <sheets>
    <sheet name="1. Bevételek" sheetId="41" r:id="rId1"/>
    <sheet name="1.1.Bevételek (KÖT, ÖNV,Áll.i)" sheetId="202" r:id="rId2"/>
    <sheet name="2. Kiadások" sheetId="5" r:id="rId3"/>
    <sheet name="2.1.Kiadások (KÖT, ÖNV, Áll.i)" sheetId="201" r:id="rId4"/>
    <sheet name="3.Működési mérleg" sheetId="196" r:id="rId5"/>
    <sheet name="4. Felhalmozási mérleg" sheetId="197" r:id="rId6"/>
    <sheet name="5. Pénzeszköz átadás" sheetId="190" r:id="rId7"/>
    <sheet name="6 .Felhalmozási k." sheetId="194" r:id="rId8"/>
    <sheet name="7. Kötelezettség" sheetId="200" r:id="rId9"/>
    <sheet name="8. Létszám" sheetId="195" r:id="rId10"/>
    <sheet name="9. Adósságk." sheetId="198" r:id="rId11"/>
  </sheets>
  <externalReferences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0">'1. Bevételek'!$3:$6</definedName>
    <definedName name="_xlnm.Print_Titles" localSheetId="2">'2. Kiadások'!$3:$3</definedName>
    <definedName name="_xlnm.Print_Area" localSheetId="0">'1. Bevételek'!$A$1:$O$50</definedName>
    <definedName name="_xlnm.Print_Area" localSheetId="2">'2. Kiadások'!$A$1:$O$31</definedName>
  </definedNames>
  <calcPr calcId="181029"/>
</workbook>
</file>

<file path=xl/calcChain.xml><?xml version="1.0" encoding="utf-8"?>
<calcChain xmlns="http://schemas.openxmlformats.org/spreadsheetml/2006/main">
  <c r="N50" i="202" l="1"/>
  <c r="N49" i="202"/>
  <c r="N40" i="202"/>
  <c r="N39" i="202"/>
  <c r="N35" i="202"/>
  <c r="N33" i="202"/>
  <c r="N11" i="202"/>
  <c r="N17" i="202" s="1"/>
  <c r="M11" i="202"/>
  <c r="M17" i="202" s="1"/>
  <c r="N24" i="202"/>
  <c r="M24" i="202"/>
  <c r="G50" i="202"/>
  <c r="G49" i="202"/>
  <c r="G40" i="202"/>
  <c r="F40" i="202"/>
  <c r="G39" i="202"/>
  <c r="G35" i="202"/>
  <c r="G33" i="202"/>
  <c r="J21" i="201"/>
  <c r="P32" i="201"/>
  <c r="P28" i="201"/>
  <c r="P21" i="201"/>
  <c r="P16" i="201"/>
  <c r="P29" i="201" s="1"/>
  <c r="P33" i="201" s="1"/>
  <c r="N21" i="201"/>
  <c r="N28" i="201"/>
  <c r="G33" i="201"/>
  <c r="G32" i="201"/>
  <c r="G29" i="201"/>
  <c r="G28" i="201"/>
  <c r="G21" i="201"/>
  <c r="N16" i="201"/>
  <c r="N29" i="201" s="1"/>
  <c r="N33" i="201" s="1"/>
  <c r="G8" i="201"/>
  <c r="I32" i="201"/>
  <c r="I28" i="201"/>
  <c r="I16" i="201"/>
  <c r="I8" i="201"/>
  <c r="I29" i="201" s="1"/>
  <c r="I33" i="201" s="1"/>
  <c r="P49" i="202"/>
  <c r="P35" i="202"/>
  <c r="P33" i="202"/>
  <c r="P40" i="202" s="1"/>
  <c r="P50" i="202" s="1"/>
  <c r="I48" i="202"/>
  <c r="I46" i="202"/>
  <c r="I44" i="202"/>
  <c r="I49" i="202" s="1"/>
  <c r="I50" i="202" s="1"/>
  <c r="I42" i="202"/>
  <c r="I39" i="202"/>
  <c r="I35" i="202"/>
  <c r="I33" i="202"/>
  <c r="I22" i="202"/>
  <c r="I24" i="202" s="1"/>
  <c r="I17" i="202"/>
  <c r="I16" i="202"/>
  <c r="I11" i="202"/>
  <c r="L50" i="41"/>
  <c r="G24" i="202"/>
  <c r="F16" i="202"/>
  <c r="F17" i="202" s="1"/>
  <c r="G16" i="202"/>
  <c r="F11" i="202"/>
  <c r="G11" i="202"/>
  <c r="G17" i="202" l="1"/>
  <c r="F15" i="198"/>
  <c r="F14" i="198"/>
  <c r="F13" i="198"/>
  <c r="F12" i="198"/>
  <c r="F11" i="198"/>
  <c r="F10" i="198"/>
  <c r="I65" i="194"/>
  <c r="I48" i="194"/>
  <c r="I59" i="194" s="1"/>
  <c r="I52" i="194"/>
  <c r="I55" i="194"/>
  <c r="I58" i="194"/>
  <c r="I54" i="194"/>
  <c r="I53" i="194"/>
  <c r="I50" i="194"/>
  <c r="J58" i="194"/>
  <c r="J54" i="194"/>
  <c r="K50" i="194" l="1"/>
  <c r="K58" i="194"/>
  <c r="J52" i="194"/>
  <c r="I46" i="194"/>
  <c r="I45" i="194"/>
  <c r="H31" i="194"/>
  <c r="I31" i="194"/>
  <c r="J31" i="194"/>
  <c r="K31" i="194"/>
  <c r="G31" i="194"/>
  <c r="K45" i="194"/>
  <c r="K42" i="194"/>
  <c r="K41" i="194"/>
  <c r="K40" i="194"/>
  <c r="K29" i="194"/>
  <c r="J29" i="194"/>
  <c r="J15" i="194"/>
  <c r="H10" i="41" l="1"/>
  <c r="K16" i="194" l="1"/>
  <c r="K15" i="194" s="1"/>
  <c r="K23" i="194"/>
  <c r="H54" i="190"/>
  <c r="G54" i="190" l="1"/>
  <c r="F54" i="190" s="1"/>
  <c r="G47" i="190"/>
  <c r="F47" i="190" s="1"/>
  <c r="G51" i="190"/>
  <c r="F58" i="190"/>
  <c r="F57" i="190"/>
  <c r="F56" i="190"/>
  <c r="F55" i="190"/>
  <c r="F53" i="190"/>
  <c r="F52" i="190"/>
  <c r="F51" i="190"/>
  <c r="F50" i="190"/>
  <c r="F49" i="190"/>
  <c r="F48" i="190"/>
  <c r="F46" i="190"/>
  <c r="F45" i="190"/>
  <c r="F44" i="190"/>
  <c r="F43" i="190"/>
  <c r="F42" i="190"/>
  <c r="F41" i="190"/>
  <c r="F39" i="190"/>
  <c r="F38" i="190"/>
  <c r="F37" i="190" s="1"/>
  <c r="F36" i="190"/>
  <c r="F35" i="190" s="1"/>
  <c r="H46" i="190"/>
  <c r="H47" i="190"/>
  <c r="H51" i="190"/>
  <c r="H50" i="190"/>
  <c r="H45" i="190"/>
  <c r="H38" i="190"/>
  <c r="F25" i="190"/>
  <c r="F24" i="190"/>
  <c r="F21" i="190" s="1"/>
  <c r="F23" i="190"/>
  <c r="F22" i="190"/>
  <c r="F19" i="190"/>
  <c r="F18" i="190"/>
  <c r="F17" i="190"/>
  <c r="F16" i="190"/>
  <c r="F15" i="190"/>
  <c r="F14" i="190"/>
  <c r="F13" i="190" s="1"/>
  <c r="F12" i="190"/>
  <c r="F9" i="190"/>
  <c r="G25" i="190"/>
  <c r="G21" i="190" s="1"/>
  <c r="G27" i="190" s="1"/>
  <c r="G32" i="190" s="1"/>
  <c r="H37" i="190"/>
  <c r="G37" i="190"/>
  <c r="E37" i="190"/>
  <c r="H35" i="190"/>
  <c r="G35" i="190"/>
  <c r="E35" i="190"/>
  <c r="H32" i="190"/>
  <c r="E32" i="190"/>
  <c r="H31" i="190"/>
  <c r="G31" i="190"/>
  <c r="F31" i="190"/>
  <c r="E31" i="190"/>
  <c r="H29" i="190"/>
  <c r="G29" i="190"/>
  <c r="F29" i="190"/>
  <c r="E29" i="190"/>
  <c r="H27" i="190"/>
  <c r="E27" i="190"/>
  <c r="H21" i="190"/>
  <c r="E21" i="190"/>
  <c r="H13" i="190"/>
  <c r="G13" i="190"/>
  <c r="E13" i="190"/>
  <c r="H11" i="190"/>
  <c r="G11" i="190"/>
  <c r="F11" i="190"/>
  <c r="E11" i="190"/>
  <c r="H8" i="190"/>
  <c r="G8" i="190"/>
  <c r="F8" i="190"/>
  <c r="E8" i="190"/>
  <c r="H25" i="190"/>
  <c r="H24" i="190"/>
  <c r="X31" i="196"/>
  <c r="W31" i="196"/>
  <c r="V31" i="196"/>
  <c r="U31" i="196"/>
  <c r="X30" i="196"/>
  <c r="W30" i="196"/>
  <c r="V30" i="196"/>
  <c r="U30" i="196"/>
  <c r="X28" i="196"/>
  <c r="W28" i="196"/>
  <c r="U28" i="196"/>
  <c r="V28" i="196"/>
  <c r="V18" i="196"/>
  <c r="V10" i="196"/>
  <c r="V9" i="196"/>
  <c r="V8" i="196"/>
  <c r="V7" i="196"/>
  <c r="V6" i="196"/>
  <c r="M18" i="197"/>
  <c r="M10" i="197"/>
  <c r="M8" i="197"/>
  <c r="M19" i="197" s="1"/>
  <c r="M33" i="197" s="1"/>
  <c r="M35" i="197" s="1"/>
  <c r="M6" i="197"/>
  <c r="G20" i="5"/>
  <c r="Q13" i="196"/>
  <c r="Q12" i="196"/>
  <c r="E25" i="197"/>
  <c r="E23" i="197"/>
  <c r="E22" i="197"/>
  <c r="E21" i="197"/>
  <c r="E14" i="197"/>
  <c r="E8" i="196"/>
  <c r="D18" i="196"/>
  <c r="D19" i="196"/>
  <c r="D27" i="196" s="1"/>
  <c r="G40" i="190" l="1"/>
  <c r="G59" i="190" s="1"/>
  <c r="G60" i="190"/>
  <c r="H40" i="190"/>
  <c r="H59" i="190" s="1"/>
  <c r="H60" i="190" s="1"/>
  <c r="F27" i="190"/>
  <c r="F32" i="190" s="1"/>
  <c r="D28" i="196"/>
  <c r="D30" i="196" s="1"/>
  <c r="Q49" i="41"/>
  <c r="Q48" i="41"/>
  <c r="Q47" i="41"/>
  <c r="Q46" i="41"/>
  <c r="Q45" i="41"/>
  <c r="Q44" i="41"/>
  <c r="Q43" i="41"/>
  <c r="Q42" i="41"/>
  <c r="Q41" i="41"/>
  <c r="Q38" i="41"/>
  <c r="Q36" i="41"/>
  <c r="Q35" i="41"/>
  <c r="Q34" i="41"/>
  <c r="Q33" i="41"/>
  <c r="Q32" i="41"/>
  <c r="Q31" i="41"/>
  <c r="Q30" i="41"/>
  <c r="Q29" i="41"/>
  <c r="Q28" i="41"/>
  <c r="Q27" i="41"/>
  <c r="Q26" i="41"/>
  <c r="Q25" i="41"/>
  <c r="Q24" i="41"/>
  <c r="Q23" i="41"/>
  <c r="Q22" i="41"/>
  <c r="Q21" i="41"/>
  <c r="Q20" i="41"/>
  <c r="Q19" i="41"/>
  <c r="Q18" i="41"/>
  <c r="Q17" i="41"/>
  <c r="Q16" i="41"/>
  <c r="Q15" i="41"/>
  <c r="Q14" i="41"/>
  <c r="Q13" i="41"/>
  <c r="Q12" i="41"/>
  <c r="Q11" i="41"/>
  <c r="Q10" i="41"/>
  <c r="Q9" i="41"/>
  <c r="Q8" i="41"/>
  <c r="Q7" i="41"/>
  <c r="Q6" i="41"/>
  <c r="Q5" i="41"/>
  <c r="L48" i="41"/>
  <c r="L49" i="41" s="1"/>
  <c r="L46" i="41"/>
  <c r="L47" i="41"/>
  <c r="L45" i="41"/>
  <c r="L40" i="41"/>
  <c r="L39" i="41"/>
  <c r="L35" i="41"/>
  <c r="L15" i="41"/>
  <c r="L16" i="41" s="1"/>
  <c r="L10" i="41"/>
  <c r="L24" i="41"/>
  <c r="L33" i="41"/>
  <c r="L26" i="41"/>
  <c r="S8" i="5"/>
  <c r="Q30" i="5"/>
  <c r="Q29" i="5"/>
  <c r="Q28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R5" i="5"/>
  <c r="L14" i="5"/>
  <c r="L27" i="5" s="1"/>
  <c r="L19" i="5"/>
  <c r="M19" i="5"/>
  <c r="L30" i="5"/>
  <c r="L29" i="5"/>
  <c r="L28" i="5"/>
  <c r="L26" i="5"/>
  <c r="L25" i="5"/>
  <c r="L24" i="5"/>
  <c r="L23" i="5"/>
  <c r="L22" i="5"/>
  <c r="L21" i="5"/>
  <c r="L20" i="5"/>
  <c r="L18" i="5"/>
  <c r="L17" i="5"/>
  <c r="L16" i="5"/>
  <c r="L15" i="5"/>
  <c r="L13" i="5"/>
  <c r="L12" i="5"/>
  <c r="L11" i="5"/>
  <c r="L10" i="5"/>
  <c r="L9" i="5"/>
  <c r="L8" i="5"/>
  <c r="L7" i="5"/>
  <c r="L6" i="5"/>
  <c r="L5" i="5"/>
  <c r="G49" i="41"/>
  <c r="G47" i="41"/>
  <c r="G45" i="41"/>
  <c r="G43" i="41"/>
  <c r="G41" i="41"/>
  <c r="G35" i="41"/>
  <c r="G34" i="41"/>
  <c r="G33" i="41"/>
  <c r="F24" i="41"/>
  <c r="G23" i="41"/>
  <c r="G18" i="41"/>
  <c r="G38" i="41"/>
  <c r="G37" i="41"/>
  <c r="Q37" i="41" s="1"/>
  <c r="G36" i="41"/>
  <c r="G32" i="41"/>
  <c r="G31" i="41"/>
  <c r="G30" i="41"/>
  <c r="G29" i="41"/>
  <c r="G28" i="41"/>
  <c r="G27" i="41"/>
  <c r="G26" i="41"/>
  <c r="G25" i="41"/>
  <c r="G21" i="41"/>
  <c r="G20" i="41"/>
  <c r="G19" i="41"/>
  <c r="G15" i="41"/>
  <c r="G14" i="41"/>
  <c r="G13" i="41"/>
  <c r="G12" i="41"/>
  <c r="G11" i="41"/>
  <c r="H13" i="41"/>
  <c r="E10" i="41"/>
  <c r="G9" i="41"/>
  <c r="I10" i="41"/>
  <c r="S9" i="41"/>
  <c r="R9" i="41"/>
  <c r="G8" i="41"/>
  <c r="G6" i="41"/>
  <c r="G5" i="41"/>
  <c r="G30" i="5"/>
  <c r="G26" i="5"/>
  <c r="I19" i="5"/>
  <c r="H19" i="5"/>
  <c r="E19" i="5"/>
  <c r="G22" i="5"/>
  <c r="G21" i="5"/>
  <c r="G19" i="5"/>
  <c r="G16" i="5"/>
  <c r="G15" i="5"/>
  <c r="G8" i="5"/>
  <c r="G7" i="5"/>
  <c r="G29" i="5"/>
  <c r="G28" i="5"/>
  <c r="G25" i="5"/>
  <c r="G24" i="5"/>
  <c r="G23" i="5"/>
  <c r="G18" i="5"/>
  <c r="G17" i="5"/>
  <c r="G13" i="5"/>
  <c r="G12" i="5"/>
  <c r="G11" i="5"/>
  <c r="G10" i="5"/>
  <c r="G9" i="5"/>
  <c r="G6" i="5"/>
  <c r="G5" i="5"/>
  <c r="G39" i="41" l="1"/>
  <c r="Q39" i="41" s="1"/>
  <c r="Q27" i="5"/>
  <c r="Q31" i="5" s="1"/>
  <c r="W18" i="196"/>
  <c r="X18" i="196"/>
  <c r="U12" i="196"/>
  <c r="U13" i="196"/>
  <c r="U15" i="196"/>
  <c r="R27" i="196"/>
  <c r="S27" i="196"/>
  <c r="N19" i="197"/>
  <c r="N33" i="197" s="1"/>
  <c r="N35" i="197" s="1"/>
  <c r="O19" i="197"/>
  <c r="O33" i="197" s="1"/>
  <c r="O35" i="197" s="1"/>
  <c r="R18" i="196"/>
  <c r="S18" i="196"/>
  <c r="F32" i="201"/>
  <c r="Q32" i="201"/>
  <c r="Q28" i="201"/>
  <c r="Q21" i="201"/>
  <c r="R20" i="201"/>
  <c r="R19" i="201"/>
  <c r="R18" i="201"/>
  <c r="R17" i="201"/>
  <c r="J32" i="201"/>
  <c r="J28" i="201"/>
  <c r="J16" i="201"/>
  <c r="K13" i="201"/>
  <c r="J8" i="201"/>
  <c r="Q16" i="201"/>
  <c r="R13" i="201"/>
  <c r="R14" i="201"/>
  <c r="R15" i="201"/>
  <c r="R12" i="201"/>
  <c r="M49" i="202"/>
  <c r="Q49" i="202"/>
  <c r="O35" i="202"/>
  <c r="Q35" i="202"/>
  <c r="M35" i="202"/>
  <c r="Q33" i="202"/>
  <c r="R26" i="202"/>
  <c r="R27" i="202"/>
  <c r="R28" i="202"/>
  <c r="R29" i="202"/>
  <c r="R30" i="202"/>
  <c r="R31" i="202"/>
  <c r="R32" i="202"/>
  <c r="F48" i="202"/>
  <c r="J48" i="202"/>
  <c r="F46" i="202"/>
  <c r="F49" i="202" s="1"/>
  <c r="F50" i="202" s="1"/>
  <c r="J46" i="202"/>
  <c r="J49" i="202" s="1"/>
  <c r="J50" i="202" s="1"/>
  <c r="F44" i="202"/>
  <c r="J44" i="202"/>
  <c r="F42" i="202"/>
  <c r="J42" i="202"/>
  <c r="J39" i="202"/>
  <c r="F35" i="202"/>
  <c r="J35" i="202"/>
  <c r="J33" i="202"/>
  <c r="J22" i="202"/>
  <c r="J24" i="202" s="1"/>
  <c r="J16" i="202"/>
  <c r="J11" i="202"/>
  <c r="Q29" i="201" l="1"/>
  <c r="Q33" i="201" s="1"/>
  <c r="J29" i="201"/>
  <c r="J33" i="201" s="1"/>
  <c r="J17" i="202"/>
  <c r="Q40" i="202"/>
  <c r="Q50" i="202" s="1"/>
  <c r="R28" i="196"/>
  <c r="R30" i="196" s="1"/>
  <c r="S28" i="196"/>
  <c r="S30" i="196" s="1"/>
  <c r="K19" i="196"/>
  <c r="K27" i="196" s="1"/>
  <c r="L19" i="196"/>
  <c r="L27" i="196" s="1"/>
  <c r="K18" i="196"/>
  <c r="L18" i="196"/>
  <c r="L28" i="196" l="1"/>
  <c r="L30" i="196" s="1"/>
  <c r="K28" i="196"/>
  <c r="K30" i="196" s="1"/>
  <c r="J48" i="41"/>
  <c r="P47" i="41"/>
  <c r="P48" i="41" s="1"/>
  <c r="S47" i="41"/>
  <c r="S48" i="41" s="1"/>
  <c r="S45" i="41"/>
  <c r="S43" i="41"/>
  <c r="S41" i="41"/>
  <c r="S38" i="41"/>
  <c r="S37" i="41"/>
  <c r="S36" i="41"/>
  <c r="S34" i="41"/>
  <c r="S32" i="41"/>
  <c r="S31" i="41"/>
  <c r="S30" i="41"/>
  <c r="S29" i="41"/>
  <c r="S28" i="41"/>
  <c r="S27" i="41"/>
  <c r="S26" i="41"/>
  <c r="S25" i="41"/>
  <c r="S23" i="41"/>
  <c r="S21" i="41"/>
  <c r="S20" i="41"/>
  <c r="S19" i="41"/>
  <c r="S18" i="41"/>
  <c r="S14" i="41"/>
  <c r="S13" i="41"/>
  <c r="S12" i="41"/>
  <c r="S11" i="41"/>
  <c r="S8" i="41"/>
  <c r="S7" i="41"/>
  <c r="S6" i="41"/>
  <c r="S5" i="41"/>
  <c r="R47" i="41"/>
  <c r="R48" i="41" s="1"/>
  <c r="R45" i="41"/>
  <c r="R43" i="41"/>
  <c r="R41" i="41"/>
  <c r="R38" i="41"/>
  <c r="R37" i="41"/>
  <c r="R36" i="41"/>
  <c r="R34" i="41"/>
  <c r="R32" i="41"/>
  <c r="R31" i="41"/>
  <c r="R30" i="41"/>
  <c r="R29" i="41"/>
  <c r="R28" i="41"/>
  <c r="R27" i="41"/>
  <c r="R26" i="41"/>
  <c r="R25" i="41"/>
  <c r="R23" i="41"/>
  <c r="R21" i="41"/>
  <c r="R20" i="41"/>
  <c r="R19" i="41"/>
  <c r="R18" i="41"/>
  <c r="R14" i="41"/>
  <c r="R13" i="41"/>
  <c r="R12" i="41"/>
  <c r="R11" i="41"/>
  <c r="R8" i="41"/>
  <c r="R7" i="41"/>
  <c r="R6" i="41"/>
  <c r="R5" i="41"/>
  <c r="P45" i="41"/>
  <c r="P43" i="41"/>
  <c r="P41" i="41"/>
  <c r="P38" i="41"/>
  <c r="P37" i="41"/>
  <c r="P36" i="41"/>
  <c r="P34" i="41"/>
  <c r="P32" i="41"/>
  <c r="P25" i="41"/>
  <c r="P23" i="41"/>
  <c r="P21" i="41"/>
  <c r="P20" i="41"/>
  <c r="P19" i="41"/>
  <c r="P18" i="41"/>
  <c r="P14" i="41"/>
  <c r="P13" i="41"/>
  <c r="P12" i="41"/>
  <c r="P11" i="41"/>
  <c r="P27" i="41"/>
  <c r="P28" i="41"/>
  <c r="P29" i="41"/>
  <c r="P30" i="41"/>
  <c r="P31" i="41"/>
  <c r="P26" i="41"/>
  <c r="M22" i="41"/>
  <c r="M24" i="41" s="1"/>
  <c r="N22" i="41"/>
  <c r="N24" i="41" s="1"/>
  <c r="M15" i="41"/>
  <c r="N15" i="41"/>
  <c r="M48" i="41"/>
  <c r="N48" i="41"/>
  <c r="M46" i="41"/>
  <c r="N46" i="41"/>
  <c r="P44" i="41"/>
  <c r="M44" i="41"/>
  <c r="N44" i="41"/>
  <c r="P42" i="41"/>
  <c r="M42" i="41"/>
  <c r="N42" i="41"/>
  <c r="M35" i="41"/>
  <c r="N35" i="41"/>
  <c r="M33" i="41"/>
  <c r="N33" i="41"/>
  <c r="O47" i="41"/>
  <c r="O45" i="41"/>
  <c r="O43" i="41"/>
  <c r="O38" i="41"/>
  <c r="O37" i="41"/>
  <c r="O36" i="41"/>
  <c r="O34" i="41"/>
  <c r="O32" i="41"/>
  <c r="O31" i="41"/>
  <c r="O30" i="41"/>
  <c r="O29" i="41"/>
  <c r="O28" i="41"/>
  <c r="O27" i="41"/>
  <c r="O26" i="41"/>
  <c r="O25" i="41"/>
  <c r="O23" i="41"/>
  <c r="O21" i="41"/>
  <c r="O20" i="41"/>
  <c r="O19" i="41"/>
  <c r="O18" i="41"/>
  <c r="O14" i="41"/>
  <c r="O13" i="41"/>
  <c r="O12" i="41"/>
  <c r="O11" i="41"/>
  <c r="O8" i="41"/>
  <c r="O6" i="41"/>
  <c r="O5" i="41"/>
  <c r="S29" i="5"/>
  <c r="S28" i="5"/>
  <c r="R29" i="5"/>
  <c r="R28" i="5"/>
  <c r="R25" i="5"/>
  <c r="R24" i="5"/>
  <c r="R23" i="5"/>
  <c r="R22" i="5"/>
  <c r="R21" i="5"/>
  <c r="R20" i="5"/>
  <c r="R18" i="5"/>
  <c r="R17" i="5"/>
  <c r="R16" i="5"/>
  <c r="R15" i="5"/>
  <c r="R13" i="5"/>
  <c r="R12" i="5"/>
  <c r="R11" i="5"/>
  <c r="R10" i="5"/>
  <c r="R9" i="5"/>
  <c r="R8" i="5"/>
  <c r="R6" i="5"/>
  <c r="S25" i="5"/>
  <c r="S24" i="5"/>
  <c r="S23" i="5"/>
  <c r="S22" i="5"/>
  <c r="S21" i="5"/>
  <c r="S20" i="5"/>
  <c r="S18" i="5"/>
  <c r="S17" i="5"/>
  <c r="S16" i="5"/>
  <c r="S15" i="5"/>
  <c r="S13" i="5"/>
  <c r="S12" i="5"/>
  <c r="S11" i="5"/>
  <c r="S10" i="5"/>
  <c r="S9" i="5"/>
  <c r="S6" i="5"/>
  <c r="S5" i="5"/>
  <c r="O29" i="5"/>
  <c r="O28" i="5"/>
  <c r="O24" i="5"/>
  <c r="O25" i="5"/>
  <c r="O23" i="5"/>
  <c r="O18" i="5"/>
  <c r="O17" i="5"/>
  <c r="O15" i="5"/>
  <c r="O16" i="5"/>
  <c r="O10" i="5"/>
  <c r="O11" i="5"/>
  <c r="O12" i="5"/>
  <c r="O9" i="5"/>
  <c r="O8" i="5"/>
  <c r="O6" i="5"/>
  <c r="O5" i="5"/>
  <c r="M30" i="5"/>
  <c r="N30" i="5"/>
  <c r="N19" i="5"/>
  <c r="M14" i="5"/>
  <c r="N14" i="5"/>
  <c r="M7" i="5"/>
  <c r="N7" i="5"/>
  <c r="G14" i="198"/>
  <c r="G15" i="198" s="1"/>
  <c r="H14" i="198"/>
  <c r="H15" i="198" s="1"/>
  <c r="N49" i="41" l="1"/>
  <c r="M49" i="41"/>
  <c r="P46" i="41"/>
  <c r="P49" i="41" s="1"/>
  <c r="N27" i="5"/>
  <c r="N31" i="5" s="1"/>
  <c r="M27" i="5"/>
  <c r="K63" i="194"/>
  <c r="J61" i="194"/>
  <c r="J63" i="194" s="1"/>
  <c r="K61" i="194"/>
  <c r="J55" i="194"/>
  <c r="K55" i="194"/>
  <c r="K52" i="194"/>
  <c r="J49" i="194"/>
  <c r="K49" i="194"/>
  <c r="K48" i="194" s="1"/>
  <c r="K59" i="194" s="1"/>
  <c r="K35" i="194"/>
  <c r="K37" i="194"/>
  <c r="G29" i="194"/>
  <c r="J19" i="194"/>
  <c r="K19" i="194"/>
  <c r="G19" i="194"/>
  <c r="J28" i="194"/>
  <c r="K28" i="194"/>
  <c r="J7" i="194"/>
  <c r="K7" i="194"/>
  <c r="K27" i="194" l="1"/>
  <c r="K10" i="194"/>
  <c r="M31" i="5"/>
  <c r="L31" i="5" s="1"/>
  <c r="J48" i="194"/>
  <c r="J59" i="194" s="1"/>
  <c r="J27" i="194"/>
  <c r="J10" i="194"/>
  <c r="K46" i="194" l="1"/>
  <c r="K65" i="194" s="1"/>
  <c r="J46" i="194"/>
  <c r="J65" i="194" s="1"/>
  <c r="H43" i="190" l="1"/>
  <c r="H42" i="190"/>
  <c r="H52" i="190"/>
  <c r="H58" i="190"/>
  <c r="H57" i="190"/>
  <c r="H49" i="190"/>
  <c r="H48" i="190"/>
  <c r="H36" i="190"/>
  <c r="G50" i="190"/>
  <c r="F26" i="197" l="1"/>
  <c r="G26" i="197"/>
  <c r="F20" i="197"/>
  <c r="G20" i="197"/>
  <c r="G32" i="197" s="1"/>
  <c r="F19" i="196"/>
  <c r="F27" i="196" s="1"/>
  <c r="G19" i="196"/>
  <c r="G27" i="196" s="1"/>
  <c r="F19" i="197"/>
  <c r="G19" i="197"/>
  <c r="F18" i="196"/>
  <c r="G18" i="196"/>
  <c r="S31" i="196" s="1"/>
  <c r="G33" i="197" l="1"/>
  <c r="G35" i="197" s="1"/>
  <c r="F28" i="196"/>
  <c r="F30" i="196" s="1"/>
  <c r="R31" i="196"/>
  <c r="G28" i="196"/>
  <c r="G30" i="196" s="1"/>
  <c r="F32" i="197"/>
  <c r="F33" i="197" s="1"/>
  <c r="F35" i="197" s="1"/>
  <c r="F28" i="201"/>
  <c r="M21" i="201"/>
  <c r="M16" i="201"/>
  <c r="M8" i="201"/>
  <c r="M28" i="201"/>
  <c r="F21" i="201"/>
  <c r="F16" i="201"/>
  <c r="F8" i="201"/>
  <c r="F39" i="202"/>
  <c r="K38" i="202"/>
  <c r="M33" i="202"/>
  <c r="M40" i="202" s="1"/>
  <c r="M50" i="202" s="1"/>
  <c r="F33" i="202"/>
  <c r="F22" i="202"/>
  <c r="F24" i="202" s="1"/>
  <c r="P39" i="41"/>
  <c r="H39" i="41"/>
  <c r="R39" i="41" s="1"/>
  <c r="I39" i="41"/>
  <c r="S39" i="41" s="1"/>
  <c r="E39" i="41"/>
  <c r="I35" i="41"/>
  <c r="S35" i="41" s="1"/>
  <c r="R19" i="5"/>
  <c r="S19" i="5"/>
  <c r="M29" i="201" l="1"/>
  <c r="M33" i="201" s="1"/>
  <c r="F29" i="201"/>
  <c r="F33" i="201" s="1"/>
  <c r="M10" i="41"/>
  <c r="M16" i="41" s="1"/>
  <c r="M40" i="41" s="1"/>
  <c r="M50" i="41" s="1"/>
  <c r="N10" i="41"/>
  <c r="N16" i="41" s="1"/>
  <c r="N40" i="41" s="1"/>
  <c r="N50" i="41" s="1"/>
  <c r="P6" i="41"/>
  <c r="P7" i="41"/>
  <c r="P8" i="41"/>
  <c r="H30" i="5"/>
  <c r="R30" i="5" s="1"/>
  <c r="I30" i="5"/>
  <c r="S30" i="5" s="1"/>
  <c r="H26" i="5"/>
  <c r="R26" i="5" s="1"/>
  <c r="I26" i="5"/>
  <c r="S26" i="5" s="1"/>
  <c r="E22" i="5"/>
  <c r="O22" i="5" s="1"/>
  <c r="H14" i="5"/>
  <c r="I14" i="5"/>
  <c r="S14" i="5" s="1"/>
  <c r="H7" i="5"/>
  <c r="I7" i="5"/>
  <c r="H46" i="41"/>
  <c r="R46" i="41" s="1"/>
  <c r="I46" i="41"/>
  <c r="S46" i="41" s="1"/>
  <c r="H44" i="41"/>
  <c r="R44" i="41" s="1"/>
  <c r="I44" i="41"/>
  <c r="S44" i="41" s="1"/>
  <c r="H42" i="41"/>
  <c r="R42" i="41" s="1"/>
  <c r="I42" i="41"/>
  <c r="S42" i="41" s="1"/>
  <c r="H35" i="41"/>
  <c r="R35" i="41" s="1"/>
  <c r="P35" i="41"/>
  <c r="H33" i="41"/>
  <c r="R33" i="41" s="1"/>
  <c r="I33" i="41"/>
  <c r="S33" i="41" s="1"/>
  <c r="H22" i="41"/>
  <c r="H24" i="41" s="1"/>
  <c r="I22" i="41"/>
  <c r="H15" i="41"/>
  <c r="R15" i="41" s="1"/>
  <c r="I15" i="41"/>
  <c r="S15" i="41" s="1"/>
  <c r="S10" i="41" l="1"/>
  <c r="S22" i="41"/>
  <c r="I24" i="41"/>
  <c r="R14" i="5"/>
  <c r="S49" i="41"/>
  <c r="R10" i="41"/>
  <c r="R49" i="41"/>
  <c r="P5" i="41"/>
  <c r="R24" i="41"/>
  <c r="R22" i="41"/>
  <c r="S24" i="41"/>
  <c r="H27" i="5"/>
  <c r="H31" i="5" s="1"/>
  <c r="R7" i="5"/>
  <c r="I27" i="5"/>
  <c r="I31" i="5" s="1"/>
  <c r="S7" i="5"/>
  <c r="S27" i="5" s="1"/>
  <c r="S31" i="5" s="1"/>
  <c r="I49" i="41"/>
  <c r="H49" i="41"/>
  <c r="H16" i="41"/>
  <c r="R16" i="41" s="1"/>
  <c r="P22" i="41"/>
  <c r="P33" i="41"/>
  <c r="P24" i="41"/>
  <c r="I16" i="41"/>
  <c r="P15" i="41"/>
  <c r="G35" i="194"/>
  <c r="G17" i="194"/>
  <c r="G15" i="194" s="1"/>
  <c r="R27" i="5" l="1"/>
  <c r="R31" i="5" s="1"/>
  <c r="H40" i="41"/>
  <c r="R40" i="41" s="1"/>
  <c r="R50" i="41" s="1"/>
  <c r="I40" i="41"/>
  <c r="S40" i="41" s="1"/>
  <c r="S50" i="41" s="1"/>
  <c r="S16" i="41"/>
  <c r="D30" i="5"/>
  <c r="D29" i="5"/>
  <c r="D28" i="5"/>
  <c r="D27" i="5"/>
  <c r="D26" i="5"/>
  <c r="D25" i="5"/>
  <c r="D24" i="5"/>
  <c r="D23" i="5"/>
  <c r="D22" i="5"/>
  <c r="D21" i="5"/>
  <c r="D20" i="5"/>
  <c r="D18" i="5"/>
  <c r="D17" i="5"/>
  <c r="D16" i="5"/>
  <c r="D15" i="5"/>
  <c r="D9" i="5"/>
  <c r="D14" i="5"/>
  <c r="D13" i="5"/>
  <c r="D12" i="5"/>
  <c r="D11" i="5"/>
  <c r="D10" i="5"/>
  <c r="D8" i="5"/>
  <c r="D7" i="5"/>
  <c r="D6" i="5"/>
  <c r="D5" i="5"/>
  <c r="K18" i="197"/>
  <c r="H35" i="197"/>
  <c r="H24" i="197"/>
  <c r="H20" i="197" s="1"/>
  <c r="H32" i="197" s="1"/>
  <c r="C24" i="197"/>
  <c r="E24" i="197" s="1"/>
  <c r="C21" i="197"/>
  <c r="C17" i="197"/>
  <c r="C16" i="197"/>
  <c r="E16" i="197" s="1"/>
  <c r="C6" i="197"/>
  <c r="E6" i="197" s="1"/>
  <c r="O25" i="196"/>
  <c r="Q25" i="196" s="1"/>
  <c r="Q27" i="196" s="1"/>
  <c r="O26" i="196"/>
  <c r="O14" i="196"/>
  <c r="Q14" i="196" s="1"/>
  <c r="O9" i="196"/>
  <c r="Q9" i="196" s="1"/>
  <c r="O7" i="196"/>
  <c r="Q7" i="196" s="1"/>
  <c r="C24" i="196"/>
  <c r="H24" i="196"/>
  <c r="C23" i="196"/>
  <c r="H20" i="196"/>
  <c r="J20" i="196" s="1"/>
  <c r="J19" i="196" s="1"/>
  <c r="J27" i="196" s="1"/>
  <c r="H8" i="196"/>
  <c r="C7" i="195"/>
  <c r="E19" i="197" l="1"/>
  <c r="I50" i="41"/>
  <c r="H50" i="41"/>
  <c r="C20" i="197"/>
  <c r="C20" i="196"/>
  <c r="E20" i="196" s="1"/>
  <c r="E19" i="196" s="1"/>
  <c r="E27" i="196" s="1"/>
  <c r="O27" i="196"/>
  <c r="C19" i="197"/>
  <c r="G53" i="194"/>
  <c r="G33" i="194"/>
  <c r="C19" i="196" l="1"/>
  <c r="C27" i="196" s="1"/>
  <c r="K8" i="197"/>
  <c r="E21" i="5"/>
  <c r="K6" i="197" l="1"/>
  <c r="O21" i="5"/>
  <c r="K19" i="197" l="1"/>
  <c r="K33" i="197" s="1"/>
  <c r="K35" i="197" s="1"/>
  <c r="K36" i="197"/>
  <c r="C37" i="197"/>
  <c r="J10" i="200"/>
  <c r="J11" i="200"/>
  <c r="K37" i="197" l="1"/>
  <c r="C36" i="197"/>
  <c r="E13" i="5"/>
  <c r="E41" i="41"/>
  <c r="O41" i="41" s="1"/>
  <c r="O13" i="5" l="1"/>
  <c r="C27" i="197"/>
  <c r="E27" i="197" s="1"/>
  <c r="E20" i="5"/>
  <c r="E14" i="5"/>
  <c r="G14" i="5" s="1"/>
  <c r="G27" i="5" s="1"/>
  <c r="G31" i="5" s="1"/>
  <c r="E27" i="202"/>
  <c r="C26" i="197" l="1"/>
  <c r="O8" i="196"/>
  <c r="Q8" i="196" s="1"/>
  <c r="O11" i="196"/>
  <c r="Q11" i="196" s="1"/>
  <c r="O20" i="5"/>
  <c r="E29" i="202"/>
  <c r="L25" i="202"/>
  <c r="R25" i="202" s="1"/>
  <c r="E25" i="202"/>
  <c r="H26" i="202"/>
  <c r="E26" i="202"/>
  <c r="H47" i="202"/>
  <c r="H48" i="202" s="1"/>
  <c r="H45" i="202"/>
  <c r="H46" i="202" s="1"/>
  <c r="H43" i="202"/>
  <c r="H44" i="202" s="1"/>
  <c r="H41" i="202"/>
  <c r="H42" i="202" s="1"/>
  <c r="H37" i="202"/>
  <c r="H36" i="202"/>
  <c r="H34" i="202"/>
  <c r="H32" i="202"/>
  <c r="H31" i="202"/>
  <c r="H30" i="202"/>
  <c r="H29" i="202"/>
  <c r="H28" i="202"/>
  <c r="H27" i="202"/>
  <c r="K27" i="202" s="1"/>
  <c r="H25" i="202"/>
  <c r="H23" i="202"/>
  <c r="H21" i="202"/>
  <c r="H20" i="202"/>
  <c r="H19" i="202"/>
  <c r="H18" i="202"/>
  <c r="H15" i="202"/>
  <c r="H14" i="202"/>
  <c r="H13" i="202"/>
  <c r="H12" i="202"/>
  <c r="H9" i="202"/>
  <c r="H8" i="202"/>
  <c r="H7" i="202"/>
  <c r="H6" i="202"/>
  <c r="E45" i="202"/>
  <c r="E43" i="202"/>
  <c r="E41" i="202"/>
  <c r="E37" i="202"/>
  <c r="E36" i="202"/>
  <c r="E34" i="202"/>
  <c r="E32" i="202"/>
  <c r="E31" i="202"/>
  <c r="E30" i="202"/>
  <c r="E28" i="202"/>
  <c r="E23" i="202"/>
  <c r="E21" i="202"/>
  <c r="E20" i="202"/>
  <c r="E19" i="202"/>
  <c r="E18" i="202"/>
  <c r="E15" i="202"/>
  <c r="E14" i="202"/>
  <c r="E13" i="202"/>
  <c r="E12" i="202"/>
  <c r="E9" i="202"/>
  <c r="E7" i="202"/>
  <c r="E6" i="202"/>
  <c r="E22" i="201"/>
  <c r="E7" i="41"/>
  <c r="E26" i="201"/>
  <c r="H12" i="201"/>
  <c r="E20" i="201"/>
  <c r="E12" i="201"/>
  <c r="H31" i="201"/>
  <c r="E31" i="201"/>
  <c r="H30" i="201"/>
  <c r="E30" i="201"/>
  <c r="H27" i="201"/>
  <c r="E27" i="201"/>
  <c r="H26" i="201"/>
  <c r="H25" i="201"/>
  <c r="E25" i="201"/>
  <c r="H24" i="201"/>
  <c r="E24" i="201"/>
  <c r="H23" i="201"/>
  <c r="E23" i="201"/>
  <c r="H22" i="201"/>
  <c r="H20" i="201"/>
  <c r="H19" i="201"/>
  <c r="E19" i="201"/>
  <c r="H18" i="201"/>
  <c r="E18" i="201"/>
  <c r="H17" i="201"/>
  <c r="E17" i="201"/>
  <c r="H15" i="201"/>
  <c r="E15" i="201"/>
  <c r="H14" i="201"/>
  <c r="E14" i="201"/>
  <c r="H11" i="201"/>
  <c r="E11" i="201"/>
  <c r="H10" i="201"/>
  <c r="E10" i="201"/>
  <c r="H9" i="201"/>
  <c r="E9" i="201"/>
  <c r="H7" i="201"/>
  <c r="E7" i="201"/>
  <c r="H6" i="201"/>
  <c r="E6" i="201"/>
  <c r="E7" i="5"/>
  <c r="E30" i="5"/>
  <c r="H39" i="202" l="1"/>
  <c r="C32" i="197"/>
  <c r="C33" i="197" s="1"/>
  <c r="C35" i="197" s="1"/>
  <c r="E26" i="197"/>
  <c r="E32" i="197" s="1"/>
  <c r="E33" i="197" s="1"/>
  <c r="E35" i="197" s="1"/>
  <c r="K31" i="202"/>
  <c r="K12" i="201"/>
  <c r="K6" i="201"/>
  <c r="K11" i="201"/>
  <c r="K15" i="201"/>
  <c r="K18" i="201"/>
  <c r="K24" i="201"/>
  <c r="K22" i="201"/>
  <c r="K14" i="202"/>
  <c r="K20" i="202"/>
  <c r="K37" i="202"/>
  <c r="G7" i="41"/>
  <c r="G10" i="41" s="1"/>
  <c r="G16" i="41" s="1"/>
  <c r="O7" i="41"/>
  <c r="K7" i="202"/>
  <c r="K30" i="202"/>
  <c r="E39" i="202"/>
  <c r="K26" i="202"/>
  <c r="K29" i="202"/>
  <c r="K9" i="202"/>
  <c r="K15" i="202"/>
  <c r="K21" i="202"/>
  <c r="H49" i="202"/>
  <c r="K12" i="202"/>
  <c r="K32" i="202"/>
  <c r="H22" i="202"/>
  <c r="K25" i="202"/>
  <c r="K6" i="202"/>
  <c r="K13" i="202"/>
  <c r="K19" i="202"/>
  <c r="K28" i="202"/>
  <c r="K20" i="201"/>
  <c r="K27" i="201"/>
  <c r="K7" i="201"/>
  <c r="K10" i="201"/>
  <c r="K14" i="201"/>
  <c r="K17" i="201"/>
  <c r="K19" i="201"/>
  <c r="K23" i="201"/>
  <c r="K25" i="201"/>
  <c r="K26" i="201"/>
  <c r="O6" i="196"/>
  <c r="Q6" i="196" s="1"/>
  <c r="K36" i="202"/>
  <c r="E8" i="202"/>
  <c r="E11" i="202" s="1"/>
  <c r="U32" i="201"/>
  <c r="S32" i="201"/>
  <c r="O32" i="201"/>
  <c r="L32" i="201"/>
  <c r="H32" i="201"/>
  <c r="E32" i="201"/>
  <c r="W31" i="201"/>
  <c r="R31" i="201"/>
  <c r="K31" i="201"/>
  <c r="W30" i="201"/>
  <c r="R30" i="201"/>
  <c r="K30" i="201"/>
  <c r="U28" i="201"/>
  <c r="S28" i="201"/>
  <c r="O28" i="201"/>
  <c r="L28" i="201"/>
  <c r="H28" i="201"/>
  <c r="E28" i="201"/>
  <c r="W27" i="201"/>
  <c r="R27" i="201"/>
  <c r="R26" i="201"/>
  <c r="W25" i="201"/>
  <c r="R25" i="201"/>
  <c r="W24" i="201"/>
  <c r="R24" i="201"/>
  <c r="W23" i="201"/>
  <c r="R23" i="201"/>
  <c r="W22" i="201"/>
  <c r="R22" i="201"/>
  <c r="U21" i="201"/>
  <c r="S21" i="201"/>
  <c r="O21" i="201"/>
  <c r="L21" i="201"/>
  <c r="H21" i="201"/>
  <c r="E21" i="201"/>
  <c r="W19" i="201"/>
  <c r="W18" i="201"/>
  <c r="W17" i="201"/>
  <c r="U16" i="201"/>
  <c r="S16" i="201"/>
  <c r="O16" i="201"/>
  <c r="L16" i="201"/>
  <c r="H16" i="201"/>
  <c r="E16" i="201"/>
  <c r="W15" i="201"/>
  <c r="W14" i="201"/>
  <c r="W13" i="201"/>
  <c r="W12" i="201"/>
  <c r="W11" i="201"/>
  <c r="R11" i="201"/>
  <c r="W10" i="201"/>
  <c r="R10" i="201"/>
  <c r="W9" i="201"/>
  <c r="R9" i="201"/>
  <c r="K9" i="201"/>
  <c r="U8" i="201"/>
  <c r="S8" i="201"/>
  <c r="O8" i="201"/>
  <c r="L8" i="201"/>
  <c r="H8" i="201"/>
  <c r="E8" i="201"/>
  <c r="W7" i="201"/>
  <c r="R7" i="201"/>
  <c r="W6" i="201"/>
  <c r="R6" i="201"/>
  <c r="V48" i="202"/>
  <c r="S48" i="202"/>
  <c r="O48" i="202"/>
  <c r="L48" i="202"/>
  <c r="E48" i="202"/>
  <c r="Y47" i="202"/>
  <c r="Y48" i="202" s="1"/>
  <c r="R47" i="202"/>
  <c r="R48" i="202" s="1"/>
  <c r="K47" i="202"/>
  <c r="K48" i="202" s="1"/>
  <c r="V46" i="202"/>
  <c r="S46" i="202"/>
  <c r="O46" i="202"/>
  <c r="L46" i="202"/>
  <c r="E46" i="202"/>
  <c r="Y45" i="202"/>
  <c r="Y46" i="202" s="1"/>
  <c r="R45" i="202"/>
  <c r="R46" i="202" s="1"/>
  <c r="K45" i="202"/>
  <c r="K46" i="202" s="1"/>
  <c r="V44" i="202"/>
  <c r="S44" i="202"/>
  <c r="O44" i="202"/>
  <c r="L44" i="202"/>
  <c r="E44" i="202"/>
  <c r="Y43" i="202"/>
  <c r="Y44" i="202" s="1"/>
  <c r="R43" i="202"/>
  <c r="R44" i="202" s="1"/>
  <c r="K43" i="202"/>
  <c r="V42" i="202"/>
  <c r="S42" i="202"/>
  <c r="O42" i="202"/>
  <c r="L42" i="202"/>
  <c r="E42" i="202"/>
  <c r="Y41" i="202"/>
  <c r="Y42" i="202" s="1"/>
  <c r="R41" i="202"/>
  <c r="K41" i="202"/>
  <c r="K42" i="202" s="1"/>
  <c r="V39" i="202"/>
  <c r="S39" i="202"/>
  <c r="O39" i="202"/>
  <c r="L39" i="202"/>
  <c r="Y37" i="202"/>
  <c r="R37" i="202"/>
  <c r="Y36" i="202"/>
  <c r="R36" i="202"/>
  <c r="V35" i="202"/>
  <c r="S35" i="202"/>
  <c r="L35" i="202"/>
  <c r="H35" i="202"/>
  <c r="E35" i="202"/>
  <c r="Y34" i="202"/>
  <c r="Y35" i="202" s="1"/>
  <c r="R34" i="202"/>
  <c r="R35" i="202" s="1"/>
  <c r="K34" i="202"/>
  <c r="K35" i="202" s="1"/>
  <c r="V33" i="202"/>
  <c r="S33" i="202"/>
  <c r="O33" i="202"/>
  <c r="L33" i="202"/>
  <c r="H33" i="202"/>
  <c r="E33" i="202"/>
  <c r="Y32" i="202"/>
  <c r="Y31" i="202"/>
  <c r="Y30" i="202"/>
  <c r="Y29" i="202"/>
  <c r="Y28" i="202"/>
  <c r="Y27" i="202"/>
  <c r="Y26" i="202"/>
  <c r="Y25" i="202"/>
  <c r="Y23" i="202"/>
  <c r="R23" i="202"/>
  <c r="K23" i="202"/>
  <c r="V22" i="202"/>
  <c r="V24" i="202" s="1"/>
  <c r="S22" i="202"/>
  <c r="S24" i="202" s="1"/>
  <c r="O22" i="202"/>
  <c r="O24" i="202" s="1"/>
  <c r="L22" i="202"/>
  <c r="L24" i="202" s="1"/>
  <c r="E22" i="202"/>
  <c r="E24" i="202" s="1"/>
  <c r="Y21" i="202"/>
  <c r="R21" i="202"/>
  <c r="Y20" i="202"/>
  <c r="R20" i="202"/>
  <c r="Y19" i="202"/>
  <c r="R19" i="202"/>
  <c r="Y18" i="202"/>
  <c r="R18" i="202"/>
  <c r="K18" i="202"/>
  <c r="V16" i="202"/>
  <c r="S16" i="202"/>
  <c r="O16" i="202"/>
  <c r="L16" i="202"/>
  <c r="H16" i="202"/>
  <c r="E16" i="202"/>
  <c r="Y15" i="202"/>
  <c r="R15" i="202"/>
  <c r="Y14" i="202"/>
  <c r="R14" i="202"/>
  <c r="Y13" i="202"/>
  <c r="R13" i="202"/>
  <c r="Y12" i="202"/>
  <c r="R12" i="202"/>
  <c r="V11" i="202"/>
  <c r="S11" i="202"/>
  <c r="O11" i="202"/>
  <c r="L11" i="202"/>
  <c r="H11" i="202"/>
  <c r="Y9" i="202"/>
  <c r="R9" i="202"/>
  <c r="Y8" i="202"/>
  <c r="R8" i="202"/>
  <c r="Y7" i="202"/>
  <c r="R7" i="202"/>
  <c r="Y6" i="202"/>
  <c r="R6" i="202"/>
  <c r="O49" i="202" l="1"/>
  <c r="K21" i="201"/>
  <c r="X26" i="201"/>
  <c r="E17" i="202"/>
  <c r="E40" i="202" s="1"/>
  <c r="K8" i="202"/>
  <c r="Z8" i="202" s="1"/>
  <c r="P10" i="41"/>
  <c r="Y39" i="202"/>
  <c r="W21" i="201"/>
  <c r="Z36" i="202"/>
  <c r="V17" i="202"/>
  <c r="V40" i="202" s="1"/>
  <c r="X18" i="201"/>
  <c r="X15" i="201"/>
  <c r="X22" i="201"/>
  <c r="W8" i="201"/>
  <c r="S29" i="201"/>
  <c r="S33" i="201" s="1"/>
  <c r="X11" i="201"/>
  <c r="X7" i="201"/>
  <c r="X14" i="201"/>
  <c r="R8" i="201"/>
  <c r="X13" i="201"/>
  <c r="L17" i="202"/>
  <c r="L40" i="202" s="1"/>
  <c r="Z25" i="202"/>
  <c r="Z29" i="202"/>
  <c r="Z43" i="202"/>
  <c r="Z44" i="202" s="1"/>
  <c r="R28" i="201"/>
  <c r="S49" i="202"/>
  <c r="R21" i="201"/>
  <c r="X23" i="201"/>
  <c r="W28" i="201"/>
  <c r="Y22" i="202"/>
  <c r="Y24" i="202" s="1"/>
  <c r="Z7" i="202"/>
  <c r="Z15" i="202"/>
  <c r="Y33" i="202"/>
  <c r="W16" i="201"/>
  <c r="Z26" i="202"/>
  <c r="E49" i="202"/>
  <c r="Z30" i="202"/>
  <c r="K16" i="202"/>
  <c r="X27" i="201"/>
  <c r="K28" i="201"/>
  <c r="E29" i="201"/>
  <c r="E33" i="201" s="1"/>
  <c r="X9" i="201"/>
  <c r="R11" i="202"/>
  <c r="Y11" i="202"/>
  <c r="Z9" i="202"/>
  <c r="Z13" i="202"/>
  <c r="Z14" i="202"/>
  <c r="O17" i="202"/>
  <c r="O40" i="202" s="1"/>
  <c r="O50" i="202" s="1"/>
  <c r="Z18" i="202"/>
  <c r="Z19" i="202"/>
  <c r="Z34" i="202"/>
  <c r="Z35" i="202" s="1"/>
  <c r="Z41" i="202"/>
  <c r="Z42" i="202" s="1"/>
  <c r="L29" i="201"/>
  <c r="L33" i="201" s="1"/>
  <c r="X10" i="201"/>
  <c r="X24" i="201"/>
  <c r="K32" i="201"/>
  <c r="Z12" i="202"/>
  <c r="H17" i="202"/>
  <c r="K22" i="202"/>
  <c r="K24" i="202" s="1"/>
  <c r="Z21" i="202"/>
  <c r="Z37" i="202"/>
  <c r="L49" i="202"/>
  <c r="X19" i="201"/>
  <c r="X20" i="201"/>
  <c r="R32" i="201"/>
  <c r="Z6" i="202"/>
  <c r="S17" i="202"/>
  <c r="S40" i="202" s="1"/>
  <c r="Y16" i="202"/>
  <c r="Y17" i="202" s="1"/>
  <c r="Z23" i="202"/>
  <c r="Z27" i="202"/>
  <c r="Z28" i="202"/>
  <c r="Z31" i="202"/>
  <c r="Z32" i="202"/>
  <c r="K44" i="202"/>
  <c r="K49" i="202" s="1"/>
  <c r="V49" i="202"/>
  <c r="X6" i="201"/>
  <c r="U29" i="201"/>
  <c r="U33" i="201" s="1"/>
  <c r="O29" i="201"/>
  <c r="O33" i="201" s="1"/>
  <c r="X17" i="201"/>
  <c r="X30" i="201"/>
  <c r="X12" i="201"/>
  <c r="R16" i="201"/>
  <c r="H29" i="201"/>
  <c r="H33" i="201" s="1"/>
  <c r="K16" i="201"/>
  <c r="X25" i="201"/>
  <c r="K8" i="201"/>
  <c r="X31" i="201"/>
  <c r="W32" i="201"/>
  <c r="Y49" i="202"/>
  <c r="R16" i="202"/>
  <c r="Z47" i="202"/>
  <c r="Z48" i="202" s="1"/>
  <c r="K33" i="202"/>
  <c r="Z20" i="202"/>
  <c r="Z45" i="202"/>
  <c r="Z46" i="202" s="1"/>
  <c r="R22" i="202"/>
  <c r="R24" i="202" s="1"/>
  <c r="R33" i="202"/>
  <c r="R39" i="202"/>
  <c r="R42" i="202"/>
  <c r="R49" i="202" s="1"/>
  <c r="K11" i="202" l="1"/>
  <c r="K17" i="202" s="1"/>
  <c r="P16" i="41"/>
  <c r="W29" i="201"/>
  <c r="S50" i="202"/>
  <c r="Z39" i="202"/>
  <c r="V50" i="202"/>
  <c r="L50" i="202"/>
  <c r="X8" i="201"/>
  <c r="X28" i="201"/>
  <c r="R17" i="202"/>
  <c r="R40" i="202" s="1"/>
  <c r="R50" i="202" s="1"/>
  <c r="Z11" i="202"/>
  <c r="R29" i="201"/>
  <c r="R33" i="201" s="1"/>
  <c r="Y40" i="202"/>
  <c r="Y50" i="202" s="1"/>
  <c r="E50" i="202"/>
  <c r="Z49" i="202"/>
  <c r="Z33" i="202"/>
  <c r="Z22" i="202"/>
  <c r="Z24" i="202" s="1"/>
  <c r="Z16" i="202"/>
  <c r="X16" i="201"/>
  <c r="X21" i="201"/>
  <c r="X32" i="201"/>
  <c r="K29" i="201"/>
  <c r="K33" i="201" s="1"/>
  <c r="W33" i="201"/>
  <c r="G52" i="194"/>
  <c r="P40" i="41" l="1"/>
  <c r="P50" i="41" s="1"/>
  <c r="Z17" i="202"/>
  <c r="Z40" i="202" s="1"/>
  <c r="Z50" i="202" s="1"/>
  <c r="X29" i="201"/>
  <c r="X33" i="201" s="1"/>
  <c r="J19" i="200"/>
  <c r="J18" i="200"/>
  <c r="I17" i="200"/>
  <c r="H17" i="200"/>
  <c r="G17" i="200"/>
  <c r="F17" i="200"/>
  <c r="E17" i="200"/>
  <c r="D17" i="200"/>
  <c r="D15" i="200"/>
  <c r="J14" i="200"/>
  <c r="J13" i="200"/>
  <c r="I12" i="200"/>
  <c r="H12" i="200"/>
  <c r="G12" i="200"/>
  <c r="F12" i="200"/>
  <c r="E12" i="200"/>
  <c r="D12" i="200"/>
  <c r="H9" i="200"/>
  <c r="H16" i="200" s="1"/>
  <c r="H15" i="200" s="1"/>
  <c r="G9" i="200"/>
  <c r="G16" i="200" s="1"/>
  <c r="G15" i="200" s="1"/>
  <c r="F9" i="200"/>
  <c r="E9" i="200"/>
  <c r="E16" i="200" s="1"/>
  <c r="E15" i="200" s="1"/>
  <c r="D9" i="200"/>
  <c r="J8" i="200"/>
  <c r="J7" i="200"/>
  <c r="I6" i="200"/>
  <c r="H6" i="200"/>
  <c r="G6" i="200"/>
  <c r="F6" i="200"/>
  <c r="F20" i="200" s="1"/>
  <c r="E6" i="200"/>
  <c r="D6" i="200"/>
  <c r="F16" i="200" l="1"/>
  <c r="F15" i="200" s="1"/>
  <c r="G20" i="200"/>
  <c r="D20" i="200"/>
  <c r="J12" i="200"/>
  <c r="H20" i="200"/>
  <c r="E20" i="200"/>
  <c r="J17" i="200"/>
  <c r="J6" i="200"/>
  <c r="M23" i="196"/>
  <c r="H23" i="196" s="1"/>
  <c r="H19" i="196" l="1"/>
  <c r="H27" i="196" s="1"/>
  <c r="I16" i="197"/>
  <c r="H16" i="197" s="1"/>
  <c r="J19" i="5" l="1"/>
  <c r="O19" i="5" s="1"/>
  <c r="O10" i="196"/>
  <c r="Q10" i="196" s="1"/>
  <c r="Q18" i="196" s="1"/>
  <c r="Q28" i="196" l="1"/>
  <c r="Q30" i="196" s="1"/>
  <c r="O18" i="196"/>
  <c r="O32" i="196" s="1"/>
  <c r="Y10" i="196"/>
  <c r="T10" i="196" s="1"/>
  <c r="D40" i="190"/>
  <c r="O28" i="196" l="1"/>
  <c r="O30" i="196" s="1"/>
  <c r="J42" i="41"/>
  <c r="E42" i="41"/>
  <c r="O42" i="41" l="1"/>
  <c r="J29" i="190"/>
  <c r="J31" i="190" s="1"/>
  <c r="M19" i="196"/>
  <c r="Y7" i="196"/>
  <c r="T7" i="196" s="1"/>
  <c r="Y9" i="196"/>
  <c r="T9" i="196" s="1"/>
  <c r="Y14" i="196"/>
  <c r="T14" i="196" s="1"/>
  <c r="U14" i="196" s="1"/>
  <c r="Q6" i="197"/>
  <c r="P6" i="197" s="1"/>
  <c r="Q8" i="197"/>
  <c r="P8" i="197" s="1"/>
  <c r="Y26" i="196"/>
  <c r="T26" i="196" s="1"/>
  <c r="Y25" i="196"/>
  <c r="J7" i="5"/>
  <c r="O7" i="5" s="1"/>
  <c r="J14" i="5"/>
  <c r="O14" i="5" s="1"/>
  <c r="J26" i="5"/>
  <c r="J30" i="5"/>
  <c r="O30" i="5" s="1"/>
  <c r="O48" i="41"/>
  <c r="J44" i="41"/>
  <c r="J46" i="41"/>
  <c r="E44" i="41"/>
  <c r="E46" i="41"/>
  <c r="E48" i="41"/>
  <c r="D13" i="198"/>
  <c r="D11" i="198"/>
  <c r="D12" i="198"/>
  <c r="J10" i="41"/>
  <c r="J15" i="41"/>
  <c r="E15" i="41"/>
  <c r="J22" i="41"/>
  <c r="J33" i="41"/>
  <c r="J35" i="41"/>
  <c r="J39" i="41"/>
  <c r="O39" i="41" s="1"/>
  <c r="E26" i="5"/>
  <c r="E22" i="41"/>
  <c r="E33" i="41"/>
  <c r="E35" i="41"/>
  <c r="J22" i="190"/>
  <c r="J23" i="190"/>
  <c r="J19" i="190"/>
  <c r="J14" i="190"/>
  <c r="I40" i="190"/>
  <c r="J38" i="190"/>
  <c r="I37" i="190"/>
  <c r="J36" i="190"/>
  <c r="J35" i="190" s="1"/>
  <c r="J12" i="190"/>
  <c r="J11" i="190" s="1"/>
  <c r="J9" i="190"/>
  <c r="J8" i="190" s="1"/>
  <c r="J24" i="190"/>
  <c r="J25" i="190"/>
  <c r="J15" i="190"/>
  <c r="J16" i="190"/>
  <c r="J17" i="190"/>
  <c r="J18" i="190"/>
  <c r="I29" i="190"/>
  <c r="I31" i="190" s="1"/>
  <c r="I13" i="190"/>
  <c r="I21" i="190"/>
  <c r="I11" i="190"/>
  <c r="I8" i="190"/>
  <c r="I35" i="190"/>
  <c r="I26" i="197"/>
  <c r="M24" i="196"/>
  <c r="C23" i="195"/>
  <c r="D23" i="195"/>
  <c r="G7" i="194"/>
  <c r="G13" i="194"/>
  <c r="G28" i="194"/>
  <c r="G49" i="194"/>
  <c r="G55" i="194"/>
  <c r="D35" i="190"/>
  <c r="D37" i="190"/>
  <c r="D11" i="190"/>
  <c r="D13" i="190"/>
  <c r="D21" i="190"/>
  <c r="D29" i="190"/>
  <c r="D31" i="190" s="1"/>
  <c r="D8" i="190"/>
  <c r="G22" i="41" l="1"/>
  <c r="G24" i="41" s="1"/>
  <c r="G40" i="41" s="1"/>
  <c r="E24" i="41"/>
  <c r="O44" i="41"/>
  <c r="C9" i="196"/>
  <c r="E9" i="196" s="1"/>
  <c r="O10" i="41"/>
  <c r="M9" i="196" s="1"/>
  <c r="O35" i="41"/>
  <c r="C10" i="196"/>
  <c r="E10" i="196" s="1"/>
  <c r="O15" i="41"/>
  <c r="M10" i="196" s="1"/>
  <c r="H10" i="196" s="1"/>
  <c r="O46" i="41"/>
  <c r="O22" i="41"/>
  <c r="C7" i="196"/>
  <c r="E7" i="196" s="1"/>
  <c r="O33" i="41"/>
  <c r="M7" i="196" s="1"/>
  <c r="H7" i="196" s="1"/>
  <c r="J7" i="196" s="1"/>
  <c r="J18" i="196" s="1"/>
  <c r="J28" i="196" s="1"/>
  <c r="J30" i="196" s="1"/>
  <c r="E27" i="5"/>
  <c r="E31" i="5" s="1"/>
  <c r="O26" i="5"/>
  <c r="G10" i="194"/>
  <c r="Q18" i="197"/>
  <c r="P18" i="197" s="1"/>
  <c r="P19" i="197" s="1"/>
  <c r="P33" i="197" s="1"/>
  <c r="P35" i="197" s="1"/>
  <c r="G61" i="194"/>
  <c r="G63" i="194" s="1"/>
  <c r="D59" i="190"/>
  <c r="Y27" i="196"/>
  <c r="T25" i="196"/>
  <c r="T27" i="196" s="1"/>
  <c r="J37" i="190"/>
  <c r="J24" i="41"/>
  <c r="H24" i="202"/>
  <c r="H40" i="202" s="1"/>
  <c r="H50" i="202" s="1"/>
  <c r="I24" i="197"/>
  <c r="D10" i="198"/>
  <c r="Y11" i="196"/>
  <c r="T11" i="196" s="1"/>
  <c r="U11" i="196" s="1"/>
  <c r="I6" i="197"/>
  <c r="H6" i="197" s="1"/>
  <c r="I17" i="197"/>
  <c r="H17" i="197" s="1"/>
  <c r="J27" i="5"/>
  <c r="J49" i="41"/>
  <c r="E49" i="41"/>
  <c r="G48" i="194"/>
  <c r="G27" i="194"/>
  <c r="I27" i="190"/>
  <c r="I32" i="190" s="1"/>
  <c r="J21" i="190"/>
  <c r="J13" i="190"/>
  <c r="M27" i="196"/>
  <c r="J16" i="41"/>
  <c r="E16" i="41"/>
  <c r="I59" i="190"/>
  <c r="D27" i="190"/>
  <c r="D32" i="190" s="1"/>
  <c r="E23" i="195"/>
  <c r="Y6" i="196"/>
  <c r="T6" i="196" s="1"/>
  <c r="G50" i="41" l="1"/>
  <c r="Q50" i="41" s="1"/>
  <c r="Q40" i="41"/>
  <c r="H9" i="196"/>
  <c r="E40" i="41"/>
  <c r="E50" i="41" s="1"/>
  <c r="O16" i="41"/>
  <c r="C6" i="196"/>
  <c r="E6" i="196" s="1"/>
  <c r="E18" i="196" s="1"/>
  <c r="O24" i="41"/>
  <c r="M6" i="196" s="1"/>
  <c r="D14" i="198"/>
  <c r="D15" i="198" s="1"/>
  <c r="E14" i="198"/>
  <c r="E15" i="198" s="1"/>
  <c r="D60" i="190"/>
  <c r="O49" i="41"/>
  <c r="Q19" i="197"/>
  <c r="G46" i="194"/>
  <c r="P37" i="197"/>
  <c r="P36" i="197"/>
  <c r="J40" i="41"/>
  <c r="J50" i="41" s="1"/>
  <c r="G59" i="194"/>
  <c r="H19" i="197"/>
  <c r="I20" i="197"/>
  <c r="I32" i="197" s="1"/>
  <c r="Y8" i="196"/>
  <c r="I19" i="197"/>
  <c r="I60" i="190"/>
  <c r="M18" i="196"/>
  <c r="M28" i="196" s="1"/>
  <c r="M30" i="196" s="1"/>
  <c r="O27" i="5"/>
  <c r="O31" i="5" s="1"/>
  <c r="J27" i="190"/>
  <c r="J32" i="190" s="1"/>
  <c r="E28" i="196" l="1"/>
  <c r="E30" i="196" s="1"/>
  <c r="Q31" i="196"/>
  <c r="H6" i="196"/>
  <c r="H18" i="196" s="1"/>
  <c r="C18" i="196"/>
  <c r="C28" i="196" s="1"/>
  <c r="O40" i="41"/>
  <c r="O50" i="41" s="1"/>
  <c r="I36" i="197"/>
  <c r="Q36" i="197"/>
  <c r="Q33" i="197"/>
  <c r="Q35" i="197" s="1"/>
  <c r="Q37" i="197"/>
  <c r="G65" i="194"/>
  <c r="Y18" i="196"/>
  <c r="T8" i="196"/>
  <c r="H33" i="197"/>
  <c r="H36" i="197"/>
  <c r="H37" i="197"/>
  <c r="H28" i="196"/>
  <c r="I33" i="197"/>
  <c r="I35" i="197" s="1"/>
  <c r="J31" i="5"/>
  <c r="O31" i="196" l="1"/>
  <c r="C31" i="196"/>
  <c r="C32" i="196"/>
  <c r="T18" i="196"/>
  <c r="T32" i="196" s="1"/>
  <c r="U18" i="196"/>
  <c r="I37" i="197"/>
  <c r="M31" i="196"/>
  <c r="Y32" i="196"/>
  <c r="Y31" i="196"/>
  <c r="Y28" i="196"/>
  <c r="M32" i="196" s="1"/>
  <c r="H30" i="196"/>
  <c r="I9" i="200"/>
  <c r="J9" i="200" s="1"/>
  <c r="T31" i="196" l="1"/>
  <c r="H31" i="196"/>
  <c r="T28" i="196"/>
  <c r="H32" i="196" s="1"/>
  <c r="Y30" i="196"/>
  <c r="J20" i="200"/>
  <c r="I16" i="200"/>
  <c r="I20" i="200"/>
  <c r="T30" i="196" l="1"/>
  <c r="I15" i="200"/>
  <c r="J15" i="200" s="1"/>
  <c r="J16" i="200"/>
  <c r="K39" i="202"/>
  <c r="K40" i="202" s="1"/>
  <c r="K50" i="202" s="1"/>
  <c r="C30" i="196"/>
  <c r="J43" i="190"/>
  <c r="J47" i="190"/>
  <c r="J51" i="190"/>
  <c r="J55" i="190"/>
  <c r="J44" i="190"/>
  <c r="J48" i="190"/>
  <c r="J52" i="190"/>
  <c r="J56" i="190"/>
  <c r="E40" i="190"/>
  <c r="E59" i="190" s="1"/>
  <c r="E60" i="190" s="1"/>
  <c r="F40" i="190"/>
  <c r="F59" i="190" s="1"/>
  <c r="F60" i="190" s="1"/>
  <c r="J41" i="190"/>
  <c r="J45" i="190"/>
  <c r="J49" i="190"/>
  <c r="J53" i="190"/>
  <c r="J57" i="190"/>
  <c r="J42" i="190"/>
  <c r="J46" i="190"/>
  <c r="J50" i="190"/>
  <c r="J54" i="190"/>
  <c r="J58" i="190"/>
  <c r="J40" i="190" l="1"/>
  <c r="J59" i="190" s="1"/>
  <c r="J60" i="190" s="1"/>
</calcChain>
</file>

<file path=xl/sharedStrings.xml><?xml version="1.0" encoding="utf-8"?>
<sst xmlns="http://schemas.openxmlformats.org/spreadsheetml/2006/main" count="966" uniqueCount="463">
  <si>
    <t>Működési célú támogatásértékű kiadások</t>
  </si>
  <si>
    <t>Személyi juttatások</t>
  </si>
  <si>
    <t>Felújítási kiadások</t>
  </si>
  <si>
    <t>Ingatlanok felújítása</t>
  </si>
  <si>
    <t>Épületek felújítása</t>
  </si>
  <si>
    <t>Egyéb építmények felújítása</t>
  </si>
  <si>
    <t>Felhalmozási célú támogatásértékű kiadások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</si>
  <si>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</si>
  <si>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</si>
  <si>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</si>
  <si>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</si>
  <si>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Költségvetési kiadások összesen:</t>
  </si>
  <si>
    <t>Közhatalmi bevételek</t>
  </si>
  <si>
    <t>Kölcsön nyújtása</t>
  </si>
  <si>
    <t>Kölcsön törlesztése</t>
  </si>
  <si>
    <t>Szellemi termékek vásárlása</t>
  </si>
  <si>
    <t>Vagyoni értékű jogok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</si>
  <si>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</si>
  <si>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</si>
  <si>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</si>
  <si>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</si>
  <si>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</si>
  <si>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Felhalmozási célú támogatásértékű kiad. összesen</t>
  </si>
  <si>
    <t>11.</t>
  </si>
  <si>
    <t>12.</t>
  </si>
  <si>
    <t>14.</t>
  </si>
  <si>
    <t>17.</t>
  </si>
  <si>
    <t>Beruházási kiadások összesen</t>
  </si>
  <si>
    <t>13.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</si>
  <si>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</si>
  <si>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</si>
  <si>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</si>
  <si>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</si>
  <si>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</si>
  <si>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Immateriális javak vásárlása</t>
  </si>
  <si>
    <t>Fők.
szla</t>
  </si>
  <si>
    <t>Megnevezés</t>
  </si>
  <si>
    <t>1.</t>
  </si>
  <si>
    <t>2.</t>
  </si>
  <si>
    <t>3.</t>
  </si>
  <si>
    <t>4.</t>
  </si>
  <si>
    <t>5.</t>
  </si>
  <si>
    <t>Háztartásoknak nyújtott felhalm. célú támog. kölcs.</t>
  </si>
  <si>
    <t>Önkormányzat támogatásértékű kiadások, pénzeszközátadások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</si>
  <si>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</si>
  <si>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</si>
  <si>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</si>
  <si>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</si>
  <si>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</si>
  <si>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</si>
  <si>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</si>
  <si>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10.</t>
  </si>
  <si>
    <t>19.</t>
  </si>
  <si>
    <t>Első lakáshoz jutók támogatása</t>
  </si>
  <si>
    <t>15.</t>
  </si>
  <si>
    <t>Mozgáskorlátozott E</t>
  </si>
  <si>
    <t xml:space="preserve">ATEFITA Alapítvány </t>
  </si>
  <si>
    <t>Abdai Lovas Egyesület</t>
  </si>
  <si>
    <t>Önkéntes Tűzoltó Egyesület</t>
  </si>
  <si>
    <t xml:space="preserve">Holt Rábcáért Egyesület      </t>
  </si>
  <si>
    <t xml:space="preserve">F-10 Postagalamb Egyesület   </t>
  </si>
  <si>
    <t xml:space="preserve">Polgárőr Egyesület           </t>
  </si>
  <si>
    <t xml:space="preserve">Zrínyi I. Abdai Ifj. Kh. A.   </t>
  </si>
  <si>
    <t xml:space="preserve">Vándorbot Egyesület           </t>
  </si>
  <si>
    <t xml:space="preserve">ABDA SC támogatás    </t>
  </si>
  <si>
    <t>16.</t>
  </si>
  <si>
    <t>18.</t>
  </si>
  <si>
    <t>Öttevény Közs. Önk. (KMB tám.)</t>
  </si>
  <si>
    <t>Vállalkozásoknak</t>
  </si>
  <si>
    <t>Fogorvosi ellátás</t>
  </si>
  <si>
    <t>Szalai Gyula Alapítvány</t>
  </si>
  <si>
    <t>Győr M. J. Város jelzőrendszer</t>
  </si>
  <si>
    <t>Társulásnak és költségvetési szerveinek</t>
  </si>
  <si>
    <t>Irányítás (felügyelet) alá tartozó költségvetési szervnek folyósított támogatás</t>
  </si>
  <si>
    <t xml:space="preserve">Jelzőrendszeres házi segítségnyújtás </t>
  </si>
  <si>
    <t>K84</t>
  </si>
  <si>
    <t>K86</t>
  </si>
  <si>
    <t>K915</t>
  </si>
  <si>
    <t>Irányítás (felügyelet) alá tartozó költségvetési szervnek folyósított működési támogatás( KÖZÖS HIVATAL)</t>
  </si>
  <si>
    <t>Civil szervezeteknek</t>
  </si>
  <si>
    <t>20.</t>
  </si>
  <si>
    <t>K62</t>
  </si>
  <si>
    <t>K64</t>
  </si>
  <si>
    <t>K71</t>
  </si>
  <si>
    <t>K711</t>
  </si>
  <si>
    <t>Sor-szám</t>
  </si>
  <si>
    <t>Szakfeladat megnevezés</t>
  </si>
  <si>
    <t>∑</t>
  </si>
  <si>
    <t>Önkormányzat</t>
  </si>
  <si>
    <t>Közös Hivatal</t>
  </si>
  <si>
    <t>Zöldterület-kezelés</t>
  </si>
  <si>
    <t>Önkormányzati jogalkotás</t>
  </si>
  <si>
    <t>Város és községgazdálkodási szolg.</t>
  </si>
  <si>
    <t>Háziorvosi alapellátás</t>
  </si>
  <si>
    <t>Család és nővédelmi eü gondozás</t>
  </si>
  <si>
    <t>Házi segítségnyújtás</t>
  </si>
  <si>
    <t>Foglalk. hosszabb idejű közfoglalkoztatása</t>
  </si>
  <si>
    <t>Önkorm. és társul. Igazgatási tevékenysége</t>
  </si>
  <si>
    <t>Adó, illeték beszedése, kiszab.</t>
  </si>
  <si>
    <t>Mindösszesen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</si>
  <si>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</si>
  <si>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</si>
  <si>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</si>
  <si>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</si>
  <si>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</si>
  <si>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</si>
  <si>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</si>
  <si>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</si>
  <si>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</si>
  <si>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</si>
  <si>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</si>
  <si>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</si>
  <si>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</si>
  <si>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</si>
  <si>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</si>
  <si>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</si>
  <si>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</si>
  <si>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</si>
  <si>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</si>
  <si>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</si>
  <si>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>Hosszú lejáratú hitelek törlesztése</t>
  </si>
  <si>
    <t xml:space="preserve">   Egyéb belső finanszírozási bevételek (int. Fin.)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</si>
  <si>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</si>
  <si>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</si>
  <si>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</si>
  <si>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</si>
  <si>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</si>
  <si>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</si>
  <si>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</si>
  <si>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</si>
  <si>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</si>
  <si>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</si>
  <si>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</si>
  <si>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</si>
  <si>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</si>
  <si>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</si>
  <si>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</si>
  <si>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</si>
  <si>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</si>
  <si>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</si>
  <si>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</si>
  <si>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</si>
  <si>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</si>
  <si>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</si>
  <si>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</si>
  <si>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</si>
  <si>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</si>
  <si>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</si>
  <si>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</si>
  <si>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</si>
  <si>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</si>
  <si>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</si>
  <si>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</si>
  <si>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</si>
  <si>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</si>
  <si>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</si>
  <si>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</si>
  <si>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</si>
  <si>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</si>
  <si>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</si>
  <si>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</si>
  <si>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</si>
  <si>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</si>
  <si>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</si>
  <si>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</si>
  <si>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</si>
  <si>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</si>
  <si>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</si>
  <si>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</si>
  <si>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</si>
  <si>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</si>
  <si>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</si>
  <si>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</si>
  <si>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</si>
  <si>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</si>
  <si>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</si>
  <si>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</si>
  <si>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</si>
  <si>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</si>
  <si>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</si>
  <si>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</si>
  <si>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</si>
  <si>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</si>
  <si>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</si>
  <si>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</si>
  <si>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</si>
  <si>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</si>
  <si>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</si>
  <si>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</si>
  <si>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</si>
  <si>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</si>
  <si>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</si>
  <si>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</si>
  <si>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</si>
  <si>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</si>
  <si>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</si>
  <si>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</si>
  <si>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Helyi adók</t>
  </si>
  <si>
    <t>Saját bevételek</t>
  </si>
  <si>
    <t>Adósságot keletkeztető éves kötelezetts. váll. felső határa 50%</t>
  </si>
  <si>
    <t>Összesen</t>
  </si>
  <si>
    <t>Abda</t>
  </si>
  <si>
    <t>Startmunka program Téli közfoglalkoztatás</t>
  </si>
  <si>
    <t>Közművelődés-közösségi és társad.részvétel fejl.</t>
  </si>
  <si>
    <t xml:space="preserve"> Működési bevételek</t>
  </si>
  <si>
    <t>Támogatások (Önkorm.műk.támog.), kiegészítések (működési célú)</t>
  </si>
  <si>
    <t>Áht-n belüli megelőlegezések visszafizetése</t>
  </si>
  <si>
    <t>Gyermekj.Társ.-nak Abda Önkormányzat</t>
  </si>
  <si>
    <t>Óvoda Társ.-nak Abda Önkormányzat</t>
  </si>
  <si>
    <t xml:space="preserve">Mikulásbirodalom Alapítvány  </t>
  </si>
  <si>
    <t>II. Rákóczi F. Alapítvány</t>
  </si>
  <si>
    <t>Gyöngyvirág Nyugdíjas Klub</t>
  </si>
  <si>
    <t>Pannon Kincse LEADER</t>
  </si>
  <si>
    <t>K63</t>
  </si>
  <si>
    <t xml:space="preserve">   Értékpapírok ért.bevétel </t>
  </si>
  <si>
    <t>BURSA HUNGARICA, Arany J. Tehetség.</t>
  </si>
  <si>
    <t xml:space="preserve">  forintban !</t>
  </si>
  <si>
    <t>Kamatbevételek és más nyereségjellegű bevételek</t>
  </si>
  <si>
    <t>Felhalmozási bevételek</t>
  </si>
  <si>
    <t>Költségvetési bevételek</t>
  </si>
  <si>
    <t>Értékesítési és forgalmi adók (iparűzési)</t>
  </si>
  <si>
    <t>Egyéb áruhaszn. és szolg. adók (idegenforg. adó)</t>
  </si>
  <si>
    <t>Egyéb közhatalmi bevételek (talajterh., bírság, pótlék)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</si>
  <si>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</si>
  <si>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</si>
  <si>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</si>
  <si>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</si>
  <si>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</si>
  <si>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Vagyoni tipusú adók (kommunális adó)</t>
  </si>
  <si>
    <t>Gépjárműadók</t>
  </si>
  <si>
    <t>Közhatalmi bevételek összesen</t>
  </si>
  <si>
    <t>Működési bevételek összesen: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</si>
  <si>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</si>
  <si>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</si>
  <si>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</si>
  <si>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</si>
  <si>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</si>
  <si>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</si>
  <si>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</si>
  <si>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Ingatlanok értékesítése</t>
  </si>
  <si>
    <t>Felhalmozási célú visszatérítendő támogatások, kölcsönök visszatérülése államháztartáson kívülről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</si>
  <si>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</si>
  <si>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</si>
  <si>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</si>
  <si>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</si>
  <si>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</si>
  <si>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</si>
  <si>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</si>
  <si>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</si>
  <si>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</si>
  <si>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</si>
  <si>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</si>
  <si>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</si>
  <si>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</si>
  <si>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</si>
  <si>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Készletbeszerzés</t>
  </si>
  <si>
    <t xml:space="preserve">Kommunikációs szolgáltatások </t>
  </si>
  <si>
    <t>Szolgáltatási kiadások</t>
  </si>
  <si>
    <t>Kiküldetések, reklám- és propagandakiadások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</si>
  <si>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</si>
  <si>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</si>
  <si>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</si>
  <si>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</si>
  <si>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</si>
  <si>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</si>
  <si>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</si>
  <si>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</si>
  <si>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</si>
  <si>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</si>
  <si>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</si>
  <si>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</si>
  <si>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</si>
  <si>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</si>
  <si>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</si>
  <si>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</si>
  <si>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</si>
  <si>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</si>
  <si>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Elvonások és befízetések</t>
  </si>
  <si>
    <t>Közös hivatal</t>
  </si>
  <si>
    <t>Központi, irányítószervi támogatás</t>
  </si>
  <si>
    <t>Belföldi finanszírozás bevételei</t>
  </si>
  <si>
    <t>Hosszú lejáratú hitelek, kölcsönök felvétele pénzügyi vállalkozástól</t>
  </si>
  <si>
    <t>Hitel-, kölcsönfelvétel pénzügyi vállalkozástól</t>
  </si>
  <si>
    <t>Központi költségvetési szerv előirányzatoknak</t>
  </si>
  <si>
    <t>Abdai Horgász Egyesület</t>
  </si>
  <si>
    <t>Abdai Alkotó Kezek</t>
  </si>
  <si>
    <t>Tornacsarnok építése</t>
  </si>
  <si>
    <t>Működési célú pénzeszközátadások mindösszesen</t>
  </si>
  <si>
    <t>Díjak, pótlékok, települési adók</t>
  </si>
  <si>
    <t>Imm. Javak, ingatlanok, egyéb tárgyi eszköz értékesítés</t>
  </si>
  <si>
    <t>Központi, irányító szervi támogatás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</si>
  <si>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</si>
  <si>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</si>
  <si>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</si>
  <si>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</si>
  <si>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</si>
  <si>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10=(6+…+9)</t>
  </si>
  <si>
    <t>Működési célú
hiteltörlesztés (tőke+kamat)</t>
  </si>
  <si>
    <t>............................</t>
  </si>
  <si>
    <t>Felhalmozási célú
hiteltörlesztés (tőke+kamat)</t>
  </si>
  <si>
    <t>Fejlesztési célú forint alapu hitel</t>
  </si>
  <si>
    <t>Fejlesztési célú forint alapu hitel kamata</t>
  </si>
  <si>
    <t>Beruházás feladatonként</t>
  </si>
  <si>
    <t>Egyéb</t>
  </si>
  <si>
    <t>Összesen (1+4+7+9+11)</t>
  </si>
  <si>
    <t>Tornacsarnok</t>
  </si>
  <si>
    <t>Beruházás célonként</t>
  </si>
  <si>
    <t>2021.</t>
  </si>
  <si>
    <t>2022.</t>
  </si>
  <si>
    <t>Rovat</t>
  </si>
  <si>
    <t>Kötelező feladatok</t>
  </si>
  <si>
    <t>Önként vállalt feladatok</t>
  </si>
  <si>
    <t>Állami feladatok</t>
  </si>
  <si>
    <t>B111</t>
  </si>
  <si>
    <t>B112</t>
  </si>
  <si>
    <t>B113</t>
  </si>
  <si>
    <t>B114</t>
  </si>
  <si>
    <t>B11</t>
  </si>
  <si>
    <t>B16</t>
  </si>
  <si>
    <t>B1</t>
  </si>
  <si>
    <t>B34</t>
  </si>
  <si>
    <t>B351</t>
  </si>
  <si>
    <t>B354</t>
  </si>
  <si>
    <t>B355</t>
  </si>
  <si>
    <t>B35</t>
  </si>
  <si>
    <t>B36</t>
  </si>
  <si>
    <t>B3</t>
  </si>
  <si>
    <t>B402</t>
  </si>
  <si>
    <t>B403</t>
  </si>
  <si>
    <t>B404</t>
  </si>
  <si>
    <t>B405</t>
  </si>
  <si>
    <t>B406</t>
  </si>
  <si>
    <t>B407</t>
  </si>
  <si>
    <t>B408</t>
  </si>
  <si>
    <t>B411</t>
  </si>
  <si>
    <t>B4</t>
  </si>
  <si>
    <t>B74</t>
  </si>
  <si>
    <t>B1-B7</t>
  </si>
  <si>
    <t>B8111</t>
  </si>
  <si>
    <t>B811</t>
  </si>
  <si>
    <t>B8121</t>
  </si>
  <si>
    <t>B816</t>
  </si>
  <si>
    <t>B81</t>
  </si>
  <si>
    <t>B8</t>
  </si>
  <si>
    <t>K11</t>
  </si>
  <si>
    <t>K12</t>
  </si>
  <si>
    <t>K1</t>
  </si>
  <si>
    <t>K2</t>
  </si>
  <si>
    <t>K31</t>
  </si>
  <si>
    <t>K32</t>
  </si>
  <si>
    <t>K33</t>
  </si>
  <si>
    <t>Közvetített szolgáltatások</t>
  </si>
  <si>
    <t>K335</t>
  </si>
  <si>
    <t>K34</t>
  </si>
  <si>
    <t>K35</t>
  </si>
  <si>
    <t>K3</t>
  </si>
  <si>
    <t>K4</t>
  </si>
  <si>
    <t>K502</t>
  </si>
  <si>
    <t>K506</t>
  </si>
  <si>
    <t>K512</t>
  </si>
  <si>
    <t>K513</t>
  </si>
  <si>
    <t>K6</t>
  </si>
  <si>
    <t>K7</t>
  </si>
  <si>
    <t>K8</t>
  </si>
  <si>
    <t>K1-K8</t>
  </si>
  <si>
    <t>K914</t>
  </si>
  <si>
    <t>K9</t>
  </si>
  <si>
    <t>FELHALMOZÁSI KIADÁSOK ÖSSZESEN</t>
  </si>
  <si>
    <t>Felhalmozási célú pénzeszközátadások</t>
  </si>
  <si>
    <t>Eredeti előirányzat 2020 év</t>
  </si>
  <si>
    <t>Eredeti előirányzat 2020. év</t>
  </si>
  <si>
    <t xml:space="preserve">Müködési c. támogatásértékű bevétel áh-n belül </t>
  </si>
  <si>
    <t>Egyéb felhalmozási célú támogatások Áh- n belül fejezeti kezelésű (pályázatok)</t>
  </si>
  <si>
    <t>Felhalmozási célú átvett pénzeszközök Áh-n belül és kívül</t>
  </si>
  <si>
    <t>2020. évi eredeti előirányzat</t>
  </si>
  <si>
    <t>ABDA KÖZSÉG ÖNKORMÁNYZATA 2020. ÉVI KÖLTSÉGVETÉSE</t>
  </si>
  <si>
    <t>2020. évi engedélyezett létszám</t>
  </si>
  <si>
    <t>Kötelezettség 2020.</t>
  </si>
  <si>
    <t>2023.</t>
  </si>
  <si>
    <t>2023. 
után</t>
  </si>
  <si>
    <t>Adatok Ft-ban</t>
  </si>
  <si>
    <t>I. Működési célú bevételek és kiadások mérlege</t>
  </si>
  <si>
    <t>II. Felhalmozási célú bevételek és kiadások mérlege</t>
  </si>
  <si>
    <t>Börcs  Önkorm.-nak védőnő 2019.évi elszámolás</t>
  </si>
  <si>
    <t xml:space="preserve">Ikrény Önkorm.-nak családsegítő 2019. évi elszámolás </t>
  </si>
  <si>
    <t>Arrabona EGTC 2020. évi tagdíj</t>
  </si>
  <si>
    <t xml:space="preserve">Ikrény Önkorm.-nak közös hiv. 2019. évi elszámolás </t>
  </si>
  <si>
    <t>Magyar Máltai Szeretetszolgálat</t>
  </si>
  <si>
    <t>Közös hiv. Abdának 2019. évi elszámolás</t>
  </si>
  <si>
    <t>LEADER pályázat -parkoló építés</t>
  </si>
  <si>
    <t xml:space="preserve">Orvosi rendelő rendelő mögé játszótér </t>
  </si>
  <si>
    <t>Sportpálya orvosi rendelő mögé</t>
  </si>
  <si>
    <t>SZOSZO udvar burkolása-öntöző rendszer</t>
  </si>
  <si>
    <t>Közvílágítás bővités</t>
  </si>
  <si>
    <t>iskola udvar térkövezés</t>
  </si>
  <si>
    <t>Magyar Falu program Dózsa Gy.u.18.</t>
  </si>
  <si>
    <t>Rotációs kapa</t>
  </si>
  <si>
    <t>Segway pályázat önerő és pályázati forrás</t>
  </si>
  <si>
    <t>3 gyalogosátkelőhely bitósítása lézeres kapuval</t>
  </si>
  <si>
    <t>Iskolába udvari játékok,tanári asztal, székek</t>
  </si>
  <si>
    <t>Informatikai eszközök beszerzése</t>
  </si>
  <si>
    <t>Egyéb tárgyi eszköz beszerzése, létesítése</t>
  </si>
  <si>
    <t>Informatikai eszk.és egyéb t.eszk.össuesen</t>
  </si>
  <si>
    <t>K63-K64</t>
  </si>
  <si>
    <t>Beruházás célú előzetesen felszámitott általános forgalmi adó</t>
  </si>
  <si>
    <t>K61</t>
  </si>
  <si>
    <t>Ingatlanok beszerzése létesítése összesen</t>
  </si>
  <si>
    <t>K67</t>
  </si>
  <si>
    <t>Informatikai eszközök felújítása</t>
  </si>
  <si>
    <t>K72</t>
  </si>
  <si>
    <t>Egyéb tárgyi eszközök felújítása</t>
  </si>
  <si>
    <t>Felújítási célú előzetesem felsz.ÁFA</t>
  </si>
  <si>
    <t>K74</t>
  </si>
  <si>
    <t>Orvosi rendelő felújítása</t>
  </si>
  <si>
    <t>Gyalogos közök rekonstrukciója (TOP pályázat)</t>
  </si>
  <si>
    <t>Hovéd utca aszfaltburkolása</t>
  </si>
  <si>
    <t>2020. évi előirányzat összesen</t>
  </si>
  <si>
    <t>B25</t>
  </si>
  <si>
    <t>B2,B7</t>
  </si>
  <si>
    <t>B8131</t>
  </si>
  <si>
    <t>B813</t>
  </si>
  <si>
    <t>K5</t>
  </si>
  <si>
    <t>Székek,berendezési tárgyak, védőnő vizsgáló eszköz, ovi körforgó( 640 e)</t>
  </si>
  <si>
    <t>B52</t>
  </si>
  <si>
    <t>K89</t>
  </si>
  <si>
    <t>Általános tartalékok</t>
  </si>
  <si>
    <t>Ei.mód I</t>
  </si>
  <si>
    <t>Mód.ei.</t>
  </si>
  <si>
    <t>Teljesítés</t>
  </si>
  <si>
    <t>Egyéb felhalm.célú átvett pénzeszköz</t>
  </si>
  <si>
    <t>B75</t>
  </si>
  <si>
    <t>Mód.ei</t>
  </si>
  <si>
    <t>Ei.mód I.</t>
  </si>
  <si>
    <t xml:space="preserve">Szigetköz Felső-Duna mente" Térségi Fejlesztési Tanács 2020. évi tagdíj </t>
  </si>
  <si>
    <t>VVFk-Bau Kft.  Jól teljesítési biztosíték v.utalása</t>
  </si>
  <si>
    <t>Külterületi út</t>
  </si>
  <si>
    <t>Asztali lámpa, hidraulikus tűzifahasító (310.000)</t>
  </si>
  <si>
    <t>ABDA KÖZSÉG ÖNKORMÁNYZATA 2020. I.F.ÉVI EI.MÓD+TELJESÍTÉS</t>
  </si>
  <si>
    <t>Eredeti összesen</t>
  </si>
  <si>
    <t xml:space="preserve">Mód.ei </t>
  </si>
  <si>
    <t xml:space="preserve">Mód.ei. </t>
  </si>
  <si>
    <t xml:space="preserve">   3.-ból:  - Felhalmozási célú pe. átadás államháztartáson belül- csapadékvíz elv. El nem költött rész</t>
  </si>
  <si>
    <t>Ei.mód II.</t>
  </si>
  <si>
    <t>Működési célú költségvetési támogatások és kiegészítő támogatások</t>
  </si>
  <si>
    <t>B115</t>
  </si>
  <si>
    <t>Jövedelemadók (magánszemélyek jov.adói)</t>
  </si>
  <si>
    <t>B31</t>
  </si>
  <si>
    <t>B812</t>
  </si>
  <si>
    <t>ABDA KÖZSÉG ÖNKORMÁNYZATA   2020. III.N.ÉVI EI.MÓD+TELJESÍTÉS</t>
  </si>
  <si>
    <t xml:space="preserve">Ei.mód II. </t>
  </si>
  <si>
    <t>Inf. eszközök beszerzése Apple termékek- képviselőknek, hivatal, Zsolt- notebook, monitor, egér, AKG temető hangosító</t>
  </si>
  <si>
    <t>MFP- orvosi eszköz</t>
  </si>
  <si>
    <t>MFP- óvodai játszóudvar, közterületi játszótér</t>
  </si>
  <si>
    <t>Szent I. u. 22. raktárkonténer, kétszárnyú kapumozgató</t>
  </si>
  <si>
    <t>Iskola- elektromos fetőtlenítószer adagoló, hőmérők</t>
  </si>
  <si>
    <t>Csőbúvár szivattyú, áramlásszabályozó hivatal- öntöző</t>
  </si>
  <si>
    <t>ABDA KÖZSÉG ÖNKORMÁNYZATA   2020.  III.N.ÉVI EI.MÓD+TELJESÍTÉS</t>
  </si>
  <si>
    <t>Hovéd utca aszfaltburkolása- beruházásra pályázati pénzből</t>
  </si>
  <si>
    <t>ABDA KÖZSÉG ÖNKORMÁNYZATA 2020. III.N.ÉVI EI.MÓD+TELJESÍTÉS</t>
  </si>
  <si>
    <t>Mód.ei II</t>
  </si>
  <si>
    <t>Mód.ei II.</t>
  </si>
  <si>
    <t xml:space="preserve">Mód.ei. II </t>
  </si>
  <si>
    <t xml:space="preserve">Mód.ei.II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</si>
</sst>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F_t_-;\-* #,##0\ _F_t_-;_-* &quot;-&quot;\ _F_t_-;_-@_-"/>
    <numFmt numFmtId="43" formatCode="_-* #,##0.00\ _F_t_-;\-* #,##0.00\ _F_t_-;_-* &quot;-&quot;??\ _F_t_-;_-@_-"/>
    <numFmt numFmtId="164" formatCode="_-* #,##0.00_-;\-* #,##0.00_-;_-* &quot;-&quot;??_-;_-@_-"/>
    <numFmt numFmtId="165" formatCode="_-* #,##0.0\ _F_t_-;\-* #,##0.0\ _F_t_-;_-* &quot;-&quot;??\ _F_t_-;_-@_-"/>
    <numFmt numFmtId="166" formatCode="0.0"/>
    <numFmt numFmtId="167" formatCode="#,###"/>
    <numFmt numFmtId="168" formatCode="_-* #,##0_-;\-* #,##0_-;_-* &quot;-&quot;??_-;_-@_-"/>
  </numFmts>
  <fonts count="7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color theme="5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9"/>
      <color theme="1"/>
      <name val="Times New Roman CE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 CE"/>
      <charset val="238"/>
    </font>
    <font>
      <b/>
      <sz val="11"/>
      <color theme="1"/>
      <name val="Arial CE"/>
      <charset val="238"/>
    </font>
    <font>
      <sz val="8"/>
      <color rgb="FFFF0000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indexed="64"/>
      </patternFill>
    </fill>
    <fill>
      <patternFill patternType="lightHorizontal"/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7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" fillId="17" borderId="7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9" fillId="4" borderId="0" applyNumberFormat="0" applyBorder="0" applyAlignment="0" applyProtection="0"/>
    <xf numFmtId="0" fontId="20" fillId="22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3" borderId="0" applyNumberFormat="0" applyBorder="0" applyAlignment="0" applyProtection="0"/>
    <xf numFmtId="0" fontId="25" fillId="22" borderId="1" applyNumberFormat="0" applyAlignment="0" applyProtection="0"/>
    <xf numFmtId="164" fontId="1" fillId="0" borderId="0" applyFont="0" applyFill="0" applyBorder="0" applyAlignment="0" applyProtection="0"/>
  </cellStyleXfs>
  <cellXfs count="70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3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3" fontId="2" fillId="24" borderId="15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17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3" fillId="0" borderId="11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3" fontId="3" fillId="0" borderId="19" xfId="0" applyNumberFormat="1" applyFont="1" applyBorder="1" applyAlignment="1">
      <alignment vertical="center"/>
    </xf>
    <xf numFmtId="3" fontId="2" fillId="24" borderId="1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3" xfId="0" applyFont="1" applyFill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6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0" fontId="2" fillId="1" borderId="18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1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4" borderId="28" xfId="0" applyFont="1" applyFill="1" applyBorder="1" applyAlignment="1">
      <alignment horizontal="center" vertical="center"/>
    </xf>
    <xf numFmtId="0" fontId="2" fillId="24" borderId="19" xfId="0" applyFont="1" applyFill="1" applyBorder="1" applyAlignment="1">
      <alignment horizontal="center" vertical="center"/>
    </xf>
    <xf numFmtId="0" fontId="26" fillId="0" borderId="11" xfId="0" applyFont="1" applyBorder="1"/>
    <xf numFmtId="0" fontId="2" fillId="0" borderId="19" xfId="0" applyFont="1" applyBorder="1" applyAlignment="1">
      <alignment horizontal="center" vertical="center"/>
    </xf>
    <xf numFmtId="0" fontId="26" fillId="0" borderId="11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/>
    </xf>
    <xf numFmtId="0" fontId="2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horizontal="center" vertical="top"/>
    </xf>
    <xf numFmtId="0" fontId="2" fillId="25" borderId="10" xfId="0" applyFont="1" applyFill="1" applyBorder="1" applyAlignment="1">
      <alignment vertical="center" wrapText="1"/>
    </xf>
    <xf numFmtId="0" fontId="2" fillId="25" borderId="11" xfId="0" applyFont="1" applyFill="1" applyBorder="1" applyAlignment="1">
      <alignment horizontal="left" vertical="center" wrapText="1"/>
    </xf>
    <xf numFmtId="0" fontId="2" fillId="25" borderId="11" xfId="0" applyFont="1" applyFill="1" applyBorder="1" applyAlignment="1">
      <alignment horizontal="center" vertical="center"/>
    </xf>
    <xf numFmtId="3" fontId="2" fillId="25" borderId="12" xfId="0" applyNumberFormat="1" applyFont="1" applyFill="1" applyBorder="1" applyAlignment="1">
      <alignment horizontal="right" vertical="center"/>
    </xf>
    <xf numFmtId="0" fontId="2" fillId="0" borderId="36" xfId="0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center"/>
    </xf>
    <xf numFmtId="0" fontId="27" fillId="24" borderId="37" xfId="0" applyFont="1" applyFill="1" applyBorder="1" applyAlignment="1">
      <alignment horizontal="center" vertical="center"/>
    </xf>
    <xf numFmtId="43" fontId="2" fillId="24" borderId="37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vertical="center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165" fontId="2" fillId="0" borderId="25" xfId="0" applyNumberFormat="1" applyFont="1" applyBorder="1" applyAlignment="1">
      <alignment horizontal="right" vertical="center" wrapText="1"/>
    </xf>
    <xf numFmtId="0" fontId="3" fillId="0" borderId="4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65" fontId="2" fillId="0" borderId="31" xfId="0" applyNumberFormat="1" applyFont="1" applyBorder="1" applyAlignment="1">
      <alignment horizontal="right" vertical="center" wrapText="1"/>
    </xf>
    <xf numFmtId="0" fontId="3" fillId="0" borderId="42" xfId="0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/>
    </xf>
    <xf numFmtId="165" fontId="2" fillId="0" borderId="42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wrapText="1"/>
    </xf>
    <xf numFmtId="165" fontId="2" fillId="0" borderId="20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/>
    </xf>
    <xf numFmtId="43" fontId="2" fillId="24" borderId="44" xfId="0" applyNumberFormat="1" applyFont="1" applyFill="1" applyBorder="1" applyAlignment="1">
      <alignment horizontal="right" vertical="center" wrapText="1"/>
    </xf>
    <xf numFmtId="166" fontId="2" fillId="24" borderId="37" xfId="0" applyNumberFormat="1" applyFont="1" applyFill="1" applyBorder="1" applyAlignment="1">
      <alignment vertical="center"/>
    </xf>
    <xf numFmtId="43" fontId="2" fillId="24" borderId="37" xfId="0" applyNumberFormat="1" applyFont="1" applyFill="1" applyBorder="1" applyAlignment="1">
      <alignment vertical="center"/>
    </xf>
    <xf numFmtId="167" fontId="28" fillId="0" borderId="0" xfId="0" applyNumberFormat="1" applyFont="1" applyAlignment="1">
      <alignment horizontal="centerContinuous" vertical="center" wrapText="1"/>
    </xf>
    <xf numFmtId="167" fontId="30" fillId="0" borderId="0" xfId="0" applyNumberFormat="1" applyFont="1" applyAlignment="1">
      <alignment horizontal="right" vertical="center"/>
    </xf>
    <xf numFmtId="167" fontId="32" fillId="0" borderId="29" xfId="0" applyNumberFormat="1" applyFont="1" applyBorder="1" applyAlignment="1">
      <alignment horizontal="centerContinuous" vertical="center" wrapText="1"/>
    </xf>
    <xf numFmtId="167" fontId="32" fillId="0" borderId="26" xfId="0" applyNumberFormat="1" applyFont="1" applyBorder="1" applyAlignment="1">
      <alignment horizontal="centerContinuous" vertical="center" wrapText="1"/>
    </xf>
    <xf numFmtId="167" fontId="32" fillId="0" borderId="29" xfId="0" applyNumberFormat="1" applyFont="1" applyBorder="1" applyAlignment="1">
      <alignment horizontal="center" vertical="center" wrapText="1"/>
    </xf>
    <xf numFmtId="167" fontId="32" fillId="0" borderId="26" xfId="0" applyNumberFormat="1" applyFont="1" applyBorder="1" applyAlignment="1">
      <alignment horizontal="center" vertical="center" wrapText="1"/>
    </xf>
    <xf numFmtId="167" fontId="33" fillId="0" borderId="0" xfId="0" applyNumberFormat="1" applyFont="1" applyAlignment="1">
      <alignment horizontal="center" vertical="center" wrapText="1"/>
    </xf>
    <xf numFmtId="167" fontId="34" fillId="0" borderId="37" xfId="0" applyNumberFormat="1" applyFont="1" applyBorder="1" applyAlignment="1">
      <alignment horizontal="center" vertical="center" wrapText="1"/>
    </xf>
    <xf numFmtId="167" fontId="34" fillId="0" borderId="29" xfId="0" applyNumberFormat="1" applyFont="1" applyBorder="1" applyAlignment="1">
      <alignment horizontal="center" vertical="center" wrapText="1"/>
    </xf>
    <xf numFmtId="167" fontId="34" fillId="0" borderId="26" xfId="0" applyNumberFormat="1" applyFont="1" applyBorder="1" applyAlignment="1">
      <alignment horizontal="center" vertical="center" wrapText="1"/>
    </xf>
    <xf numFmtId="167" fontId="34" fillId="0" borderId="15" xfId="0" applyNumberFormat="1" applyFont="1" applyBorder="1" applyAlignment="1">
      <alignment horizontal="center" vertical="center" wrapText="1"/>
    </xf>
    <xf numFmtId="167" fontId="34" fillId="0" borderId="0" xfId="0" applyNumberFormat="1" applyFont="1" applyAlignment="1">
      <alignment horizontal="center" vertical="center" wrapText="1"/>
    </xf>
    <xf numFmtId="167" fontId="35" fillId="0" borderId="39" xfId="0" applyNumberFormat="1" applyFont="1" applyBorder="1" applyAlignment="1">
      <alignment horizontal="left" vertical="center" wrapText="1" indent="1"/>
    </xf>
    <xf numFmtId="167" fontId="35" fillId="0" borderId="45" xfId="0" applyNumberFormat="1" applyFont="1" applyBorder="1" applyAlignment="1" applyProtection="1">
      <alignment horizontal="right" vertical="center" wrapText="1" indent="1"/>
      <protection locked="0"/>
    </xf>
    <xf numFmtId="167" fontId="35" fillId="0" borderId="10" xfId="0" applyNumberFormat="1" applyFont="1" applyBorder="1" applyAlignment="1">
      <alignment horizontal="left" vertical="center" wrapText="1" indent="1"/>
    </xf>
    <xf numFmtId="167" fontId="35" fillId="0" borderId="11" xfId="0" applyNumberFormat="1" applyFont="1" applyBorder="1" applyAlignment="1" applyProtection="1">
      <alignment horizontal="right" vertical="center" wrapText="1" indent="1"/>
      <protection locked="0"/>
    </xf>
    <xf numFmtId="167" fontId="35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35" fillId="0" borderId="25" xfId="0" applyNumberFormat="1" applyFont="1" applyBorder="1" applyAlignment="1">
      <alignment horizontal="left" vertical="center" wrapText="1" indent="1"/>
    </xf>
    <xf numFmtId="167" fontId="35" fillId="0" borderId="18" xfId="0" applyNumberFormat="1" applyFont="1" applyBorder="1" applyAlignment="1" applyProtection="1">
      <alignment horizontal="right" vertical="center" wrapText="1" indent="1"/>
      <protection locked="0"/>
    </xf>
    <xf numFmtId="167" fontId="35" fillId="0" borderId="10" xfId="0" applyNumberFormat="1" applyFont="1" applyBorder="1" applyAlignment="1" applyProtection="1">
      <alignment horizontal="left" vertical="center" wrapText="1" indent="1"/>
      <protection locked="0"/>
    </xf>
    <xf numFmtId="167" fontId="36" fillId="0" borderId="0" xfId="0" applyNumberFormat="1" applyFont="1" applyAlignment="1">
      <alignment horizontal="left" vertical="center" wrapText="1" indent="1"/>
    </xf>
    <xf numFmtId="167" fontId="35" fillId="0" borderId="19" xfId="0" applyNumberFormat="1" applyFont="1" applyBorder="1" applyAlignment="1" applyProtection="1">
      <alignment horizontal="right" vertical="center" wrapText="1" indent="1"/>
      <protection locked="0"/>
    </xf>
    <xf numFmtId="167" fontId="35" fillId="0" borderId="47" xfId="0" applyNumberFormat="1" applyFont="1" applyBorder="1" applyAlignment="1" applyProtection="1">
      <alignment horizontal="right" vertical="center" wrapText="1" indent="1"/>
      <protection locked="0"/>
    </xf>
    <xf numFmtId="167" fontId="37" fillId="0" borderId="37" xfId="0" applyNumberFormat="1" applyFont="1" applyBorder="1" applyAlignment="1">
      <alignment horizontal="left" vertical="center" wrapText="1" indent="1"/>
    </xf>
    <xf numFmtId="167" fontId="34" fillId="0" borderId="29" xfId="0" applyNumberFormat="1" applyFont="1" applyBorder="1" applyAlignment="1">
      <alignment horizontal="left" vertical="center" wrapText="1" indent="1"/>
    </xf>
    <xf numFmtId="167" fontId="34" fillId="0" borderId="26" xfId="0" applyNumberFormat="1" applyFont="1" applyBorder="1" applyAlignment="1">
      <alignment horizontal="right" vertical="center" wrapText="1" indent="1"/>
    </xf>
    <xf numFmtId="167" fontId="34" fillId="0" borderId="15" xfId="0" applyNumberFormat="1" applyFont="1" applyBorder="1" applyAlignment="1">
      <alignment horizontal="right" vertical="center" wrapText="1" indent="1"/>
    </xf>
    <xf numFmtId="167" fontId="38" fillId="0" borderId="41" xfId="0" applyNumberFormat="1" applyFont="1" applyBorder="1" applyAlignment="1">
      <alignment horizontal="left" vertical="center" wrapText="1" indent="1"/>
    </xf>
    <xf numFmtId="167" fontId="36" fillId="0" borderId="48" xfId="0" applyNumberFormat="1" applyFont="1" applyBorder="1" applyAlignment="1">
      <alignment horizontal="left" vertical="center" wrapText="1" indent="1"/>
    </xf>
    <xf numFmtId="167" fontId="36" fillId="0" borderId="10" xfId="0" applyNumberFormat="1" applyFont="1" applyBorder="1" applyAlignment="1">
      <alignment horizontal="left" vertical="center" wrapText="1" indent="1"/>
    </xf>
    <xf numFmtId="167" fontId="38" fillId="0" borderId="42" xfId="0" applyNumberFormat="1" applyFont="1" applyBorder="1" applyAlignment="1">
      <alignment horizontal="left" vertical="center" wrapText="1" indent="1"/>
    </xf>
    <xf numFmtId="167" fontId="36" fillId="0" borderId="11" xfId="0" applyNumberFormat="1" applyFont="1" applyBorder="1" applyAlignment="1" applyProtection="1">
      <alignment horizontal="right" vertical="center" wrapText="1" indent="1"/>
      <protection locked="0"/>
    </xf>
    <xf numFmtId="167" fontId="36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39" fillId="0" borderId="11" xfId="0" applyNumberFormat="1" applyFont="1" applyBorder="1" applyAlignment="1">
      <alignment horizontal="right" vertical="center" wrapText="1" indent="1"/>
    </xf>
    <xf numFmtId="167" fontId="36" fillId="0" borderId="36" xfId="0" applyNumberFormat="1" applyFont="1" applyBorder="1" applyAlignment="1" applyProtection="1">
      <alignment horizontal="right" vertical="center" wrapText="1" indent="1"/>
      <protection locked="0"/>
    </xf>
    <xf numFmtId="167" fontId="31" fillId="0" borderId="29" xfId="0" applyNumberFormat="1" applyFont="1" applyBorder="1" applyAlignment="1">
      <alignment horizontal="left" vertical="center" wrapText="1" indent="1"/>
    </xf>
    <xf numFmtId="167" fontId="34" fillId="0" borderId="26" xfId="0" applyNumberFormat="1" applyFont="1" applyBorder="1" applyAlignment="1" applyProtection="1">
      <alignment horizontal="right" vertical="center" wrapText="1" indent="1"/>
      <protection locked="0"/>
    </xf>
    <xf numFmtId="167" fontId="34" fillId="0" borderId="15" xfId="0" applyNumberFormat="1" applyFont="1" applyBorder="1" applyAlignment="1" applyProtection="1">
      <alignment horizontal="right" vertical="center" wrapText="1" indent="1"/>
      <protection locked="0"/>
    </xf>
    <xf numFmtId="167" fontId="37" fillId="0" borderId="29" xfId="0" applyNumberFormat="1" applyFont="1" applyBorder="1" applyAlignment="1">
      <alignment horizontal="left" vertical="center" wrapText="1" indent="1"/>
    </xf>
    <xf numFmtId="167" fontId="37" fillId="0" borderId="50" xfId="0" applyNumberFormat="1" applyFont="1" applyBorder="1" applyAlignment="1">
      <alignment horizontal="right" vertical="center" wrapText="1" indent="1"/>
    </xf>
    <xf numFmtId="167" fontId="35" fillId="0" borderId="10" xfId="0" quotePrefix="1" applyNumberFormat="1" applyFont="1" applyBorder="1" applyAlignment="1">
      <alignment horizontal="left" vertical="center" wrapText="1" indent="6"/>
    </xf>
    <xf numFmtId="167" fontId="36" fillId="0" borderId="10" xfId="0" quotePrefix="1" applyNumberFormat="1" applyFont="1" applyBorder="1" applyAlignment="1">
      <alignment horizontal="left" vertical="center" wrapText="1" indent="6"/>
    </xf>
    <xf numFmtId="167" fontId="35" fillId="0" borderId="10" xfId="0" quotePrefix="1" applyNumberFormat="1" applyFont="1" applyBorder="1" applyAlignment="1">
      <alignment horizontal="left" vertical="center" wrapText="1" indent="3"/>
    </xf>
    <xf numFmtId="167" fontId="35" fillId="0" borderId="48" xfId="0" applyNumberFormat="1" applyFont="1" applyBorder="1" applyAlignment="1">
      <alignment horizontal="left" vertical="center" wrapText="1" indent="1"/>
    </xf>
    <xf numFmtId="167" fontId="35" fillId="0" borderId="40" xfId="0" applyNumberFormat="1" applyFont="1" applyBorder="1" applyAlignment="1" applyProtection="1">
      <alignment horizontal="right" vertical="center" wrapText="1" indent="1"/>
      <protection locked="0"/>
    </xf>
    <xf numFmtId="167" fontId="38" fillId="0" borderId="51" xfId="0" applyNumberFormat="1" applyFont="1" applyBorder="1" applyAlignment="1">
      <alignment horizontal="left" vertical="center" wrapText="1" indent="1"/>
    </xf>
    <xf numFmtId="167" fontId="39" fillId="0" borderId="48" xfId="0" applyNumberFormat="1" applyFont="1" applyBorder="1" applyAlignment="1">
      <alignment horizontal="left" vertical="center" wrapText="1" indent="1"/>
    </xf>
    <xf numFmtId="167" fontId="39" fillId="0" borderId="17" xfId="0" applyNumberFormat="1" applyFont="1" applyBorder="1" applyAlignment="1">
      <alignment horizontal="right" vertical="center" wrapText="1" indent="1"/>
    </xf>
    <xf numFmtId="167" fontId="36" fillId="0" borderId="45" xfId="0" applyNumberFormat="1" applyFont="1" applyBorder="1" applyAlignment="1" applyProtection="1">
      <alignment horizontal="right" vertical="center" wrapText="1" indent="1"/>
      <protection locked="0"/>
    </xf>
    <xf numFmtId="167" fontId="36" fillId="0" borderId="10" xfId="0" applyNumberFormat="1" applyFont="1" applyBorder="1" applyAlignment="1">
      <alignment horizontal="left" vertical="center" wrapText="1" indent="2"/>
    </xf>
    <xf numFmtId="167" fontId="36" fillId="0" borderId="11" xfId="0" applyNumberFormat="1" applyFont="1" applyBorder="1" applyAlignment="1">
      <alignment horizontal="left" vertical="center" wrapText="1" indent="2"/>
    </xf>
    <xf numFmtId="167" fontId="39" fillId="0" borderId="11" xfId="0" applyNumberFormat="1" applyFont="1" applyBorder="1" applyAlignment="1">
      <alignment horizontal="left" vertical="center" wrapText="1" indent="1"/>
    </xf>
    <xf numFmtId="167" fontId="36" fillId="0" borderId="39" xfId="0" applyNumberFormat="1" applyFont="1" applyBorder="1" applyAlignment="1">
      <alignment horizontal="left" vertical="center" wrapText="1" indent="1"/>
    </xf>
    <xf numFmtId="167" fontId="36" fillId="0" borderId="39" xfId="0" applyNumberFormat="1" applyFont="1" applyBorder="1" applyAlignment="1" applyProtection="1">
      <alignment horizontal="left" vertical="center" wrapText="1" indent="1"/>
      <protection locked="0"/>
    </xf>
    <xf numFmtId="167" fontId="35" fillId="0" borderId="39" xfId="0" applyNumberFormat="1" applyFont="1" applyBorder="1" applyAlignment="1" applyProtection="1">
      <alignment horizontal="left" vertical="center" wrapText="1" indent="1"/>
      <protection locked="0"/>
    </xf>
    <xf numFmtId="167" fontId="35" fillId="0" borderId="39" xfId="0" applyNumberFormat="1" applyFont="1" applyBorder="1" applyAlignment="1">
      <alignment horizontal="left" vertical="center" wrapText="1" indent="2"/>
    </xf>
    <xf numFmtId="167" fontId="35" fillId="0" borderId="46" xfId="0" applyNumberFormat="1" applyFont="1" applyBorder="1" applyAlignment="1">
      <alignment horizontal="left" vertical="center" wrapText="1" indent="2"/>
    </xf>
    <xf numFmtId="3" fontId="2" fillId="0" borderId="0" xfId="0" applyNumberFormat="1" applyFont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19" xfId="0" applyNumberFormat="1" applyFont="1" applyFill="1" applyBorder="1" applyAlignment="1">
      <alignment horizontal="center" vertical="center" wrapText="1"/>
    </xf>
    <xf numFmtId="3" fontId="3" fillId="0" borderId="52" xfId="0" applyNumberFormat="1" applyFont="1" applyBorder="1" applyAlignment="1">
      <alignment vertical="center"/>
    </xf>
    <xf numFmtId="3" fontId="2" fillId="24" borderId="37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vertical="center"/>
    </xf>
    <xf numFmtId="3" fontId="2" fillId="0" borderId="54" xfId="0" applyNumberFormat="1" applyFont="1" applyBorder="1" applyAlignment="1">
      <alignment vertical="center"/>
    </xf>
    <xf numFmtId="3" fontId="3" fillId="0" borderId="54" xfId="0" applyNumberFormat="1" applyFont="1" applyBorder="1" applyAlignment="1">
      <alignment vertical="center"/>
    </xf>
    <xf numFmtId="3" fontId="3" fillId="1" borderId="54" xfId="0" applyNumberFormat="1" applyFont="1" applyFill="1" applyBorder="1" applyAlignment="1">
      <alignment vertical="center"/>
    </xf>
    <xf numFmtId="3" fontId="3" fillId="0" borderId="5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24" borderId="37" xfId="0" applyFont="1" applyFill="1" applyBorder="1" applyAlignment="1">
      <alignment vertical="center"/>
    </xf>
    <xf numFmtId="0" fontId="43" fillId="0" borderId="0" xfId="0" applyFont="1"/>
    <xf numFmtId="0" fontId="44" fillId="0" borderId="0" xfId="0" applyFont="1"/>
    <xf numFmtId="0" fontId="0" fillId="0" borderId="0" xfId="0" applyAlignment="1">
      <alignment horizontal="center" vertical="center"/>
    </xf>
    <xf numFmtId="0" fontId="45" fillId="0" borderId="1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1" fillId="0" borderId="11" xfId="0" applyFont="1" applyBorder="1" applyAlignment="1">
      <alignment horizontal="center" vertical="top" wrapText="1"/>
    </xf>
    <xf numFmtId="0" fontId="41" fillId="0" borderId="11" xfId="0" applyFont="1" applyBorder="1" applyAlignment="1">
      <alignment horizontal="left" vertical="top" wrapText="1"/>
    </xf>
    <xf numFmtId="3" fontId="41" fillId="0" borderId="11" xfId="0" applyNumberFormat="1" applyFont="1" applyBorder="1" applyAlignment="1">
      <alignment horizontal="right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45" fillId="0" borderId="11" xfId="0" applyFont="1" applyBorder="1" applyAlignment="1">
      <alignment horizontal="center" vertical="top" wrapText="1"/>
    </xf>
    <xf numFmtId="0" fontId="0" fillId="0" borderId="11" xfId="0" applyBorder="1"/>
    <xf numFmtId="0" fontId="44" fillId="0" borderId="11" xfId="0" applyFont="1" applyBorder="1"/>
    <xf numFmtId="3" fontId="40" fillId="24" borderId="11" xfId="0" applyNumberFormat="1" applyFont="1" applyFill="1" applyBorder="1" applyAlignment="1">
      <alignment horizontal="center" vertical="center" wrapText="1"/>
    </xf>
    <xf numFmtId="3" fontId="42" fillId="24" borderId="11" xfId="0" applyNumberFormat="1" applyFont="1" applyFill="1" applyBorder="1" applyAlignment="1">
      <alignment horizontal="right" vertical="center" wrapText="1"/>
    </xf>
    <xf numFmtId="3" fontId="42" fillId="27" borderId="11" xfId="0" applyNumberFormat="1" applyFont="1" applyFill="1" applyBorder="1" applyAlignment="1">
      <alignment horizontal="right" vertical="center" wrapText="1"/>
    </xf>
    <xf numFmtId="3" fontId="43" fillId="28" borderId="11" xfId="0" applyNumberFormat="1" applyFont="1" applyFill="1" applyBorder="1" applyAlignment="1">
      <alignment horizontal="right"/>
    </xf>
    <xf numFmtId="3" fontId="47" fillId="28" borderId="11" xfId="0" applyNumberFormat="1" applyFont="1" applyFill="1" applyBorder="1" applyAlignment="1">
      <alignment horizontal="right"/>
    </xf>
    <xf numFmtId="0" fontId="47" fillId="0" borderId="0" xfId="0" applyFont="1"/>
    <xf numFmtId="0" fontId="44" fillId="0" borderId="1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167" fontId="35" fillId="0" borderId="17" xfId="0" applyNumberFormat="1" applyFont="1" applyBorder="1" applyAlignment="1" applyProtection="1">
      <alignment horizontal="right" vertical="center" wrapText="1" indent="1"/>
      <protection locked="0"/>
    </xf>
    <xf numFmtId="167" fontId="39" fillId="0" borderId="36" xfId="0" applyNumberFormat="1" applyFont="1" applyBorder="1" applyAlignment="1">
      <alignment horizontal="right" vertical="center" wrapText="1" indent="1"/>
    </xf>
    <xf numFmtId="167" fontId="1" fillId="0" borderId="0" xfId="0" applyNumberFormat="1" applyFont="1" applyAlignment="1">
      <alignment vertical="center" wrapText="1"/>
    </xf>
    <xf numFmtId="167" fontId="44" fillId="0" borderId="0" xfId="0" applyNumberFormat="1" applyFont="1" applyAlignment="1">
      <alignment horizontal="centerContinuous" vertical="center"/>
    </xf>
    <xf numFmtId="167" fontId="44" fillId="0" borderId="0" xfId="0" applyNumberFormat="1" applyFont="1" applyAlignment="1">
      <alignment vertical="center" wrapText="1"/>
    </xf>
    <xf numFmtId="167" fontId="44" fillId="0" borderId="0" xfId="0" applyNumberFormat="1" applyFont="1" applyAlignment="1">
      <alignment horizontal="center" vertical="center" wrapText="1"/>
    </xf>
    <xf numFmtId="167" fontId="44" fillId="0" borderId="51" xfId="0" applyNumberFormat="1" applyFont="1" applyBorder="1" applyAlignment="1">
      <alignment horizontal="left" vertical="center" wrapText="1" indent="1"/>
    </xf>
    <xf numFmtId="167" fontId="44" fillId="0" borderId="42" xfId="0" applyNumberFormat="1" applyFont="1" applyBorder="1" applyAlignment="1">
      <alignment horizontal="left" vertical="center" wrapText="1" indent="1"/>
    </xf>
    <xf numFmtId="167" fontId="35" fillId="0" borderId="49" xfId="0" applyNumberFormat="1" applyFont="1" applyBorder="1" applyAlignment="1" applyProtection="1">
      <alignment horizontal="right" vertical="center" wrapText="1" indent="1"/>
      <protection locked="0"/>
    </xf>
    <xf numFmtId="3" fontId="27" fillId="26" borderId="11" xfId="0" applyNumberFormat="1" applyFont="1" applyFill="1" applyBorder="1" applyAlignment="1">
      <alignment horizontal="right" vertical="top" wrapText="1"/>
    </xf>
    <xf numFmtId="3" fontId="27" fillId="24" borderId="11" xfId="0" applyNumberFormat="1" applyFont="1" applyFill="1" applyBorder="1" applyAlignment="1">
      <alignment horizontal="right" vertical="center" wrapText="1"/>
    </xf>
    <xf numFmtId="3" fontId="27" fillId="24" borderId="11" xfId="0" applyNumberFormat="1" applyFont="1" applyFill="1" applyBorder="1" applyAlignment="1">
      <alignment horizontal="right" vertical="top" wrapText="1"/>
    </xf>
    <xf numFmtId="3" fontId="27" fillId="27" borderId="11" xfId="0" applyNumberFormat="1" applyFont="1" applyFill="1" applyBorder="1" applyAlignment="1">
      <alignment horizontal="right" vertical="center" wrapText="1"/>
    </xf>
    <xf numFmtId="0" fontId="42" fillId="0" borderId="11" xfId="0" applyFont="1" applyBorder="1" applyAlignment="1">
      <alignment horizontal="left" vertical="center" wrapText="1"/>
    </xf>
    <xf numFmtId="0" fontId="48" fillId="0" borderId="0" xfId="0" applyFont="1"/>
    <xf numFmtId="167" fontId="0" fillId="0" borderId="0" xfId="0" applyNumberFormat="1" applyAlignment="1">
      <alignment horizontal="centerContinuous" vertical="center"/>
    </xf>
    <xf numFmtId="167" fontId="0" fillId="0" borderId="0" xfId="0" applyNumberFormat="1" applyAlignment="1">
      <alignment vertical="center" wrapText="1"/>
    </xf>
    <xf numFmtId="0" fontId="49" fillId="0" borderId="0" xfId="0" applyFont="1" applyAlignment="1">
      <alignment horizontal="center" vertical="center"/>
    </xf>
    <xf numFmtId="0" fontId="0" fillId="0" borderId="11" xfId="0" applyBorder="1" applyAlignment="1">
      <alignment horizontal="center"/>
    </xf>
    <xf numFmtId="3" fontId="27" fillId="29" borderId="11" xfId="0" applyNumberFormat="1" applyFont="1" applyFill="1" applyBorder="1" applyAlignment="1">
      <alignment horizontal="center" vertical="center" wrapText="1"/>
    </xf>
    <xf numFmtId="3" fontId="27" fillId="29" borderId="11" xfId="0" applyNumberFormat="1" applyFont="1" applyFill="1" applyBorder="1" applyAlignment="1">
      <alignment horizontal="right" vertical="center" wrapText="1"/>
    </xf>
    <xf numFmtId="3" fontId="2" fillId="24" borderId="11" xfId="0" applyNumberFormat="1" applyFont="1" applyFill="1" applyBorder="1" applyAlignment="1">
      <alignment vertical="center"/>
    </xf>
    <xf numFmtId="0" fontId="2" fillId="24" borderId="29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left" vertical="center"/>
    </xf>
    <xf numFmtId="167" fontId="32" fillId="0" borderId="76" xfId="0" applyNumberFormat="1" applyFont="1" applyBorder="1" applyAlignment="1">
      <alignment horizontal="centerContinuous" vertical="center"/>
    </xf>
    <xf numFmtId="167" fontId="32" fillId="0" borderId="24" xfId="0" applyNumberFormat="1" applyFont="1" applyBorder="1" applyAlignment="1">
      <alignment horizontal="centerContinuous" vertical="center"/>
    </xf>
    <xf numFmtId="167" fontId="32" fillId="0" borderId="53" xfId="0" applyNumberFormat="1" applyFont="1" applyBorder="1" applyAlignment="1">
      <alignment horizontal="centerContinuous" vertical="center"/>
    </xf>
    <xf numFmtId="167" fontId="51" fillId="0" borderId="0" xfId="0" applyNumberFormat="1" applyFont="1" applyAlignment="1">
      <alignment vertical="center"/>
    </xf>
    <xf numFmtId="167" fontId="32" fillId="0" borderId="28" xfId="0" applyNumberFormat="1" applyFont="1" applyBorder="1" applyAlignment="1">
      <alignment horizontal="center" vertical="center"/>
    </xf>
    <xf numFmtId="167" fontId="32" fillId="0" borderId="68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 wrapText="1"/>
    </xf>
    <xf numFmtId="167" fontId="51" fillId="0" borderId="0" xfId="0" applyNumberFormat="1" applyFont="1" applyAlignment="1">
      <alignment horizontal="center" vertical="center"/>
    </xf>
    <xf numFmtId="167" fontId="52" fillId="0" borderId="44" xfId="0" applyNumberFormat="1" applyFont="1" applyBorder="1" applyAlignment="1">
      <alignment horizontal="center" vertical="center" wrapText="1"/>
    </xf>
    <xf numFmtId="167" fontId="52" fillId="0" borderId="26" xfId="0" applyNumberFormat="1" applyFont="1" applyBorder="1" applyAlignment="1">
      <alignment horizontal="center" vertical="center" wrapText="1"/>
    </xf>
    <xf numFmtId="167" fontId="52" fillId="0" borderId="72" xfId="0" applyNumberFormat="1" applyFont="1" applyBorder="1" applyAlignment="1">
      <alignment horizontal="center" vertical="center" wrapText="1"/>
    </xf>
    <xf numFmtId="167" fontId="52" fillId="0" borderId="41" xfId="0" applyNumberFormat="1" applyFont="1" applyBorder="1" applyAlignment="1">
      <alignment horizontal="center" vertical="center" wrapText="1"/>
    </xf>
    <xf numFmtId="167" fontId="52" fillId="0" borderId="0" xfId="0" applyNumberFormat="1" applyFont="1" applyAlignment="1">
      <alignment horizontal="center" vertical="center" wrapText="1"/>
    </xf>
    <xf numFmtId="167" fontId="52" fillId="0" borderId="73" xfId="0" applyNumberFormat="1" applyFont="1" applyBorder="1" applyAlignment="1">
      <alignment horizontal="right" vertical="center" wrapText="1" indent="1"/>
    </xf>
    <xf numFmtId="167" fontId="34" fillId="0" borderId="22" xfId="0" applyNumberFormat="1" applyFont="1" applyBorder="1" applyAlignment="1">
      <alignment horizontal="left" vertical="center" wrapText="1" indent="1"/>
    </xf>
    <xf numFmtId="1" fontId="37" fillId="30" borderId="22" xfId="0" applyNumberFormat="1" applyFont="1" applyFill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 wrapText="1"/>
    </xf>
    <xf numFmtId="167" fontId="34" fillId="0" borderId="76" xfId="0" applyNumberFormat="1" applyFont="1" applyBorder="1" applyAlignment="1">
      <alignment vertical="center" wrapText="1"/>
    </xf>
    <xf numFmtId="167" fontId="34" fillId="0" borderId="60" xfId="0" applyNumberFormat="1" applyFont="1" applyBorder="1" applyAlignment="1">
      <alignment vertical="center" wrapText="1"/>
    </xf>
    <xf numFmtId="167" fontId="52" fillId="0" borderId="10" xfId="0" applyNumberFormat="1" applyFont="1" applyBorder="1" applyAlignment="1">
      <alignment horizontal="right" vertical="center" wrapText="1" indent="1"/>
    </xf>
    <xf numFmtId="167" fontId="35" fillId="0" borderId="11" xfId="0" applyNumberFormat="1" applyFont="1" applyBorder="1" applyAlignment="1" applyProtection="1">
      <alignment horizontal="left" vertical="center" wrapText="1" indent="1"/>
      <protection locked="0"/>
    </xf>
    <xf numFmtId="1" fontId="53" fillId="0" borderId="11" xfId="0" applyNumberFormat="1" applyFont="1" applyBorder="1" applyAlignment="1" applyProtection="1">
      <alignment horizontal="center" vertical="center" wrapText="1"/>
      <protection locked="0"/>
    </xf>
    <xf numFmtId="167" fontId="35" fillId="0" borderId="11" xfId="0" applyNumberFormat="1" applyFont="1" applyBorder="1" applyAlignment="1" applyProtection="1">
      <alignment vertical="center" wrapText="1"/>
      <protection locked="0"/>
    </xf>
    <xf numFmtId="167" fontId="35" fillId="0" borderId="18" xfId="0" applyNumberFormat="1" applyFont="1" applyBorder="1" applyAlignment="1" applyProtection="1">
      <alignment vertical="center" wrapText="1"/>
      <protection locked="0"/>
    </xf>
    <xf numFmtId="167" fontId="35" fillId="0" borderId="42" xfId="0" applyNumberFormat="1" applyFont="1" applyBorder="1" applyAlignment="1">
      <alignment vertical="center" wrapText="1"/>
    </xf>
    <xf numFmtId="167" fontId="34" fillId="0" borderId="11" xfId="0" applyNumberFormat="1" applyFont="1" applyBorder="1" applyAlignment="1">
      <alignment horizontal="left" vertical="center" wrapText="1" indent="1"/>
    </xf>
    <xf numFmtId="1" fontId="37" fillId="30" borderId="11" xfId="0" applyNumberFormat="1" applyFont="1" applyFill="1" applyBorder="1" applyAlignment="1">
      <alignment horizontal="center" vertical="center" wrapText="1"/>
    </xf>
    <xf numFmtId="167" fontId="34" fillId="0" borderId="11" xfId="0" applyNumberFormat="1" applyFont="1" applyBorder="1" applyAlignment="1">
      <alignment vertical="center" wrapText="1"/>
    </xf>
    <xf numFmtId="167" fontId="34" fillId="0" borderId="18" xfId="0" applyNumberFormat="1" applyFont="1" applyBorder="1" applyAlignment="1">
      <alignment vertical="center" wrapText="1"/>
    </xf>
    <xf numFmtId="167" fontId="34" fillId="0" borderId="42" xfId="0" applyNumberFormat="1" applyFont="1" applyBorder="1" applyAlignment="1">
      <alignment vertical="center" wrapText="1"/>
    </xf>
    <xf numFmtId="167" fontId="52" fillId="0" borderId="11" xfId="0" applyNumberFormat="1" applyFont="1" applyBorder="1" applyAlignment="1">
      <alignment horizontal="left" vertical="center" wrapText="1" indent="1"/>
    </xf>
    <xf numFmtId="167" fontId="52" fillId="0" borderId="48" xfId="0" applyNumberFormat="1" applyFont="1" applyBorder="1" applyAlignment="1">
      <alignment horizontal="right" vertical="center" wrapText="1" indent="1"/>
    </xf>
    <xf numFmtId="167" fontId="34" fillId="0" borderId="36" xfId="0" applyNumberFormat="1" applyFont="1" applyBorder="1" applyAlignment="1" applyProtection="1">
      <alignment horizontal="left" vertical="center" wrapText="1" indent="1"/>
      <protection locked="0"/>
    </xf>
    <xf numFmtId="1" fontId="37" fillId="30" borderId="19" xfId="0" applyNumberFormat="1" applyFont="1" applyFill="1" applyBorder="1" applyAlignment="1">
      <alignment horizontal="center" vertical="center" wrapText="1"/>
    </xf>
    <xf numFmtId="167" fontId="34" fillId="0" borderId="36" xfId="0" applyNumberFormat="1" applyFont="1" applyBorder="1" applyAlignment="1">
      <alignment vertical="center" wrapText="1"/>
    </xf>
    <xf numFmtId="167" fontId="34" fillId="0" borderId="40" xfId="0" applyNumberFormat="1" applyFont="1" applyBorder="1" applyAlignment="1">
      <alignment vertical="center" wrapText="1"/>
    </xf>
    <xf numFmtId="1" fontId="53" fillId="0" borderId="40" xfId="0" applyNumberFormat="1" applyFont="1" applyBorder="1" applyAlignment="1" applyProtection="1">
      <alignment horizontal="center" vertical="center" wrapText="1"/>
      <protection locked="0"/>
    </xf>
    <xf numFmtId="167" fontId="35" fillId="0" borderId="36" xfId="0" applyNumberFormat="1" applyFont="1" applyBorder="1" applyAlignment="1" applyProtection="1">
      <alignment vertical="center" wrapText="1"/>
      <protection locked="0"/>
    </xf>
    <xf numFmtId="167" fontId="35" fillId="0" borderId="40" xfId="0" applyNumberFormat="1" applyFont="1" applyBorder="1" applyAlignment="1" applyProtection="1">
      <alignment vertical="center" wrapText="1"/>
      <protection locked="0"/>
    </xf>
    <xf numFmtId="167" fontId="52" fillId="0" borderId="29" xfId="0" applyNumberFormat="1" applyFont="1" applyBorder="1" applyAlignment="1">
      <alignment horizontal="right" vertical="center" wrapText="1" indent="1"/>
    </xf>
    <xf numFmtId="167" fontId="52" fillId="0" borderId="26" xfId="0" applyNumberFormat="1" applyFont="1" applyBorder="1" applyAlignment="1">
      <alignment horizontal="left" vertical="center" wrapText="1" indent="1"/>
    </xf>
    <xf numFmtId="1" fontId="35" fillId="30" borderId="72" xfId="0" applyNumberFormat="1" applyFont="1" applyFill="1" applyBorder="1" applyAlignment="1">
      <alignment vertical="center" wrapText="1"/>
    </xf>
    <xf numFmtId="167" fontId="34" fillId="0" borderId="26" xfId="0" applyNumberFormat="1" applyFont="1" applyBorder="1" applyAlignment="1">
      <alignment vertical="center" wrapText="1"/>
    </xf>
    <xf numFmtId="167" fontId="34" fillId="0" borderId="37" xfId="0" applyNumberFormat="1" applyFont="1" applyBorder="1" applyAlignment="1">
      <alignment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27" fillId="29" borderId="14" xfId="0" applyFont="1" applyFill="1" applyBorder="1" applyAlignment="1">
      <alignment horizontal="left" vertical="center" wrapText="1"/>
    </xf>
    <xf numFmtId="0" fontId="43" fillId="28" borderId="11" xfId="0" applyFont="1" applyFill="1" applyBorder="1" applyAlignment="1">
      <alignment horizontal="left"/>
    </xf>
    <xf numFmtId="0" fontId="2" fillId="0" borderId="48" xfId="0" applyFont="1" applyBorder="1" applyAlignment="1">
      <alignment horizontal="center" vertical="top"/>
    </xf>
    <xf numFmtId="0" fontId="0" fillId="0" borderId="0" xfId="0" applyFont="1"/>
    <xf numFmtId="3" fontId="41" fillId="24" borderId="1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41" fillId="0" borderId="11" xfId="0" applyFont="1" applyBorder="1" applyAlignment="1">
      <alignment horizontal="right" vertical="top" wrapText="1"/>
    </xf>
    <xf numFmtId="0" fontId="27" fillId="26" borderId="11" xfId="0" applyFont="1" applyFill="1" applyBorder="1" applyAlignment="1">
      <alignment horizontal="left" vertical="top" wrapText="1"/>
    </xf>
    <xf numFmtId="0" fontId="41" fillId="0" borderId="11" xfId="0" applyFont="1" applyBorder="1" applyAlignment="1">
      <alignment horizontal="left" vertical="center" wrapText="1"/>
    </xf>
    <xf numFmtId="0" fontId="41" fillId="0" borderId="11" xfId="0" applyFont="1" applyBorder="1" applyAlignment="1">
      <alignment horizontal="right" vertical="center"/>
    </xf>
    <xf numFmtId="0" fontId="27" fillId="24" borderId="11" xfId="0" applyFont="1" applyFill="1" applyBorder="1" applyAlignment="1">
      <alignment horizontal="left" vertical="center" wrapText="1"/>
    </xf>
    <xf numFmtId="0" fontId="27" fillId="26" borderId="11" xfId="0" applyFont="1" applyFill="1" applyBorder="1" applyAlignment="1">
      <alignment horizontal="right" vertical="top" wrapText="1"/>
    </xf>
    <xf numFmtId="0" fontId="27" fillId="27" borderId="11" xfId="0" applyFont="1" applyFill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3" fontId="0" fillId="0" borderId="0" xfId="0" applyNumberFormat="1" applyFont="1"/>
    <xf numFmtId="0" fontId="27" fillId="24" borderId="11" xfId="0" applyFont="1" applyFill="1" applyBorder="1" applyAlignment="1">
      <alignment horizontal="right" vertical="center" wrapText="1"/>
    </xf>
    <xf numFmtId="0" fontId="27" fillId="29" borderId="14" xfId="0" applyFont="1" applyFill="1" applyBorder="1" applyAlignment="1">
      <alignment horizontal="right" vertical="center" wrapText="1"/>
    </xf>
    <xf numFmtId="0" fontId="27" fillId="27" borderId="59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 vertical="top"/>
    </xf>
    <xf numFmtId="0" fontId="0" fillId="0" borderId="11" xfId="0" applyFont="1" applyBorder="1"/>
    <xf numFmtId="0" fontId="2" fillId="0" borderId="70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19" xfId="0" applyFont="1" applyBorder="1" applyAlignment="1">
      <alignment vertical="top"/>
    </xf>
    <xf numFmtId="0" fontId="2" fillId="0" borderId="36" xfId="0" applyFont="1" applyBorder="1" applyAlignment="1">
      <alignment vertical="top"/>
    </xf>
    <xf numFmtId="0" fontId="2" fillId="0" borderId="48" xfId="0" applyFont="1" applyFill="1" applyBorder="1" applyAlignment="1">
      <alignment horizontal="center" vertical="top"/>
    </xf>
    <xf numFmtId="0" fontId="2" fillId="0" borderId="3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3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26" fillId="0" borderId="17" xfId="0" applyFont="1" applyFill="1" applyBorder="1"/>
    <xf numFmtId="167" fontId="32" fillId="0" borderId="56" xfId="0" applyNumberFormat="1" applyFont="1" applyBorder="1" applyAlignment="1">
      <alignment horizontal="centerContinuous" vertical="center" wrapText="1"/>
    </xf>
    <xf numFmtId="3" fontId="41" fillId="0" borderId="11" xfId="0" applyNumberFormat="1" applyFont="1" applyBorder="1" applyAlignment="1">
      <alignment horizontal="right" vertical="center"/>
    </xf>
    <xf numFmtId="167" fontId="54" fillId="0" borderId="11" xfId="0" applyNumberFormat="1" applyFont="1" applyBorder="1" applyAlignment="1" applyProtection="1">
      <alignment horizontal="right" vertical="center" wrapText="1" indent="1"/>
      <protection locked="0"/>
    </xf>
    <xf numFmtId="0" fontId="2" fillId="1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50" fillId="0" borderId="0" xfId="0" applyNumberFormat="1" applyFont="1" applyAlignment="1">
      <alignment horizontal="right" vertical="center"/>
    </xf>
    <xf numFmtId="0" fontId="50" fillId="0" borderId="71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167" fontId="0" fillId="0" borderId="0" xfId="0" applyNumberFormat="1" applyFont="1" applyAlignment="1">
      <alignment horizontal="center" vertical="center" wrapText="1"/>
    </xf>
    <xf numFmtId="167" fontId="0" fillId="0" borderId="0" xfId="0" applyNumberFormat="1" applyFont="1" applyAlignment="1">
      <alignment vertical="center" wrapText="1"/>
    </xf>
    <xf numFmtId="3" fontId="35" fillId="0" borderId="11" xfId="0" applyNumberFormat="1" applyFont="1" applyBorder="1" applyAlignment="1" applyProtection="1">
      <alignment vertical="center" wrapText="1"/>
      <protection locked="0"/>
    </xf>
    <xf numFmtId="3" fontId="35" fillId="0" borderId="18" xfId="0" applyNumberFormat="1" applyFont="1" applyBorder="1" applyAlignment="1" applyProtection="1">
      <alignment vertical="center" wrapText="1"/>
      <protection locked="0"/>
    </xf>
    <xf numFmtId="0" fontId="0" fillId="0" borderId="34" xfId="0" applyFont="1" applyBorder="1" applyAlignment="1">
      <alignment horizontal="right" vertical="center"/>
    </xf>
    <xf numFmtId="0" fontId="55" fillId="0" borderId="0" xfId="0" applyFont="1" applyBorder="1" applyAlignment="1">
      <alignment horizontal="right" vertical="center"/>
    </xf>
    <xf numFmtId="3" fontId="3" fillId="0" borderId="18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horizontal="right" vertical="center"/>
    </xf>
    <xf numFmtId="0" fontId="2" fillId="24" borderId="37" xfId="0" applyFont="1" applyFill="1" applyBorder="1" applyAlignment="1">
      <alignment horizontal="center" vertical="center"/>
    </xf>
    <xf numFmtId="3" fontId="2" fillId="24" borderId="37" xfId="0" applyNumberFormat="1" applyFont="1" applyFill="1" applyBorder="1" applyAlignment="1">
      <alignment horizontal="center" vertical="center"/>
    </xf>
    <xf numFmtId="3" fontId="3" fillId="0" borderId="24" xfId="0" applyNumberFormat="1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horizontal="right" vertical="center"/>
    </xf>
    <xf numFmtId="3" fontId="3" fillId="1" borderId="0" xfId="0" applyNumberFormat="1" applyFont="1" applyFill="1" applyAlignment="1">
      <alignment vertical="center"/>
    </xf>
    <xf numFmtId="3" fontId="3" fillId="0" borderId="56" xfId="0" applyNumberFormat="1" applyFont="1" applyBorder="1" applyAlignment="1">
      <alignment vertical="center"/>
    </xf>
    <xf numFmtId="0" fontId="2" fillId="0" borderId="19" xfId="0" applyFont="1" applyBorder="1" applyAlignment="1">
      <alignment horizontal="center" vertical="top"/>
    </xf>
    <xf numFmtId="3" fontId="2" fillId="0" borderId="17" xfId="0" applyNumberFormat="1" applyFont="1" applyBorder="1" applyAlignment="1">
      <alignment vertical="center"/>
    </xf>
    <xf numFmtId="0" fontId="47" fillId="28" borderId="11" xfId="0" applyFont="1" applyFill="1" applyBorder="1" applyAlignment="1">
      <alignment horizontal="left"/>
    </xf>
    <xf numFmtId="0" fontId="42" fillId="27" borderId="11" xfId="0" applyFont="1" applyFill="1" applyBorder="1" applyAlignment="1">
      <alignment horizontal="left" vertical="center" wrapText="1"/>
    </xf>
    <xf numFmtId="0" fontId="42" fillId="24" borderId="11" xfId="0" applyFont="1" applyFill="1" applyBorder="1" applyAlignment="1">
      <alignment horizontal="left"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41" fillId="24" borderId="19" xfId="0" applyFont="1" applyFill="1" applyBorder="1" applyAlignment="1">
      <alignment horizontal="center" vertical="center" wrapText="1"/>
    </xf>
    <xf numFmtId="0" fontId="41" fillId="24" borderId="36" xfId="0" applyFont="1" applyFill="1" applyBorder="1" applyAlignment="1">
      <alignment horizontal="center" vertical="center" wrapText="1"/>
    </xf>
    <xf numFmtId="0" fontId="27" fillId="26" borderId="11" xfId="0" applyFont="1" applyFill="1" applyBorder="1" applyAlignment="1">
      <alignment horizontal="left" vertical="top" wrapText="1"/>
    </xf>
    <xf numFmtId="0" fontId="27" fillId="24" borderId="11" xfId="0" applyFont="1" applyFill="1" applyBorder="1" applyAlignment="1">
      <alignment horizontal="left" vertical="center" wrapText="1"/>
    </xf>
    <xf numFmtId="0" fontId="27" fillId="27" borderId="11" xfId="0" applyFont="1" applyFill="1" applyBorder="1" applyAlignment="1">
      <alignment horizontal="left" vertical="center" wrapText="1"/>
    </xf>
    <xf numFmtId="0" fontId="43" fillId="28" borderId="11" xfId="0" applyFont="1" applyFill="1" applyBorder="1" applyAlignment="1">
      <alignment horizontal="left"/>
    </xf>
    <xf numFmtId="0" fontId="42" fillId="27" borderId="59" xfId="0" applyFont="1" applyFill="1" applyBorder="1" applyAlignment="1">
      <alignment horizontal="left" vertical="center" wrapText="1"/>
    </xf>
    <xf numFmtId="0" fontId="27" fillId="29" borderId="14" xfId="0" applyFont="1" applyFill="1" applyBorder="1" applyAlignment="1">
      <alignment horizontal="left" vertical="center" wrapText="1"/>
    </xf>
    <xf numFmtId="3" fontId="2" fillId="1" borderId="11" xfId="0" applyNumberFormat="1" applyFont="1" applyFill="1" applyBorder="1" applyAlignment="1">
      <alignment vertical="center"/>
    </xf>
    <xf numFmtId="3" fontId="2" fillId="1" borderId="17" xfId="0" applyNumberFormat="1" applyFont="1" applyFill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2" fillId="24" borderId="16" xfId="0" applyNumberFormat="1" applyFont="1" applyFill="1" applyBorder="1" applyAlignment="1">
      <alignment vertical="center"/>
    </xf>
    <xf numFmtId="0" fontId="2" fillId="1" borderId="19" xfId="0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2" fillId="24" borderId="23" xfId="0" applyNumberFormat="1" applyFont="1" applyFill="1" applyBorder="1" applyAlignment="1">
      <alignment horizontal="right" vertical="center"/>
    </xf>
    <xf numFmtId="3" fontId="3" fillId="0" borderId="17" xfId="0" applyNumberFormat="1" applyFont="1" applyFill="1" applyBorder="1" applyAlignment="1">
      <alignment vertical="center"/>
    </xf>
    <xf numFmtId="3" fontId="2" fillId="24" borderId="26" xfId="0" applyNumberFormat="1" applyFont="1" applyFill="1" applyBorder="1" applyAlignment="1">
      <alignment horizontal="right" vertical="center"/>
    </xf>
    <xf numFmtId="3" fontId="2" fillId="24" borderId="15" xfId="0" applyNumberFormat="1" applyFont="1" applyFill="1" applyBorder="1" applyAlignment="1">
      <alignment horizontal="center" vertical="center" wrapText="1"/>
    </xf>
    <xf numFmtId="167" fontId="32" fillId="0" borderId="55" xfId="0" applyNumberFormat="1" applyFont="1" applyBorder="1" applyAlignment="1">
      <alignment horizontal="centerContinuous" vertical="center" wrapText="1"/>
    </xf>
    <xf numFmtId="167" fontId="32" fillId="0" borderId="55" xfId="0" applyNumberFormat="1" applyFont="1" applyBorder="1" applyAlignment="1">
      <alignment horizontal="center" vertical="center" wrapText="1"/>
    </xf>
    <xf numFmtId="167" fontId="34" fillId="0" borderId="55" xfId="0" applyNumberFormat="1" applyFont="1" applyBorder="1" applyAlignment="1">
      <alignment horizontal="center" vertical="center" wrapText="1"/>
    </xf>
    <xf numFmtId="167" fontId="35" fillId="0" borderId="59" xfId="0" applyNumberFormat="1" applyFont="1" applyBorder="1" applyAlignment="1">
      <alignment horizontal="left" vertical="center" wrapText="1" indent="1"/>
    </xf>
    <xf numFmtId="167" fontId="35" fillId="0" borderId="14" xfId="0" applyNumberFormat="1" applyFont="1" applyBorder="1" applyAlignment="1">
      <alignment horizontal="left" vertical="center" wrapText="1" indent="1"/>
    </xf>
    <xf numFmtId="167" fontId="35" fillId="0" borderId="0" xfId="0" applyNumberFormat="1" applyFont="1" applyBorder="1" applyAlignment="1">
      <alignment horizontal="left" vertical="center" wrapText="1" indent="1"/>
    </xf>
    <xf numFmtId="167" fontId="35" fillId="0" borderId="32" xfId="0" applyNumberFormat="1" applyFont="1" applyBorder="1" applyAlignment="1">
      <alignment horizontal="left" vertical="center" wrapText="1" indent="1"/>
    </xf>
    <xf numFmtId="167" fontId="35" fillId="0" borderId="14" xfId="0" applyNumberFormat="1" applyFont="1" applyBorder="1" applyAlignment="1" applyProtection="1">
      <alignment horizontal="left" vertical="center" wrapText="1" indent="1"/>
      <protection locked="0"/>
    </xf>
    <xf numFmtId="167" fontId="35" fillId="0" borderId="58" xfId="0" applyNumberFormat="1" applyFont="1" applyBorder="1" applyAlignment="1" applyProtection="1">
      <alignment horizontal="left" vertical="center" wrapText="1" indent="1"/>
      <protection locked="0"/>
    </xf>
    <xf numFmtId="167" fontId="34" fillId="0" borderId="55" xfId="0" applyNumberFormat="1" applyFont="1" applyBorder="1" applyAlignment="1">
      <alignment horizontal="left" vertical="center" wrapText="1" indent="1"/>
    </xf>
    <xf numFmtId="167" fontId="36" fillId="0" borderId="77" xfId="0" applyNumberFormat="1" applyFont="1" applyBorder="1" applyAlignment="1">
      <alignment horizontal="left" vertical="center" wrapText="1" indent="1"/>
    </xf>
    <xf numFmtId="167" fontId="36" fillId="0" borderId="14" xfId="0" applyNumberFormat="1" applyFont="1" applyBorder="1" applyAlignment="1">
      <alignment horizontal="left" vertical="center" wrapText="1" indent="1"/>
    </xf>
    <xf numFmtId="167" fontId="34" fillId="0" borderId="56" xfId="0" applyNumberFormat="1" applyFont="1" applyBorder="1" applyAlignment="1">
      <alignment horizontal="center" vertical="center" wrapText="1"/>
    </xf>
    <xf numFmtId="167" fontId="35" fillId="0" borderId="34" xfId="0" applyNumberFormat="1" applyFont="1" applyBorder="1" applyAlignment="1">
      <alignment horizontal="left" vertical="center" wrapText="1" indent="1"/>
    </xf>
    <xf numFmtId="167" fontId="35" fillId="0" borderId="32" xfId="0" applyNumberFormat="1" applyFont="1" applyBorder="1" applyAlignment="1" applyProtection="1">
      <alignment horizontal="left" vertical="center" wrapText="1" indent="1"/>
      <protection locked="0"/>
    </xf>
    <xf numFmtId="167" fontId="34" fillId="0" borderId="56" xfId="0" applyNumberFormat="1" applyFont="1" applyBorder="1" applyAlignment="1">
      <alignment horizontal="left" vertical="center" wrapText="1" indent="1"/>
    </xf>
    <xf numFmtId="167" fontId="36" fillId="0" borderId="0" xfId="0" applyNumberFormat="1" applyFont="1" applyBorder="1" applyAlignment="1">
      <alignment horizontal="left" vertical="center" wrapText="1" indent="1"/>
    </xf>
    <xf numFmtId="167" fontId="36" fillId="0" borderId="32" xfId="0" applyNumberFormat="1" applyFont="1" applyBorder="1" applyAlignment="1">
      <alignment horizontal="left" vertical="center" wrapText="1" indent="1"/>
    </xf>
    <xf numFmtId="167" fontId="32" fillId="0" borderId="44" xfId="0" applyNumberFormat="1" applyFont="1" applyBorder="1" applyAlignment="1">
      <alignment horizontal="center" vertical="center" wrapText="1"/>
    </xf>
    <xf numFmtId="167" fontId="34" fillId="0" borderId="44" xfId="0" applyNumberFormat="1" applyFont="1" applyBorder="1" applyAlignment="1">
      <alignment horizontal="center" vertical="center" wrapText="1"/>
    </xf>
    <xf numFmtId="167" fontId="35" fillId="0" borderId="33" xfId="0" applyNumberFormat="1" applyFont="1" applyBorder="1" applyAlignment="1">
      <alignment horizontal="left" vertical="center" wrapText="1" indent="1"/>
    </xf>
    <xf numFmtId="167" fontId="35" fillId="0" borderId="31" xfId="0" applyNumberFormat="1" applyFont="1" applyBorder="1" applyAlignment="1">
      <alignment horizontal="left" vertical="center" wrapText="1" indent="1"/>
    </xf>
    <xf numFmtId="167" fontId="35" fillId="0" borderId="31" xfId="0" applyNumberFormat="1" applyFont="1" applyBorder="1" applyAlignment="1" applyProtection="1">
      <alignment horizontal="left" vertical="center" wrapText="1" indent="1"/>
      <protection locked="0"/>
    </xf>
    <xf numFmtId="167" fontId="35" fillId="0" borderId="62" xfId="0" applyNumberFormat="1" applyFont="1" applyBorder="1" applyAlignment="1" applyProtection="1">
      <alignment horizontal="left" vertical="center" wrapText="1" indent="1"/>
      <protection locked="0"/>
    </xf>
    <xf numFmtId="167" fontId="34" fillId="0" borderId="44" xfId="0" applyNumberFormat="1" applyFont="1" applyBorder="1" applyAlignment="1">
      <alignment horizontal="left" vertical="center" wrapText="1" indent="1"/>
    </xf>
    <xf numFmtId="167" fontId="36" fillId="0" borderId="25" xfId="0" applyNumberFormat="1" applyFont="1" applyBorder="1" applyAlignment="1">
      <alignment horizontal="left" vertical="center" wrapText="1" indent="1"/>
    </xf>
    <xf numFmtId="167" fontId="36" fillId="0" borderId="31" xfId="0" applyNumberFormat="1" applyFont="1" applyBorder="1" applyAlignment="1">
      <alignment horizontal="left" vertical="center" wrapText="1" indent="1"/>
    </xf>
    <xf numFmtId="167" fontId="31" fillId="0" borderId="44" xfId="0" applyNumberFormat="1" applyFont="1" applyBorder="1" applyAlignment="1">
      <alignment horizontal="left" vertical="center" wrapText="1" indent="1"/>
    </xf>
    <xf numFmtId="167" fontId="37" fillId="0" borderId="44" xfId="0" applyNumberFormat="1" applyFont="1" applyBorder="1" applyAlignment="1">
      <alignment horizontal="left" vertical="center" wrapText="1" indent="1"/>
    </xf>
    <xf numFmtId="167" fontId="34" fillId="0" borderId="55" xfId="0" applyNumberFormat="1" applyFont="1" applyBorder="1" applyAlignment="1">
      <alignment horizontal="right" vertical="center" wrapText="1" indent="1"/>
    </xf>
    <xf numFmtId="167" fontId="39" fillId="0" borderId="14" xfId="0" applyNumberFormat="1" applyFont="1" applyBorder="1" applyAlignment="1">
      <alignment horizontal="right" vertical="center" wrapText="1" indent="1"/>
    </xf>
    <xf numFmtId="167" fontId="32" fillId="0" borderId="37" xfId="0" applyNumberFormat="1" applyFont="1" applyBorder="1" applyAlignment="1">
      <alignment horizontal="center" vertical="center" wrapText="1"/>
    </xf>
    <xf numFmtId="167" fontId="34" fillId="0" borderId="37" xfId="0" applyNumberFormat="1" applyFont="1" applyBorder="1" applyAlignment="1">
      <alignment horizontal="right" vertical="center" wrapText="1" indent="1"/>
    </xf>
    <xf numFmtId="167" fontId="34" fillId="0" borderId="37" xfId="0" applyNumberFormat="1" applyFont="1" applyBorder="1" applyAlignment="1">
      <alignment horizontal="left" vertical="center" wrapText="1" indent="1"/>
    </xf>
    <xf numFmtId="167" fontId="36" fillId="0" borderId="11" xfId="0" applyNumberFormat="1" applyFont="1" applyBorder="1" applyAlignment="1">
      <alignment horizontal="left" vertical="center" wrapText="1" indent="1"/>
    </xf>
    <xf numFmtId="167" fontId="35" fillId="0" borderId="73" xfId="0" applyNumberFormat="1" applyFont="1" applyBorder="1" applyAlignment="1">
      <alignment horizontal="left" vertical="center" wrapText="1" indent="1"/>
    </xf>
    <xf numFmtId="167" fontId="35" fillId="0" borderId="78" xfId="0" applyNumberFormat="1" applyFont="1" applyBorder="1" applyAlignment="1" applyProtection="1">
      <alignment horizontal="left" vertical="center" wrapText="1" indent="1"/>
      <protection locked="0"/>
    </xf>
    <xf numFmtId="167" fontId="39" fillId="0" borderId="73" xfId="0" applyNumberFormat="1" applyFont="1" applyBorder="1" applyAlignment="1">
      <alignment horizontal="right" vertical="center" wrapText="1" indent="1"/>
    </xf>
    <xf numFmtId="167" fontId="39" fillId="0" borderId="10" xfId="0" applyNumberFormat="1" applyFont="1" applyBorder="1" applyAlignment="1">
      <alignment horizontal="right" vertical="center" wrapText="1" indent="1"/>
    </xf>
    <xf numFmtId="167" fontId="36" fillId="0" borderId="78" xfId="0" applyNumberFormat="1" applyFont="1" applyBorder="1" applyAlignment="1">
      <alignment horizontal="left" vertical="center" wrapText="1" indent="1"/>
    </xf>
    <xf numFmtId="167" fontId="35" fillId="0" borderId="11" xfId="0" applyNumberFormat="1" applyFont="1" applyBorder="1" applyAlignment="1">
      <alignment horizontal="left" vertical="center" wrapText="1" indent="1"/>
    </xf>
    <xf numFmtId="167" fontId="36" fillId="0" borderId="54" xfId="0" applyNumberFormat="1" applyFont="1" applyBorder="1" applyAlignment="1" applyProtection="1">
      <alignment horizontal="right" vertical="center" wrapText="1" indent="1"/>
      <protection locked="0"/>
    </xf>
    <xf numFmtId="167" fontId="36" fillId="0" borderId="79" xfId="0" applyNumberFormat="1" applyFont="1" applyBorder="1" applyAlignment="1" applyProtection="1">
      <alignment horizontal="right" vertical="center" wrapText="1" indent="1"/>
      <protection locked="0"/>
    </xf>
    <xf numFmtId="167" fontId="36" fillId="0" borderId="80" xfId="0" applyNumberFormat="1" applyFont="1" applyBorder="1" applyAlignment="1">
      <alignment horizontal="left" vertical="center" wrapText="1" indent="1"/>
    </xf>
    <xf numFmtId="167" fontId="36" fillId="0" borderId="12" xfId="0" applyNumberFormat="1" applyFont="1" applyBorder="1" applyAlignment="1">
      <alignment horizontal="left" vertical="center" wrapText="1" indent="1"/>
    </xf>
    <xf numFmtId="167" fontId="36" fillId="0" borderId="49" xfId="0" applyNumberFormat="1" applyFont="1" applyBorder="1" applyAlignment="1">
      <alignment horizontal="left" vertical="center" wrapText="1" indent="1"/>
    </xf>
    <xf numFmtId="167" fontId="35" fillId="0" borderId="47" xfId="0" applyNumberFormat="1" applyFont="1" applyBorder="1" applyAlignment="1">
      <alignment horizontal="left" vertical="center" wrapText="1" indent="1"/>
    </xf>
    <xf numFmtId="167" fontId="35" fillId="0" borderId="13" xfId="0" applyNumberFormat="1" applyFont="1" applyBorder="1" applyAlignment="1">
      <alignment horizontal="left" vertical="center" wrapText="1" indent="1"/>
    </xf>
    <xf numFmtId="167" fontId="34" fillId="0" borderId="80" xfId="0" applyNumberFormat="1" applyFont="1" applyBorder="1" applyAlignment="1">
      <alignment horizontal="right" vertical="center" wrapText="1" indent="1"/>
    </xf>
    <xf numFmtId="167" fontId="34" fillId="0" borderId="81" xfId="0" applyNumberFormat="1" applyFont="1" applyBorder="1" applyAlignment="1">
      <alignment horizontal="left" vertical="center" wrapText="1" indent="1"/>
    </xf>
    <xf numFmtId="167" fontId="34" fillId="0" borderId="50" xfId="0" applyNumberFormat="1" applyFont="1" applyBorder="1" applyAlignment="1" applyProtection="1">
      <alignment horizontal="right" vertical="center" wrapText="1" indent="1"/>
      <protection locked="0"/>
    </xf>
    <xf numFmtId="167" fontId="35" fillId="0" borderId="82" xfId="0" applyNumberFormat="1" applyFont="1" applyBorder="1" applyAlignment="1">
      <alignment horizontal="left" vertical="center" wrapText="1" indent="1"/>
    </xf>
    <xf numFmtId="167" fontId="35" fillId="0" borderId="82" xfId="0" applyNumberFormat="1" applyFont="1" applyBorder="1" applyAlignment="1" applyProtection="1">
      <alignment horizontal="left" vertical="center" wrapText="1" indent="1"/>
      <protection locked="0"/>
    </xf>
    <xf numFmtId="167" fontId="34" fillId="0" borderId="83" xfId="0" applyNumberFormat="1" applyFont="1" applyBorder="1" applyAlignment="1">
      <alignment horizontal="right" vertical="center" wrapText="1" indent="1"/>
    </xf>
    <xf numFmtId="167" fontId="36" fillId="0" borderId="84" xfId="0" applyNumberFormat="1" applyFont="1" applyBorder="1" applyAlignment="1">
      <alignment horizontal="left" vertical="center" wrapText="1" indent="1"/>
    </xf>
    <xf numFmtId="167" fontId="36" fillId="0" borderId="85" xfId="0" applyNumberFormat="1" applyFont="1" applyBorder="1" applyAlignment="1">
      <alignment horizontal="left" vertical="center" wrapText="1" indent="1"/>
    </xf>
    <xf numFmtId="167" fontId="35" fillId="0" borderId="84" xfId="0" applyNumberFormat="1" applyFont="1" applyBorder="1" applyAlignment="1">
      <alignment horizontal="left" vertical="center" wrapText="1" indent="1"/>
    </xf>
    <xf numFmtId="167" fontId="35" fillId="0" borderId="85" xfId="0" applyNumberFormat="1" applyFont="1" applyBorder="1" applyAlignment="1" applyProtection="1">
      <alignment horizontal="left" vertical="center" wrapText="1" indent="1"/>
      <protection locked="0"/>
    </xf>
    <xf numFmtId="167" fontId="34" fillId="0" borderId="86" xfId="0" applyNumberFormat="1" applyFont="1" applyBorder="1" applyAlignment="1">
      <alignment horizontal="right" vertical="center" wrapText="1" indent="1"/>
    </xf>
    <xf numFmtId="167" fontId="34" fillId="0" borderId="87" xfId="0" applyNumberFormat="1" applyFont="1" applyBorder="1" applyAlignment="1">
      <alignment horizontal="right" vertical="center" wrapText="1" indent="1"/>
    </xf>
    <xf numFmtId="0" fontId="3" fillId="0" borderId="34" xfId="0" applyFont="1" applyBorder="1" applyAlignment="1">
      <alignment vertical="center"/>
    </xf>
    <xf numFmtId="167" fontId="35" fillId="0" borderId="32" xfId="0" quotePrefix="1" applyNumberFormat="1" applyFont="1" applyBorder="1" applyAlignment="1">
      <alignment horizontal="left" vertical="center" wrapText="1" indent="3"/>
    </xf>
    <xf numFmtId="167" fontId="36" fillId="0" borderId="14" xfId="0" applyNumberFormat="1" applyFont="1" applyBorder="1" applyAlignment="1">
      <alignment horizontal="left" vertical="center" wrapText="1" indent="2"/>
    </xf>
    <xf numFmtId="167" fontId="35" fillId="0" borderId="59" xfId="0" applyNumberFormat="1" applyFont="1" applyBorder="1" applyAlignment="1">
      <alignment horizontal="left" vertical="center" wrapText="1" indent="2"/>
    </xf>
    <xf numFmtId="167" fontId="35" fillId="0" borderId="58" xfId="0" applyNumberFormat="1" applyFont="1" applyBorder="1" applyAlignment="1">
      <alignment horizontal="left" vertical="center" wrapText="1" indent="2"/>
    </xf>
    <xf numFmtId="167" fontId="35" fillId="0" borderId="32" xfId="0" quotePrefix="1" applyNumberFormat="1" applyFont="1" applyBorder="1" applyAlignment="1">
      <alignment horizontal="left" vertical="center" wrapText="1" indent="6"/>
    </xf>
    <xf numFmtId="167" fontId="36" fillId="0" borderId="32" xfId="0" quotePrefix="1" applyNumberFormat="1" applyFont="1" applyBorder="1" applyAlignment="1">
      <alignment horizontal="left" vertical="center" wrapText="1" indent="6"/>
    </xf>
    <xf numFmtId="167" fontId="36" fillId="0" borderId="34" xfId="0" applyNumberFormat="1" applyFont="1" applyBorder="1" applyAlignment="1">
      <alignment horizontal="left" vertical="center" wrapText="1" indent="1"/>
    </xf>
    <xf numFmtId="167" fontId="36" fillId="0" borderId="34" xfId="0" applyNumberFormat="1" applyFont="1" applyBorder="1" applyAlignment="1" applyProtection="1">
      <alignment horizontal="left" vertical="center" wrapText="1" indent="1"/>
      <protection locked="0"/>
    </xf>
    <xf numFmtId="167" fontId="35" fillId="0" borderId="34" xfId="0" applyNumberFormat="1" applyFont="1" applyBorder="1" applyAlignment="1" applyProtection="1">
      <alignment horizontal="left" vertical="center" wrapText="1" indent="1"/>
      <protection locked="0"/>
    </xf>
    <xf numFmtId="167" fontId="35" fillId="0" borderId="74" xfId="0" applyNumberFormat="1" applyFont="1" applyBorder="1" applyAlignment="1">
      <alignment horizontal="left" vertical="center" wrapText="1" indent="1"/>
    </xf>
    <xf numFmtId="0" fontId="3" fillId="0" borderId="59" xfId="0" applyFont="1" applyBorder="1" applyAlignment="1">
      <alignment vertical="center"/>
    </xf>
    <xf numFmtId="167" fontId="35" fillId="0" borderId="14" xfId="0" quotePrefix="1" applyNumberFormat="1" applyFont="1" applyBorder="1" applyAlignment="1">
      <alignment horizontal="left" vertical="center" wrapText="1" indent="3"/>
    </xf>
    <xf numFmtId="167" fontId="35" fillId="0" borderId="88" xfId="0" applyNumberFormat="1" applyFont="1" applyBorder="1" applyAlignment="1">
      <alignment horizontal="left" vertical="center" wrapText="1" indent="1"/>
    </xf>
    <xf numFmtId="167" fontId="35" fillId="0" borderId="22" xfId="0" applyNumberFormat="1" applyFont="1" applyBorder="1" applyAlignment="1">
      <alignment horizontal="left" vertical="center" wrapText="1" indent="1"/>
    </xf>
    <xf numFmtId="167" fontId="35" fillId="0" borderId="17" xfId="0" applyNumberFormat="1" applyFont="1" applyBorder="1" applyAlignment="1">
      <alignment horizontal="left" vertical="center" wrapText="1" indent="1"/>
    </xf>
    <xf numFmtId="167" fontId="35" fillId="0" borderId="11" xfId="0" quotePrefix="1" applyNumberFormat="1" applyFont="1" applyBorder="1" applyAlignment="1">
      <alignment horizontal="left" vertical="center" wrapText="1" indent="6"/>
    </xf>
    <xf numFmtId="167" fontId="36" fillId="0" borderId="11" xfId="0" quotePrefix="1" applyNumberFormat="1" applyFont="1" applyBorder="1" applyAlignment="1">
      <alignment horizontal="left" vertical="center" wrapText="1" indent="6"/>
    </xf>
    <xf numFmtId="167" fontId="35" fillId="0" borderId="16" xfId="0" applyNumberFormat="1" applyFont="1" applyBorder="1" applyAlignment="1">
      <alignment horizontal="left" vertical="center" wrapText="1" indent="1"/>
    </xf>
    <xf numFmtId="167" fontId="34" fillId="0" borderId="26" xfId="0" applyNumberFormat="1" applyFont="1" applyBorder="1" applyAlignment="1">
      <alignment horizontal="left" vertical="center" wrapText="1" indent="1"/>
    </xf>
    <xf numFmtId="167" fontId="36" fillId="0" borderId="22" xfId="0" applyNumberFormat="1" applyFont="1" applyBorder="1" applyAlignment="1">
      <alignment horizontal="left" vertical="center" wrapText="1" indent="1"/>
    </xf>
    <xf numFmtId="167" fontId="36" fillId="0" borderId="36" xfId="0" applyNumberFormat="1" applyFont="1" applyBorder="1" applyAlignment="1">
      <alignment horizontal="left" vertical="center" wrapText="1" indent="1"/>
    </xf>
    <xf numFmtId="167" fontId="36" fillId="0" borderId="17" xfId="0" applyNumberFormat="1" applyFont="1" applyBorder="1" applyAlignment="1">
      <alignment horizontal="left" vertical="center" wrapText="1" indent="1"/>
    </xf>
    <xf numFmtId="167" fontId="36" fillId="0" borderId="17" xfId="0" applyNumberFormat="1" applyFont="1" applyBorder="1" applyAlignment="1" applyProtection="1">
      <alignment horizontal="left" vertical="center" wrapText="1" indent="1"/>
      <protection locked="0"/>
    </xf>
    <xf numFmtId="167" fontId="35" fillId="0" borderId="17" xfId="0" applyNumberFormat="1" applyFont="1" applyBorder="1" applyAlignment="1" applyProtection="1">
      <alignment horizontal="left" vertical="center" wrapText="1" indent="1"/>
      <protection locked="0"/>
    </xf>
    <xf numFmtId="167" fontId="35" fillId="0" borderId="16" xfId="0" applyNumberFormat="1" applyFont="1" applyBorder="1" applyAlignment="1" applyProtection="1">
      <alignment horizontal="left" vertical="center" wrapText="1" indent="1"/>
      <protection locked="0"/>
    </xf>
    <xf numFmtId="167" fontId="37" fillId="0" borderId="37" xfId="0" applyNumberFormat="1" applyFont="1" applyBorder="1" applyAlignment="1">
      <alignment horizontal="right" vertical="center" wrapText="1" indent="1"/>
    </xf>
    <xf numFmtId="167" fontId="37" fillId="0" borderId="89" xfId="0" applyNumberFormat="1" applyFont="1" applyBorder="1" applyAlignment="1">
      <alignment horizontal="right" vertical="center" wrapText="1" indent="1"/>
    </xf>
    <xf numFmtId="167" fontId="37" fillId="0" borderId="86" xfId="0" applyNumberFormat="1" applyFont="1" applyBorder="1" applyAlignment="1">
      <alignment horizontal="right" vertical="center" wrapText="1" indent="1"/>
    </xf>
    <xf numFmtId="3" fontId="41" fillId="0" borderId="11" xfId="0" applyNumberFormat="1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center"/>
    </xf>
    <xf numFmtId="3" fontId="2" fillId="0" borderId="15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/>
    </xf>
    <xf numFmtId="0" fontId="46" fillId="0" borderId="34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top"/>
    </xf>
    <xf numFmtId="167" fontId="32" fillId="0" borderId="56" xfId="0" applyNumberFormat="1" applyFont="1" applyBorder="1" applyAlignment="1">
      <alignment horizontal="center" vertical="center" wrapText="1"/>
    </xf>
    <xf numFmtId="167" fontId="36" fillId="0" borderId="59" xfId="0" applyNumberFormat="1" applyFont="1" applyBorder="1" applyAlignment="1">
      <alignment horizontal="left" vertical="center" wrapText="1" indent="1"/>
    </xf>
    <xf numFmtId="167" fontId="36" fillId="0" borderId="58" xfId="0" applyNumberFormat="1" applyFont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3" fontId="3" fillId="0" borderId="3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3" fillId="0" borderId="32" xfId="0" applyNumberFormat="1" applyFont="1" applyBorder="1" applyAlignment="1">
      <alignment vertical="center"/>
    </xf>
    <xf numFmtId="0" fontId="8" fillId="1" borderId="0" xfId="0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top"/>
    </xf>
    <xf numFmtId="0" fontId="3" fillId="0" borderId="32" xfId="0" applyFont="1" applyBorder="1" applyAlignment="1">
      <alignment horizontal="left" vertical="center"/>
    </xf>
    <xf numFmtId="0" fontId="26" fillId="0" borderId="14" xfId="0" applyFont="1" applyBorder="1" applyAlignment="1">
      <alignment wrapText="1"/>
    </xf>
    <xf numFmtId="3" fontId="58" fillId="0" borderId="11" xfId="0" applyNumberFormat="1" applyFont="1" applyBorder="1" applyAlignment="1">
      <alignment horizontal="right" vertical="top" wrapText="1"/>
    </xf>
    <xf numFmtId="168" fontId="41" fillId="0" borderId="11" xfId="42" applyNumberFormat="1" applyFont="1" applyBorder="1" applyAlignment="1">
      <alignment horizontal="right" vertical="top" wrapText="1"/>
    </xf>
    <xf numFmtId="167" fontId="36" fillId="0" borderId="54" xfId="0" applyNumberFormat="1" applyFont="1" applyBorder="1" applyAlignment="1">
      <alignment horizontal="left" vertical="center" wrapText="1" indent="1"/>
    </xf>
    <xf numFmtId="167" fontId="36" fillId="0" borderId="79" xfId="0" applyNumberFormat="1" applyFont="1" applyBorder="1" applyAlignment="1">
      <alignment horizontal="left" vertical="center" wrapText="1" indent="1"/>
    </xf>
    <xf numFmtId="167" fontId="35" fillId="0" borderId="54" xfId="0" applyNumberFormat="1" applyFont="1" applyBorder="1" applyAlignment="1">
      <alignment horizontal="left" vertical="center" wrapText="1" indent="1"/>
    </xf>
    <xf numFmtId="167" fontId="35" fillId="0" borderId="90" xfId="0" applyNumberFormat="1" applyFont="1" applyBorder="1" applyAlignment="1">
      <alignment horizontal="left" vertical="center" wrapText="1" indent="1"/>
    </xf>
    <xf numFmtId="167" fontId="34" fillId="0" borderId="91" xfId="0" applyNumberFormat="1" applyFont="1" applyBorder="1" applyAlignment="1">
      <alignment horizontal="right" vertical="center" wrapText="1" indent="1"/>
    </xf>
    <xf numFmtId="167" fontId="35" fillId="0" borderId="92" xfId="0" applyNumberFormat="1" applyFont="1" applyBorder="1" applyAlignment="1">
      <alignment horizontal="left" vertical="center" wrapText="1" indent="1"/>
    </xf>
    <xf numFmtId="167" fontId="34" fillId="0" borderId="93" xfId="0" applyNumberFormat="1" applyFont="1" applyBorder="1" applyAlignment="1">
      <alignment horizontal="center" vertical="center" wrapText="1"/>
    </xf>
    <xf numFmtId="167" fontId="35" fillId="0" borderId="0" xfId="0" applyNumberFormat="1" applyFont="1" applyBorder="1" applyAlignment="1" applyProtection="1">
      <alignment horizontal="left" vertical="center" wrapText="1" indent="1"/>
      <protection locked="0"/>
    </xf>
    <xf numFmtId="167" fontId="35" fillId="0" borderId="69" xfId="0" applyNumberFormat="1" applyFont="1" applyBorder="1" applyAlignment="1">
      <alignment horizontal="left" vertical="center" wrapText="1" indent="1"/>
    </xf>
    <xf numFmtId="167" fontId="39" fillId="0" borderId="22" xfId="0" applyNumberFormat="1" applyFont="1" applyBorder="1" applyAlignment="1">
      <alignment horizontal="right" vertical="center" wrapText="1" indent="1"/>
    </xf>
    <xf numFmtId="167" fontId="39" fillId="0" borderId="74" xfId="0" applyNumberFormat="1" applyFont="1" applyBorder="1" applyAlignment="1">
      <alignment horizontal="right" vertical="center" wrapText="1" indent="1"/>
    </xf>
    <xf numFmtId="167" fontId="59" fillId="0" borderId="55" xfId="0" applyNumberFormat="1" applyFont="1" applyBorder="1" applyAlignment="1">
      <alignment horizontal="center" vertical="center" wrapText="1"/>
    </xf>
    <xf numFmtId="3" fontId="60" fillId="0" borderId="32" xfId="0" applyNumberFormat="1" applyFont="1" applyBorder="1" applyAlignment="1">
      <alignment vertical="center"/>
    </xf>
    <xf numFmtId="3" fontId="61" fillId="0" borderId="17" xfId="0" applyNumberFormat="1" applyFont="1" applyBorder="1" applyAlignment="1">
      <alignment vertical="center"/>
    </xf>
    <xf numFmtId="0" fontId="0" fillId="0" borderId="19" xfId="0" applyBorder="1" applyAlignment="1">
      <alignment horizontal="center"/>
    </xf>
    <xf numFmtId="0" fontId="46" fillId="0" borderId="34" xfId="0" applyFont="1" applyBorder="1" applyAlignment="1">
      <alignment horizontal="center" vertical="center"/>
    </xf>
    <xf numFmtId="0" fontId="27" fillId="26" borderId="11" xfId="0" applyFont="1" applyFill="1" applyBorder="1" applyAlignment="1">
      <alignment horizontal="left" vertical="top" wrapText="1"/>
    </xf>
    <xf numFmtId="3" fontId="62" fillId="0" borderId="11" xfId="0" applyNumberFormat="1" applyFont="1" applyBorder="1" applyAlignment="1">
      <alignment horizontal="right" vertical="top" wrapText="1"/>
    </xf>
    <xf numFmtId="3" fontId="63" fillId="24" borderId="11" xfId="0" applyNumberFormat="1" applyFont="1" applyFill="1" applyBorder="1" applyAlignment="1">
      <alignment horizontal="right" vertical="center" wrapText="1"/>
    </xf>
    <xf numFmtId="3" fontId="63" fillId="29" borderId="11" xfId="0" applyNumberFormat="1" applyFont="1" applyFill="1" applyBorder="1" applyAlignment="1">
      <alignment horizontal="center" vertical="center" wrapText="1"/>
    </xf>
    <xf numFmtId="3" fontId="64" fillId="24" borderId="11" xfId="0" applyNumberFormat="1" applyFont="1" applyFill="1" applyBorder="1" applyAlignment="1">
      <alignment horizontal="right" vertical="center" wrapText="1"/>
    </xf>
    <xf numFmtId="3" fontId="64" fillId="29" borderId="11" xfId="0" applyNumberFormat="1" applyFont="1" applyFill="1" applyBorder="1" applyAlignment="1">
      <alignment horizontal="center" vertical="center" wrapText="1"/>
    </xf>
    <xf numFmtId="3" fontId="64" fillId="27" borderId="11" xfId="0" applyNumberFormat="1" applyFont="1" applyFill="1" applyBorder="1" applyAlignment="1">
      <alignment horizontal="right" vertical="center" wrapText="1"/>
    </xf>
    <xf numFmtId="3" fontId="65" fillId="28" borderId="11" xfId="0" applyNumberFormat="1" applyFont="1" applyFill="1" applyBorder="1" applyAlignment="1">
      <alignment horizontal="right"/>
    </xf>
    <xf numFmtId="3" fontId="63" fillId="24" borderId="11" xfId="0" applyNumberFormat="1" applyFont="1" applyFill="1" applyBorder="1" applyAlignment="1">
      <alignment horizontal="right" vertical="top" wrapText="1"/>
    </xf>
    <xf numFmtId="3" fontId="64" fillId="26" borderId="11" xfId="0" applyNumberFormat="1" applyFont="1" applyFill="1" applyBorder="1" applyAlignment="1">
      <alignment horizontal="right" vertical="top" wrapText="1"/>
    </xf>
    <xf numFmtId="0" fontId="0" fillId="0" borderId="18" xfId="0" applyBorder="1" applyAlignment="1">
      <alignment horizontal="center" vertical="top"/>
    </xf>
    <xf numFmtId="3" fontId="64" fillId="24" borderId="11" xfId="0" applyNumberFormat="1" applyFont="1" applyFill="1" applyBorder="1" applyAlignment="1">
      <alignment horizontal="right" vertical="top" wrapText="1"/>
    </xf>
    <xf numFmtId="3" fontId="66" fillId="28" borderId="11" xfId="0" applyNumberFormat="1" applyFont="1" applyFill="1" applyBorder="1" applyAlignment="1">
      <alignment horizontal="right"/>
    </xf>
    <xf numFmtId="3" fontId="63" fillId="29" borderId="11" xfId="0" applyNumberFormat="1" applyFont="1" applyFill="1" applyBorder="1" applyAlignment="1">
      <alignment horizontal="righ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top"/>
    </xf>
    <xf numFmtId="167" fontId="67" fillId="0" borderId="59" xfId="0" applyNumberFormat="1" applyFont="1" applyBorder="1" applyAlignment="1">
      <alignment horizontal="left" vertical="center" wrapText="1" indent="1"/>
    </xf>
    <xf numFmtId="167" fontId="68" fillId="0" borderId="59" xfId="0" applyNumberFormat="1" applyFont="1" applyBorder="1" applyAlignment="1">
      <alignment horizontal="left" vertical="center" wrapText="1" indent="1"/>
    </xf>
    <xf numFmtId="0" fontId="57" fillId="0" borderId="34" xfId="0" applyFont="1" applyBorder="1" applyAlignment="1">
      <alignment vertical="center"/>
    </xf>
    <xf numFmtId="167" fontId="67" fillId="0" borderId="14" xfId="0" applyNumberFormat="1" applyFont="1" applyBorder="1" applyAlignment="1">
      <alignment horizontal="left" vertical="center" wrapText="1" indent="1"/>
    </xf>
    <xf numFmtId="167" fontId="67" fillId="0" borderId="32" xfId="0" applyNumberFormat="1" applyFont="1" applyBorder="1" applyAlignment="1">
      <alignment horizontal="left" vertical="center" wrapText="1" indent="1"/>
    </xf>
    <xf numFmtId="167" fontId="67" fillId="0" borderId="0" xfId="0" applyNumberFormat="1" applyFont="1" applyBorder="1" applyAlignment="1">
      <alignment horizontal="left" vertical="center" wrapText="1" indent="1"/>
    </xf>
    <xf numFmtId="167" fontId="71" fillId="0" borderId="14" xfId="0" applyNumberFormat="1" applyFont="1" applyBorder="1" applyAlignment="1">
      <alignment horizontal="left" vertical="center" wrapText="1" indent="2"/>
    </xf>
    <xf numFmtId="167" fontId="71" fillId="0" borderId="11" xfId="0" applyNumberFormat="1" applyFont="1" applyBorder="1" applyAlignment="1">
      <alignment horizontal="left" vertical="center" wrapText="1" indent="2"/>
    </xf>
    <xf numFmtId="167" fontId="70" fillId="0" borderId="11" xfId="0" applyNumberFormat="1" applyFont="1" applyBorder="1" applyAlignment="1">
      <alignment horizontal="right" vertical="center" wrapText="1" indent="1"/>
    </xf>
    <xf numFmtId="167" fontId="67" fillId="0" borderId="59" xfId="0" applyNumberFormat="1" applyFont="1" applyBorder="1" applyAlignment="1">
      <alignment horizontal="left" vertical="center" wrapText="1" indent="2"/>
    </xf>
    <xf numFmtId="167" fontId="67" fillId="0" borderId="58" xfId="0" applyNumberFormat="1" applyFont="1" applyBorder="1" applyAlignment="1">
      <alignment horizontal="left" vertical="center" wrapText="1" indent="2"/>
    </xf>
    <xf numFmtId="167" fontId="69" fillId="0" borderId="55" xfId="0" applyNumberFormat="1" applyFont="1" applyBorder="1" applyAlignment="1">
      <alignment horizontal="left" vertical="center" wrapText="1" indent="1"/>
    </xf>
    <xf numFmtId="167" fontId="72" fillId="0" borderId="50" xfId="0" applyNumberFormat="1" applyFont="1" applyBorder="1" applyAlignment="1">
      <alignment horizontal="right" vertical="center" wrapText="1" indent="1"/>
    </xf>
    <xf numFmtId="167" fontId="35" fillId="0" borderId="57" xfId="0" applyNumberFormat="1" applyFont="1" applyBorder="1" applyAlignment="1">
      <alignment horizontal="left" vertical="center" wrapText="1" indent="1"/>
    </xf>
    <xf numFmtId="167" fontId="71" fillId="0" borderId="11" xfId="0" applyNumberFormat="1" applyFont="1" applyBorder="1" applyAlignment="1">
      <alignment horizontal="left" vertical="center" wrapText="1" indent="1"/>
    </xf>
    <xf numFmtId="167" fontId="71" fillId="0" borderId="11" xfId="0" applyNumberFormat="1" applyFont="1" applyBorder="1" applyAlignment="1" applyProtection="1">
      <alignment horizontal="left" vertical="center" wrapText="1" indent="1"/>
      <protection locked="0"/>
    </xf>
    <xf numFmtId="167" fontId="71" fillId="0" borderId="0" xfId="0" applyNumberFormat="1" applyFont="1" applyBorder="1" applyAlignment="1">
      <alignment horizontal="left" vertical="center" wrapText="1" indent="1"/>
    </xf>
    <xf numFmtId="167" fontId="71" fillId="0" borderId="32" xfId="0" applyNumberFormat="1" applyFont="1" applyBorder="1" applyAlignment="1">
      <alignment horizontal="left" vertical="center" wrapText="1" indent="1"/>
    </xf>
    <xf numFmtId="167" fontId="69" fillId="0" borderId="81" xfId="0" applyNumberFormat="1" applyFont="1" applyBorder="1" applyAlignment="1">
      <alignment horizontal="left" vertical="center" wrapText="1" indent="1"/>
    </xf>
    <xf numFmtId="167" fontId="36" fillId="0" borderId="11" xfId="0" applyNumberFormat="1" applyFont="1" applyBorder="1" applyAlignment="1" applyProtection="1">
      <alignment horizontal="left" vertical="center" wrapText="1" indent="1"/>
      <protection locked="0"/>
    </xf>
    <xf numFmtId="167" fontId="36" fillId="0" borderId="57" xfId="0" applyNumberFormat="1" applyFont="1" applyBorder="1" applyAlignment="1" applyProtection="1">
      <alignment horizontal="left" vertical="center" wrapText="1" indent="1"/>
      <protection locked="0"/>
    </xf>
    <xf numFmtId="167" fontId="71" fillId="0" borderId="34" xfId="0" applyNumberFormat="1" applyFont="1" applyBorder="1" applyAlignment="1">
      <alignment horizontal="left" vertical="center" wrapText="1" indent="1"/>
    </xf>
    <xf numFmtId="167" fontId="71" fillId="0" borderId="32" xfId="0" quotePrefix="1" applyNumberFormat="1" applyFont="1" applyBorder="1" applyAlignment="1">
      <alignment horizontal="left" vertical="center" wrapText="1" indent="6"/>
    </xf>
    <xf numFmtId="167" fontId="71" fillId="0" borderId="34" xfId="0" applyNumberFormat="1" applyFont="1" applyBorder="1" applyAlignment="1" applyProtection="1">
      <alignment horizontal="left" vertical="center" wrapText="1" indent="1"/>
      <protection locked="0"/>
    </xf>
    <xf numFmtId="167" fontId="71" fillId="0" borderId="32" xfId="0" applyNumberFormat="1" applyFont="1" applyBorder="1" applyAlignment="1" applyProtection="1">
      <alignment horizontal="left" vertical="center" wrapText="1" indent="1"/>
      <protection locked="0"/>
    </xf>
    <xf numFmtId="167" fontId="71" fillId="0" borderId="0" xfId="0" applyNumberFormat="1" applyFont="1" applyBorder="1" applyAlignment="1" applyProtection="1">
      <alignment horizontal="left" vertical="center" wrapText="1" indent="1"/>
      <protection locked="0"/>
    </xf>
    <xf numFmtId="167" fontId="69" fillId="0" borderId="56" xfId="0" applyNumberFormat="1" applyFont="1" applyBorder="1" applyAlignment="1">
      <alignment horizontal="left" vertical="center" wrapText="1" indent="1"/>
    </xf>
    <xf numFmtId="167" fontId="73" fillId="0" borderId="34" xfId="0" applyNumberFormat="1" applyFont="1" applyBorder="1" applyAlignment="1">
      <alignment horizontal="left" vertical="center" wrapText="1" indent="1"/>
    </xf>
    <xf numFmtId="167" fontId="73" fillId="0" borderId="32" xfId="0" applyNumberFormat="1" applyFont="1" applyBorder="1" applyAlignment="1">
      <alignment horizontal="left" vertical="center" wrapText="1" indent="1"/>
    </xf>
    <xf numFmtId="167" fontId="73" fillId="0" borderId="0" xfId="0" applyNumberFormat="1" applyFont="1" applyBorder="1" applyAlignment="1">
      <alignment horizontal="left" vertical="center" wrapText="1" indent="1"/>
    </xf>
    <xf numFmtId="167" fontId="74" fillId="0" borderId="15" xfId="0" applyNumberFormat="1" applyFont="1" applyBorder="1" applyAlignment="1">
      <alignment horizontal="right" vertical="center" wrapText="1" indent="1"/>
    </xf>
    <xf numFmtId="167" fontId="75" fillId="0" borderId="50" xfId="0" applyNumberFormat="1" applyFont="1" applyBorder="1" applyAlignment="1">
      <alignment horizontal="right" vertical="center" wrapText="1" indent="1"/>
    </xf>
    <xf numFmtId="3" fontId="2" fillId="25" borderId="18" xfId="0" applyNumberFormat="1" applyFont="1" applyFill="1" applyBorder="1" applyAlignment="1">
      <alignment horizontal="right" vertical="center"/>
    </xf>
    <xf numFmtId="3" fontId="2" fillId="1" borderId="18" xfId="0" applyNumberFormat="1" applyFont="1" applyFill="1" applyBorder="1" applyAlignment="1">
      <alignment horizontal="right" vertical="center"/>
    </xf>
    <xf numFmtId="3" fontId="2" fillId="24" borderId="18" xfId="0" applyNumberFormat="1" applyFont="1" applyFill="1" applyBorder="1" applyAlignment="1">
      <alignment vertical="center"/>
    </xf>
    <xf numFmtId="3" fontId="2" fillId="1" borderId="18" xfId="0" applyNumberFormat="1" applyFont="1" applyFill="1" applyBorder="1" applyAlignment="1">
      <alignment vertical="center"/>
    </xf>
    <xf numFmtId="3" fontId="2" fillId="24" borderId="68" xfId="0" applyNumberFormat="1" applyFont="1" applyFill="1" applyBorder="1" applyAlignment="1">
      <alignment vertical="center"/>
    </xf>
    <xf numFmtId="3" fontId="2" fillId="24" borderId="72" xfId="0" applyNumberFormat="1" applyFont="1" applyFill="1" applyBorder="1" applyAlignment="1">
      <alignment vertical="center"/>
    </xf>
    <xf numFmtId="3" fontId="3" fillId="0" borderId="42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vertical="center"/>
    </xf>
    <xf numFmtId="3" fontId="3" fillId="0" borderId="42" xfId="0" applyNumberFormat="1" applyFont="1" applyBorder="1" applyAlignment="1">
      <alignment vertical="center"/>
    </xf>
    <xf numFmtId="0" fontId="8" fillId="1" borderId="41" xfId="0" applyFont="1" applyFill="1" applyBorder="1" applyAlignment="1">
      <alignment horizontal="left" vertical="center"/>
    </xf>
    <xf numFmtId="3" fontId="3" fillId="0" borderId="41" xfId="0" applyNumberFormat="1" applyFont="1" applyBorder="1" applyAlignment="1">
      <alignment vertical="center"/>
    </xf>
    <xf numFmtId="0" fontId="2" fillId="0" borderId="37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3" fontId="60" fillId="0" borderId="18" xfId="0" applyNumberFormat="1" applyFont="1" applyBorder="1" applyAlignment="1">
      <alignment horizontal="right" vertical="center"/>
    </xf>
    <xf numFmtId="3" fontId="50" fillId="0" borderId="17" xfId="0" applyNumberFormat="1" applyFont="1" applyBorder="1" applyAlignment="1">
      <alignment vertical="center"/>
    </xf>
    <xf numFmtId="3" fontId="57" fillId="0" borderId="17" xfId="0" applyNumberFormat="1" applyFont="1" applyBorder="1" applyAlignment="1">
      <alignment vertical="center"/>
    </xf>
    <xf numFmtId="0" fontId="57" fillId="0" borderId="0" xfId="0" applyFont="1" applyAlignment="1">
      <alignment vertical="center"/>
    </xf>
    <xf numFmtId="3" fontId="60" fillId="0" borderId="17" xfId="0" applyNumberFormat="1" applyFont="1" applyBorder="1" applyAlignment="1">
      <alignment vertical="center"/>
    </xf>
    <xf numFmtId="3" fontId="61" fillId="1" borderId="17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top" wrapText="1"/>
    </xf>
    <xf numFmtId="0" fontId="3" fillId="0" borderId="27" xfId="0" applyFont="1" applyBorder="1" applyAlignment="1">
      <alignment horizontal="left" vertical="center"/>
    </xf>
    <xf numFmtId="3" fontId="61" fillId="24" borderId="16" xfId="0" applyNumberFormat="1" applyFont="1" applyFill="1" applyBorder="1" applyAlignment="1">
      <alignment vertical="center"/>
    </xf>
    <xf numFmtId="3" fontId="61" fillId="1" borderId="11" xfId="0" applyNumberFormat="1" applyFont="1" applyFill="1" applyBorder="1" applyAlignment="1">
      <alignment horizontal="right" vertical="center"/>
    </xf>
    <xf numFmtId="3" fontId="61" fillId="0" borderId="11" xfId="0" applyNumberFormat="1" applyFont="1" applyBorder="1" applyAlignment="1">
      <alignment horizontal="right" vertical="center"/>
    </xf>
    <xf numFmtId="3" fontId="60" fillId="0" borderId="11" xfId="0" applyNumberFormat="1" applyFont="1" applyBorder="1" applyAlignment="1">
      <alignment horizontal="right" vertical="center"/>
    </xf>
    <xf numFmtId="3" fontId="60" fillId="0" borderId="17" xfId="0" applyNumberFormat="1" applyFont="1" applyBorder="1" applyAlignment="1">
      <alignment horizontal="right" vertical="center"/>
    </xf>
    <xf numFmtId="3" fontId="61" fillId="1" borderId="19" xfId="0" applyNumberFormat="1" applyFont="1" applyFill="1" applyBorder="1" applyAlignment="1">
      <alignment horizontal="right" vertical="center"/>
    </xf>
    <xf numFmtId="3" fontId="61" fillId="24" borderId="19" xfId="0" applyNumberFormat="1" applyFont="1" applyFill="1" applyBorder="1" applyAlignment="1">
      <alignment horizontal="right" vertical="center"/>
    </xf>
    <xf numFmtId="3" fontId="61" fillId="1" borderId="11" xfId="0" applyNumberFormat="1" applyFont="1" applyFill="1" applyBorder="1" applyAlignment="1">
      <alignment vertical="center"/>
    </xf>
    <xf numFmtId="3" fontId="61" fillId="24" borderId="23" xfId="0" applyNumberFormat="1" applyFont="1" applyFill="1" applyBorder="1" applyAlignment="1">
      <alignment horizontal="right" vertical="center"/>
    </xf>
    <xf numFmtId="3" fontId="60" fillId="0" borderId="17" xfId="0" applyNumberFormat="1" applyFont="1" applyFill="1" applyBorder="1" applyAlignment="1">
      <alignment vertical="center"/>
    </xf>
    <xf numFmtId="3" fontId="61" fillId="24" borderId="2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0" fontId="42" fillId="26" borderId="18" xfId="0" applyFont="1" applyFill="1" applyBorder="1" applyAlignment="1">
      <alignment horizontal="left" vertical="top" wrapText="1"/>
    </xf>
    <xf numFmtId="0" fontId="42" fillId="26" borderId="14" xfId="0" applyFont="1" applyFill="1" applyBorder="1" applyAlignment="1">
      <alignment horizontal="left" vertical="top" wrapText="1"/>
    </xf>
    <xf numFmtId="0" fontId="42" fillId="24" borderId="18" xfId="0" applyFont="1" applyFill="1" applyBorder="1" applyAlignment="1">
      <alignment horizontal="left" vertical="center" wrapText="1"/>
    </xf>
    <xf numFmtId="0" fontId="42" fillId="24" borderId="14" xfId="0" applyFont="1" applyFill="1" applyBorder="1" applyAlignment="1">
      <alignment horizontal="left" vertical="center" wrapText="1"/>
    </xf>
    <xf numFmtId="0" fontId="42" fillId="24" borderId="18" xfId="0" applyFont="1" applyFill="1" applyBorder="1" applyAlignment="1">
      <alignment horizontal="left" vertical="top" wrapText="1"/>
    </xf>
    <xf numFmtId="0" fontId="42" fillId="24" borderId="14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40" fillId="24" borderId="35" xfId="0" applyFont="1" applyFill="1" applyBorder="1" applyAlignment="1">
      <alignment horizontal="center" vertical="center" wrapText="1"/>
    </xf>
    <xf numFmtId="0" fontId="40" fillId="24" borderId="57" xfId="0" applyFont="1" applyFill="1" applyBorder="1" applyAlignment="1">
      <alignment horizontal="center" vertical="center" wrapText="1"/>
    </xf>
    <xf numFmtId="0" fontId="40" fillId="24" borderId="58" xfId="0" applyFont="1" applyFill="1" applyBorder="1" applyAlignment="1">
      <alignment horizontal="center" vertical="center" wrapText="1"/>
    </xf>
    <xf numFmtId="0" fontId="40" fillId="24" borderId="27" xfId="0" applyFont="1" applyFill="1" applyBorder="1" applyAlignment="1">
      <alignment horizontal="center" vertical="center" wrapText="1"/>
    </xf>
    <xf numFmtId="0" fontId="40" fillId="24" borderId="34" xfId="0" applyFont="1" applyFill="1" applyBorder="1" applyAlignment="1">
      <alignment horizontal="center" vertical="center" wrapText="1"/>
    </xf>
    <xf numFmtId="0" fontId="40" fillId="24" borderId="59" xfId="0" applyFont="1" applyFill="1" applyBorder="1" applyAlignment="1">
      <alignment horizontal="center" vertical="center" wrapText="1"/>
    </xf>
    <xf numFmtId="3" fontId="40" fillId="24" borderId="18" xfId="0" applyNumberFormat="1" applyFont="1" applyFill="1" applyBorder="1" applyAlignment="1">
      <alignment horizontal="center" vertical="center" wrapText="1"/>
    </xf>
    <xf numFmtId="3" fontId="40" fillId="24" borderId="32" xfId="0" applyNumberFormat="1" applyFont="1" applyFill="1" applyBorder="1" applyAlignment="1">
      <alignment horizontal="center" vertical="center" wrapText="1"/>
    </xf>
    <xf numFmtId="3" fontId="40" fillId="24" borderId="14" xfId="0" applyNumberFormat="1" applyFont="1" applyFill="1" applyBorder="1" applyAlignment="1">
      <alignment horizontal="center" vertical="center" wrapText="1"/>
    </xf>
    <xf numFmtId="0" fontId="27" fillId="26" borderId="18" xfId="0" applyFont="1" applyFill="1" applyBorder="1" applyAlignment="1">
      <alignment horizontal="left" vertical="top" wrapText="1"/>
    </xf>
    <xf numFmtId="0" fontId="47" fillId="28" borderId="18" xfId="0" applyFont="1" applyFill="1" applyBorder="1" applyAlignment="1">
      <alignment horizontal="left"/>
    </xf>
    <xf numFmtId="0" fontId="47" fillId="28" borderId="32" xfId="0" applyFont="1" applyFill="1" applyBorder="1" applyAlignment="1">
      <alignment horizontal="left"/>
    </xf>
    <xf numFmtId="0" fontId="47" fillId="28" borderId="14" xfId="0" applyFont="1" applyFill="1" applyBorder="1" applyAlignment="1">
      <alignment horizontal="left"/>
    </xf>
    <xf numFmtId="0" fontId="42" fillId="27" borderId="18" xfId="0" applyFont="1" applyFill="1" applyBorder="1" applyAlignment="1">
      <alignment horizontal="left" vertical="center" wrapText="1"/>
    </xf>
    <xf numFmtId="0" fontId="42" fillId="27" borderId="32" xfId="0" applyFont="1" applyFill="1" applyBorder="1" applyAlignment="1">
      <alignment horizontal="left" vertical="center" wrapText="1"/>
    </xf>
    <xf numFmtId="0" fontId="42" fillId="27" borderId="14" xfId="0" applyFont="1" applyFill="1" applyBorder="1" applyAlignment="1">
      <alignment horizontal="left" vertical="center" wrapText="1"/>
    </xf>
    <xf numFmtId="0" fontId="27" fillId="24" borderId="18" xfId="0" applyFont="1" applyFill="1" applyBorder="1" applyAlignment="1">
      <alignment horizontal="left" vertical="top" wrapText="1"/>
    </xf>
    <xf numFmtId="0" fontId="27" fillId="24" borderId="14" xfId="0" applyFont="1" applyFill="1" applyBorder="1" applyAlignment="1">
      <alignment horizontal="left" vertical="top" wrapText="1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27" fillId="27" borderId="11" xfId="0" applyFont="1" applyFill="1" applyBorder="1" applyAlignment="1">
      <alignment horizontal="left" vertical="center" wrapText="1"/>
    </xf>
    <xf numFmtId="0" fontId="43" fillId="28" borderId="11" xfId="0" applyFont="1" applyFill="1" applyBorder="1" applyAlignment="1">
      <alignment horizontal="left"/>
    </xf>
    <xf numFmtId="0" fontId="0" fillId="0" borderId="11" xfId="0" applyFont="1" applyBorder="1" applyAlignment="1">
      <alignment horizontal="center"/>
    </xf>
    <xf numFmtId="0" fontId="27" fillId="24" borderId="11" xfId="0" applyFont="1" applyFill="1" applyBorder="1" applyAlignment="1">
      <alignment horizontal="left" vertical="top" wrapText="1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27" fillId="26" borderId="11" xfId="0" applyFont="1" applyFill="1" applyBorder="1" applyAlignment="1">
      <alignment horizontal="left" vertical="top" wrapText="1"/>
    </xf>
    <xf numFmtId="0" fontId="27" fillId="24" borderId="11" xfId="0" applyFont="1" applyFill="1" applyBorder="1" applyAlignment="1">
      <alignment horizontal="left" vertical="center" wrapText="1"/>
    </xf>
    <xf numFmtId="0" fontId="42" fillId="24" borderId="11" xfId="0" applyFont="1" applyFill="1" applyBorder="1" applyAlignment="1">
      <alignment horizontal="left" vertical="top" wrapText="1"/>
    </xf>
    <xf numFmtId="0" fontId="41" fillId="24" borderId="35" xfId="0" applyFont="1" applyFill="1" applyBorder="1" applyAlignment="1">
      <alignment horizontal="center" vertical="center" wrapText="1"/>
    </xf>
    <xf numFmtId="0" fontId="41" fillId="24" borderId="57" xfId="0" applyFont="1" applyFill="1" applyBorder="1" applyAlignment="1">
      <alignment horizontal="center" vertical="center" wrapText="1"/>
    </xf>
    <xf numFmtId="0" fontId="41" fillId="24" borderId="58" xfId="0" applyFont="1" applyFill="1" applyBorder="1" applyAlignment="1">
      <alignment horizontal="center" vertical="center" wrapText="1"/>
    </xf>
    <xf numFmtId="0" fontId="41" fillId="24" borderId="40" xfId="0" applyFont="1" applyFill="1" applyBorder="1" applyAlignment="1">
      <alignment horizontal="center" vertical="center" wrapText="1"/>
    </xf>
    <xf numFmtId="0" fontId="41" fillId="24" borderId="0" xfId="0" applyFont="1" applyFill="1" applyBorder="1" applyAlignment="1">
      <alignment horizontal="center" vertical="center" wrapText="1"/>
    </xf>
    <xf numFmtId="0" fontId="41" fillId="24" borderId="77" xfId="0" applyFont="1" applyFill="1" applyBorder="1" applyAlignment="1">
      <alignment horizontal="center" vertical="center" wrapText="1"/>
    </xf>
    <xf numFmtId="0" fontId="41" fillId="24" borderId="27" xfId="0" applyFont="1" applyFill="1" applyBorder="1" applyAlignment="1">
      <alignment horizontal="center" vertical="center" wrapText="1"/>
    </xf>
    <xf numFmtId="0" fontId="41" fillId="24" borderId="34" xfId="0" applyFont="1" applyFill="1" applyBorder="1" applyAlignment="1">
      <alignment horizontal="center" vertical="center" wrapText="1"/>
    </xf>
    <xf numFmtId="0" fontId="41" fillId="24" borderId="59" xfId="0" applyFont="1" applyFill="1" applyBorder="1" applyAlignment="1">
      <alignment horizontal="center" vertical="center" wrapText="1"/>
    </xf>
    <xf numFmtId="0" fontId="41" fillId="24" borderId="19" xfId="0" applyFont="1" applyFill="1" applyBorder="1" applyAlignment="1">
      <alignment horizontal="center" vertical="center" wrapText="1"/>
    </xf>
    <xf numFmtId="0" fontId="41" fillId="24" borderId="36" xfId="0" applyFont="1" applyFill="1" applyBorder="1" applyAlignment="1">
      <alignment horizontal="center" vertical="center" wrapText="1"/>
    </xf>
    <xf numFmtId="0" fontId="41" fillId="24" borderId="17" xfId="0" applyFont="1" applyFill="1" applyBorder="1" applyAlignment="1">
      <alignment horizontal="center" vertical="center" wrapText="1"/>
    </xf>
    <xf numFmtId="3" fontId="41" fillId="24" borderId="35" xfId="0" applyNumberFormat="1" applyFont="1" applyFill="1" applyBorder="1" applyAlignment="1">
      <alignment horizontal="center" vertical="center" wrapText="1"/>
    </xf>
    <xf numFmtId="3" fontId="41" fillId="24" borderId="57" xfId="0" applyNumberFormat="1" applyFont="1" applyFill="1" applyBorder="1" applyAlignment="1">
      <alignment horizontal="center" vertical="center" wrapText="1"/>
    </xf>
    <xf numFmtId="3" fontId="41" fillId="24" borderId="58" xfId="0" applyNumberFormat="1" applyFont="1" applyFill="1" applyBorder="1" applyAlignment="1">
      <alignment horizontal="center" vertical="center" wrapText="1"/>
    </xf>
    <xf numFmtId="3" fontId="41" fillId="24" borderId="19" xfId="0" applyNumberFormat="1" applyFont="1" applyFill="1" applyBorder="1" applyAlignment="1">
      <alignment horizontal="center" vertical="center" wrapText="1"/>
    </xf>
    <xf numFmtId="3" fontId="41" fillId="24" borderId="17" xfId="0" applyNumberFormat="1" applyFont="1" applyFill="1" applyBorder="1" applyAlignment="1">
      <alignment horizontal="center" vertical="center" wrapText="1"/>
    </xf>
    <xf numFmtId="0" fontId="41" fillId="24" borderId="18" xfId="0" applyFont="1" applyFill="1" applyBorder="1" applyAlignment="1">
      <alignment horizontal="center" vertical="center" wrapText="1"/>
    </xf>
    <xf numFmtId="0" fontId="41" fillId="24" borderId="32" xfId="0" applyFont="1" applyFill="1" applyBorder="1" applyAlignment="1">
      <alignment horizontal="center" vertical="center" wrapText="1"/>
    </xf>
    <xf numFmtId="0" fontId="41" fillId="24" borderId="14" xfId="0" applyFont="1" applyFill="1" applyBorder="1" applyAlignment="1">
      <alignment horizontal="center" vertical="center" wrapText="1"/>
    </xf>
    <xf numFmtId="0" fontId="27" fillId="29" borderId="18" xfId="0" applyFont="1" applyFill="1" applyBorder="1" applyAlignment="1">
      <alignment horizontal="left" vertical="center" wrapText="1"/>
    </xf>
    <xf numFmtId="0" fontId="27" fillId="29" borderId="14" xfId="0" applyFont="1" applyFill="1" applyBorder="1" applyAlignment="1">
      <alignment horizontal="left" vertical="center" wrapText="1"/>
    </xf>
    <xf numFmtId="0" fontId="42" fillId="24" borderId="11" xfId="0" applyFont="1" applyFill="1" applyBorder="1" applyAlignment="1">
      <alignment horizontal="left" vertical="center" wrapText="1"/>
    </xf>
    <xf numFmtId="0" fontId="44" fillId="0" borderId="11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17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2" fillId="27" borderId="27" xfId="0" applyFont="1" applyFill="1" applyBorder="1" applyAlignment="1">
      <alignment horizontal="left" vertical="center" wrapText="1"/>
    </xf>
    <xf numFmtId="0" fontId="42" fillId="27" borderId="34" xfId="0" applyFont="1" applyFill="1" applyBorder="1" applyAlignment="1">
      <alignment horizontal="left" vertical="center" wrapText="1"/>
    </xf>
    <xf numFmtId="0" fontId="42" fillId="27" borderId="59" xfId="0" applyFont="1" applyFill="1" applyBorder="1" applyAlignment="1">
      <alignment horizontal="left" vertical="center" wrapText="1"/>
    </xf>
    <xf numFmtId="0" fontId="42" fillId="27" borderId="11" xfId="0" applyFont="1" applyFill="1" applyBorder="1" applyAlignment="1">
      <alignment horizontal="left" vertical="center" wrapText="1"/>
    </xf>
    <xf numFmtId="0" fontId="27" fillId="27" borderId="27" xfId="0" applyFont="1" applyFill="1" applyBorder="1" applyAlignment="1">
      <alignment horizontal="left" vertical="center" wrapText="1"/>
    </xf>
    <xf numFmtId="0" fontId="27" fillId="27" borderId="34" xfId="0" applyFont="1" applyFill="1" applyBorder="1" applyAlignment="1">
      <alignment horizontal="left" vertical="center" wrapText="1"/>
    </xf>
    <xf numFmtId="0" fontId="27" fillId="27" borderId="59" xfId="0" applyFont="1" applyFill="1" applyBorder="1" applyAlignment="1">
      <alignment horizontal="left" vertical="center" wrapText="1"/>
    </xf>
    <xf numFmtId="0" fontId="0" fillId="0" borderId="36" xfId="0" applyFont="1" applyBorder="1" applyAlignment="1">
      <alignment horizontal="center"/>
    </xf>
    <xf numFmtId="167" fontId="29" fillId="0" borderId="0" xfId="0" applyNumberFormat="1" applyFont="1" applyAlignment="1">
      <alignment horizontal="center" textRotation="180" wrapText="1"/>
    </xf>
    <xf numFmtId="167" fontId="31" fillId="0" borderId="38" xfId="0" applyNumberFormat="1" applyFont="1" applyBorder="1" applyAlignment="1">
      <alignment horizontal="center" vertical="center" wrapText="1"/>
    </xf>
    <xf numFmtId="167" fontId="31" fillId="0" borderId="43" xfId="0" applyNumberFormat="1" applyFont="1" applyBorder="1" applyAlignment="1">
      <alignment horizontal="center" vertical="center" wrapText="1"/>
    </xf>
    <xf numFmtId="167" fontId="31" fillId="0" borderId="60" xfId="0" applyNumberFormat="1" applyFont="1" applyBorder="1" applyAlignment="1">
      <alignment horizontal="center" vertical="center" wrapText="1"/>
    </xf>
    <xf numFmtId="167" fontId="31" fillId="0" borderId="61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2" fillId="24" borderId="31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2" fillId="24" borderId="65" xfId="0" applyFont="1" applyFill="1" applyBorder="1" applyAlignment="1">
      <alignment horizontal="center" vertical="center" wrapText="1"/>
    </xf>
    <xf numFmtId="0" fontId="2" fillId="24" borderId="52" xfId="0" applyFont="1" applyFill="1" applyBorder="1" applyAlignment="1">
      <alignment horizontal="center" vertical="center" wrapText="1"/>
    </xf>
    <xf numFmtId="0" fontId="2" fillId="24" borderId="20" xfId="0" applyFont="1" applyFill="1" applyBorder="1" applyAlignment="1">
      <alignment horizontal="center" vertical="center" wrapText="1"/>
    </xf>
    <xf numFmtId="0" fontId="2" fillId="24" borderId="66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8" fillId="1" borderId="62" xfId="0" applyFont="1" applyFill="1" applyBorder="1" applyAlignment="1">
      <alignment horizontal="left" vertical="center"/>
    </xf>
    <xf numFmtId="0" fontId="8" fillId="1" borderId="57" xfId="0" applyFont="1" applyFill="1" applyBorder="1" applyAlignment="1">
      <alignment horizontal="left" vertical="center"/>
    </xf>
    <xf numFmtId="0" fontId="2" fillId="24" borderId="63" xfId="0" applyFont="1" applyFill="1" applyBorder="1" applyAlignment="1">
      <alignment horizontal="left" vertical="center"/>
    </xf>
    <xf numFmtId="0" fontId="2" fillId="24" borderId="64" xfId="0" applyFont="1" applyFill="1" applyBorder="1" applyAlignment="1">
      <alignment horizontal="left" vertical="center"/>
    </xf>
    <xf numFmtId="0" fontId="2" fillId="24" borderId="44" xfId="0" applyFont="1" applyFill="1" applyBorder="1" applyAlignment="1">
      <alignment horizontal="left" vertical="center"/>
    </xf>
    <xf numFmtId="0" fontId="2" fillId="24" borderId="55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vertical="center"/>
    </xf>
    <xf numFmtId="3" fontId="2" fillId="24" borderId="44" xfId="0" applyNumberFormat="1" applyFont="1" applyFill="1" applyBorder="1" applyAlignment="1">
      <alignment horizontal="center" vertical="center" wrapText="1"/>
    </xf>
    <xf numFmtId="3" fontId="2" fillId="24" borderId="56" xfId="0" applyNumberFormat="1" applyFont="1" applyFill="1" applyBorder="1" applyAlignment="1">
      <alignment horizontal="center" vertical="center" wrapText="1"/>
    </xf>
    <xf numFmtId="3" fontId="2" fillId="24" borderId="50" xfId="0" applyNumberFormat="1" applyFont="1" applyFill="1" applyBorder="1" applyAlignment="1">
      <alignment horizontal="center" vertical="center" wrapText="1"/>
    </xf>
    <xf numFmtId="0" fontId="2" fillId="24" borderId="44" xfId="0" applyFont="1" applyFill="1" applyBorder="1" applyAlignment="1">
      <alignment horizontal="center" vertical="center" wrapText="1"/>
    </xf>
    <xf numFmtId="0" fontId="2" fillId="24" borderId="5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67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70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2" fillId="1" borderId="18" xfId="0" applyFont="1" applyFill="1" applyBorder="1" applyAlignment="1">
      <alignment horizontal="left" vertical="center"/>
    </xf>
    <xf numFmtId="0" fontId="2" fillId="1" borderId="32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0" borderId="46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56" fillId="1" borderId="18" xfId="0" applyFont="1" applyFill="1" applyBorder="1" applyAlignment="1">
      <alignment horizontal="left" vertical="center"/>
    </xf>
    <xf numFmtId="0" fontId="56" fillId="1" borderId="32" xfId="0" applyFont="1" applyFill="1" applyBorder="1" applyAlignment="1">
      <alignment horizontal="left" vertical="center"/>
    </xf>
    <xf numFmtId="0" fontId="56" fillId="1" borderId="14" xfId="0" applyFont="1" applyFill="1" applyBorder="1" applyAlignment="1">
      <alignment horizontal="left" vertical="center"/>
    </xf>
    <xf numFmtId="0" fontId="2" fillId="24" borderId="68" xfId="0" applyFont="1" applyFill="1" applyBorder="1" applyAlignment="1">
      <alignment horizontal="left" vertical="center"/>
    </xf>
    <xf numFmtId="0" fontId="2" fillId="24" borderId="69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top"/>
    </xf>
    <xf numFmtId="2" fontId="2" fillId="0" borderId="18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2" fillId="24" borderId="26" xfId="0" applyFont="1" applyFill="1" applyBorder="1" applyAlignment="1">
      <alignment horizontal="left" vertical="center"/>
    </xf>
    <xf numFmtId="0" fontId="2" fillId="24" borderId="23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24" borderId="19" xfId="0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67" fontId="32" fillId="0" borderId="38" xfId="0" applyNumberFormat="1" applyFont="1" applyBorder="1" applyAlignment="1">
      <alignment horizontal="center" vertical="center" wrapText="1"/>
    </xf>
    <xf numFmtId="167" fontId="32" fillId="0" borderId="43" xfId="0" applyNumberFormat="1" applyFont="1" applyBorder="1" applyAlignment="1">
      <alignment horizontal="center" vertical="center" wrapText="1"/>
    </xf>
    <xf numFmtId="167" fontId="32" fillId="0" borderId="67" xfId="0" applyNumberFormat="1" applyFont="1" applyBorder="1" applyAlignment="1">
      <alignment horizontal="center" vertical="center" wrapText="1"/>
    </xf>
    <xf numFmtId="167" fontId="32" fillId="0" borderId="21" xfId="0" applyNumberFormat="1" applyFont="1" applyBorder="1" applyAlignment="1">
      <alignment horizontal="center" vertical="center" wrapText="1"/>
    </xf>
    <xf numFmtId="167" fontId="32" fillId="0" borderId="75" xfId="0" applyNumberFormat="1" applyFont="1" applyBorder="1" applyAlignment="1">
      <alignment horizontal="center" vertical="center" wrapText="1"/>
    </xf>
    <xf numFmtId="167" fontId="32" fillId="0" borderId="16" xfId="0" applyNumberFormat="1" applyFont="1" applyBorder="1" applyAlignment="1">
      <alignment horizontal="center" vertical="center"/>
    </xf>
    <xf numFmtId="167" fontId="32" fillId="0" borderId="16" xfId="0" applyNumberFormat="1" applyFont="1" applyBorder="1" applyAlignment="1">
      <alignment horizontal="center" vertical="center" wrapText="1"/>
    </xf>
    <xf numFmtId="0" fontId="2" fillId="24" borderId="29" xfId="0" applyFont="1" applyFill="1" applyBorder="1" applyAlignment="1">
      <alignment horizontal="center" vertical="center" wrapText="1"/>
    </xf>
    <xf numFmtId="0" fontId="2" fillId="24" borderId="72" xfId="0" applyFont="1" applyFill="1" applyBorder="1" applyAlignment="1">
      <alignment horizontal="center" vertical="center" wrapText="1"/>
    </xf>
    <xf numFmtId="49" fontId="2" fillId="24" borderId="67" xfId="0" applyNumberFormat="1" applyFont="1" applyFill="1" applyBorder="1" applyAlignment="1">
      <alignment horizontal="center" vertical="center" wrapText="1"/>
    </xf>
    <xf numFmtId="49" fontId="2" fillId="24" borderId="21" xfId="0" applyNumberFormat="1" applyFont="1" applyFill="1" applyBorder="1" applyAlignment="1">
      <alignment horizontal="center" vertical="center" wrapText="1"/>
    </xf>
    <xf numFmtId="0" fontId="2" fillId="24" borderId="70" xfId="0" applyFont="1" applyFill="1" applyBorder="1" applyAlignment="1">
      <alignment horizontal="center" vertical="center" wrapText="1"/>
    </xf>
    <xf numFmtId="0" fontId="2" fillId="24" borderId="28" xfId="0" applyFont="1" applyFill="1" applyBorder="1" applyAlignment="1">
      <alignment horizontal="center" vertical="center" wrapText="1"/>
    </xf>
    <xf numFmtId="43" fontId="2" fillId="24" borderId="65" xfId="0" applyNumberFormat="1" applyFont="1" applyFill="1" applyBorder="1" applyAlignment="1">
      <alignment horizontal="center" vertical="center" wrapText="1"/>
    </xf>
    <xf numFmtId="43" fontId="2" fillId="24" borderId="52" xfId="0" applyNumberFormat="1" applyFont="1" applyFill="1" applyBorder="1" applyAlignment="1">
      <alignment horizontal="center" vertical="center" wrapText="1"/>
    </xf>
    <xf numFmtId="0" fontId="2" fillId="24" borderId="73" xfId="0" applyFont="1" applyFill="1" applyBorder="1" applyAlignment="1">
      <alignment horizontal="center" vertical="center" wrapText="1"/>
    </xf>
    <xf numFmtId="0" fontId="2" fillId="24" borderId="74" xfId="0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center" vertical="center" wrapText="1"/>
    </xf>
    <xf numFmtId="0" fontId="2" fillId="24" borderId="46" xfId="0" applyFont="1" applyFill="1" applyBorder="1" applyAlignment="1">
      <alignment horizontal="center" vertical="center" wrapText="1"/>
    </xf>
    <xf numFmtId="0" fontId="2" fillId="24" borderId="58" xfId="0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 wrapText="1"/>
    </xf>
    <xf numFmtId="0" fontId="0" fillId="0" borderId="37" xfId="0" applyBorder="1"/>
    <xf numFmtId="0" fontId="0" fillId="0" borderId="44" xfId="0" applyBorder="1"/>
    <xf numFmtId="0" fontId="3" fillId="0" borderId="44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42" builtinId="3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7"/>
    <pageSetUpPr fitToPage="1"/>
  </sheetPr>
  <dimension ref="A1:S50"/>
  <sheetViews>
    <sheetView topLeftCell="E28" zoomScaleNormal="100" workbookViewId="0">
      <selection activeCell="U42" sqref="U42"/>
    </sheetView>
  </sheetViews>
  <sheetFormatPr defaultRowHeight="12.75" x14ac:dyDescent="0.2"/>
  <cols>
    <col min="1" max="1" width="3.7109375" customWidth="1"/>
    <col min="2" max="2" width="3.140625" customWidth="1"/>
    <col min="3" max="3" width="52.7109375" customWidth="1"/>
    <col min="4" max="4" width="9.140625" customWidth="1"/>
    <col min="5" max="5" width="13.85546875" style="262" customWidth="1"/>
    <col min="6" max="6" width="15" style="262" bestFit="1" customWidth="1"/>
    <col min="7" max="7" width="15" style="262" customWidth="1"/>
    <col min="8" max="9" width="13.85546875" style="262" customWidth="1"/>
    <col min="10" max="14" width="12.7109375" style="262" customWidth="1"/>
    <col min="15" max="19" width="14.42578125" style="262" customWidth="1"/>
  </cols>
  <sheetData>
    <row r="1" spans="1:19" ht="21.75" customHeight="1" x14ac:dyDescent="0.2">
      <c r="A1" s="540" t="s">
        <v>448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/>
      <c r="Q1"/>
      <c r="R1"/>
      <c r="S1"/>
    </row>
    <row r="2" spans="1:19" ht="28.5" customHeight="1" x14ac:dyDescent="0.2">
      <c r="A2" s="541" t="s">
        <v>101</v>
      </c>
      <c r="B2" s="541"/>
      <c r="C2" s="541"/>
      <c r="D2" s="541"/>
      <c r="E2" s="541"/>
      <c r="F2" s="541"/>
      <c r="G2" s="541"/>
      <c r="H2" s="541"/>
      <c r="I2" s="541"/>
      <c r="J2" s="541"/>
      <c r="K2" s="425"/>
      <c r="L2" s="458"/>
      <c r="M2" s="425"/>
      <c r="N2" s="425"/>
      <c r="P2" s="295"/>
      <c r="Q2" s="295"/>
      <c r="R2" s="295"/>
      <c r="S2" s="295" t="s">
        <v>380</v>
      </c>
    </row>
    <row r="3" spans="1:19" ht="36.75" customHeight="1" x14ac:dyDescent="0.2">
      <c r="A3" s="549" t="s">
        <v>36</v>
      </c>
      <c r="B3" s="550"/>
      <c r="C3" s="551"/>
      <c r="D3" s="313" t="s">
        <v>309</v>
      </c>
      <c r="E3" s="555" t="s">
        <v>370</v>
      </c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6"/>
      <c r="Q3" s="556"/>
      <c r="R3" s="556"/>
      <c r="S3" s="557"/>
    </row>
    <row r="4" spans="1:19" ht="30" x14ac:dyDescent="0.2">
      <c r="A4" s="552"/>
      <c r="B4" s="553"/>
      <c r="C4" s="554"/>
      <c r="D4" s="314"/>
      <c r="E4" s="171" t="s">
        <v>201</v>
      </c>
      <c r="F4" s="171" t="s">
        <v>426</v>
      </c>
      <c r="G4" s="171" t="s">
        <v>442</v>
      </c>
      <c r="H4" s="171" t="s">
        <v>427</v>
      </c>
      <c r="I4" s="171" t="s">
        <v>428</v>
      </c>
      <c r="J4" s="171" t="s">
        <v>278</v>
      </c>
      <c r="K4" s="171" t="s">
        <v>426</v>
      </c>
      <c r="L4" s="171" t="s">
        <v>449</v>
      </c>
      <c r="M4" s="171" t="s">
        <v>427</v>
      </c>
      <c r="N4" s="171" t="s">
        <v>428</v>
      </c>
      <c r="O4" s="171" t="s">
        <v>438</v>
      </c>
      <c r="P4" s="171" t="s">
        <v>432</v>
      </c>
      <c r="Q4" s="171" t="s">
        <v>442</v>
      </c>
      <c r="R4" s="171" t="s">
        <v>431</v>
      </c>
      <c r="S4" s="171" t="s">
        <v>428</v>
      </c>
    </row>
    <row r="5" spans="1:19" ht="17.25" customHeight="1" x14ac:dyDescent="0.2">
      <c r="A5" s="548" t="s">
        <v>37</v>
      </c>
      <c r="B5" s="167"/>
      <c r="C5" s="164" t="s">
        <v>223</v>
      </c>
      <c r="D5" s="164" t="s">
        <v>313</v>
      </c>
      <c r="E5" s="165">
        <v>75428581</v>
      </c>
      <c r="F5" s="165">
        <v>23382844</v>
      </c>
      <c r="G5" s="165">
        <f>H5-F5-E5</f>
        <v>523962</v>
      </c>
      <c r="H5" s="441">
        <v>99335387</v>
      </c>
      <c r="I5" s="441">
        <v>75511920</v>
      </c>
      <c r="J5" s="165">
        <v>0</v>
      </c>
      <c r="K5" s="165">
        <v>0</v>
      </c>
      <c r="L5" s="165">
        <v>0</v>
      </c>
      <c r="M5" s="165"/>
      <c r="N5" s="165"/>
      <c r="O5" s="165">
        <f>E5+J5</f>
        <v>75428581</v>
      </c>
      <c r="P5" s="165">
        <f>F5+K5</f>
        <v>23382844</v>
      </c>
      <c r="Q5" s="165">
        <f>G5+L5</f>
        <v>523962</v>
      </c>
      <c r="R5" s="165">
        <f>H5+M5</f>
        <v>99335387</v>
      </c>
      <c r="S5" s="165">
        <f>I5+N5</f>
        <v>75511920</v>
      </c>
    </row>
    <row r="6" spans="1:19" ht="25.5" x14ac:dyDescent="0.2">
      <c r="A6" s="548"/>
      <c r="B6" s="167"/>
      <c r="C6" s="164" t="s">
        <v>224</v>
      </c>
      <c r="D6" s="164" t="s">
        <v>314</v>
      </c>
      <c r="E6" s="165">
        <v>144073630</v>
      </c>
      <c r="F6" s="165">
        <v>0</v>
      </c>
      <c r="G6" s="165">
        <f t="shared" ref="G6:G14" si="0">H6-F6-E6</f>
        <v>8250495</v>
      </c>
      <c r="H6" s="441">
        <v>152324125</v>
      </c>
      <c r="I6" s="441">
        <v>115841078</v>
      </c>
      <c r="J6" s="165">
        <v>0</v>
      </c>
      <c r="K6" s="165">
        <v>0</v>
      </c>
      <c r="L6" s="165">
        <v>0</v>
      </c>
      <c r="M6" s="165"/>
      <c r="N6" s="165"/>
      <c r="O6" s="165">
        <f t="shared" ref="O6:O47" si="1">E6+J6</f>
        <v>144073630</v>
      </c>
      <c r="P6" s="165">
        <f t="shared" ref="P6:P47" si="2">F6+K6</f>
        <v>0</v>
      </c>
      <c r="Q6" s="165">
        <f t="shared" ref="Q6:Q50" si="3">G6+L6</f>
        <v>8250495</v>
      </c>
      <c r="R6" s="165">
        <f t="shared" ref="R6:R47" si="4">H6+M6</f>
        <v>152324125</v>
      </c>
      <c r="S6" s="165">
        <f t="shared" ref="S6:S47" si="5">I6+N6</f>
        <v>115841078</v>
      </c>
    </row>
    <row r="7" spans="1:19" ht="25.5" x14ac:dyDescent="0.2">
      <c r="A7" s="548"/>
      <c r="B7" s="167"/>
      <c r="C7" s="164" t="s">
        <v>225</v>
      </c>
      <c r="D7" s="164" t="s">
        <v>315</v>
      </c>
      <c r="E7" s="165">
        <f>59869158-494000</f>
        <v>59375158</v>
      </c>
      <c r="F7" s="165">
        <v>2003647</v>
      </c>
      <c r="G7" s="165">
        <f t="shared" si="0"/>
        <v>-7942875</v>
      </c>
      <c r="H7" s="441">
        <v>53435930</v>
      </c>
      <c r="I7" s="441">
        <v>44269628</v>
      </c>
      <c r="J7" s="165">
        <v>0</v>
      </c>
      <c r="K7" s="165">
        <v>0</v>
      </c>
      <c r="L7" s="165">
        <v>0</v>
      </c>
      <c r="M7" s="165"/>
      <c r="N7" s="165"/>
      <c r="O7" s="165">
        <f t="shared" si="1"/>
        <v>59375158</v>
      </c>
      <c r="P7" s="165">
        <f t="shared" si="2"/>
        <v>2003647</v>
      </c>
      <c r="Q7" s="165">
        <f t="shared" si="3"/>
        <v>-7942875</v>
      </c>
      <c r="R7" s="165">
        <f t="shared" si="4"/>
        <v>53435930</v>
      </c>
      <c r="S7" s="165">
        <f t="shared" si="5"/>
        <v>44269628</v>
      </c>
    </row>
    <row r="8" spans="1:19" ht="14.25" customHeight="1" x14ac:dyDescent="0.2">
      <c r="A8" s="548"/>
      <c r="B8" s="167"/>
      <c r="C8" s="164" t="s">
        <v>226</v>
      </c>
      <c r="D8" s="164" t="s">
        <v>316</v>
      </c>
      <c r="E8" s="165">
        <v>4115790</v>
      </c>
      <c r="F8" s="165">
        <v>0</v>
      </c>
      <c r="G8" s="165">
        <f t="shared" si="0"/>
        <v>1414700</v>
      </c>
      <c r="H8" s="441">
        <v>5530490</v>
      </c>
      <c r="I8" s="441">
        <v>4118289</v>
      </c>
      <c r="J8" s="165">
        <v>0</v>
      </c>
      <c r="K8" s="165">
        <v>0</v>
      </c>
      <c r="L8" s="165">
        <v>0</v>
      </c>
      <c r="M8" s="165"/>
      <c r="N8" s="165"/>
      <c r="O8" s="165">
        <f t="shared" si="1"/>
        <v>4115790</v>
      </c>
      <c r="P8" s="165">
        <f t="shared" si="2"/>
        <v>0</v>
      </c>
      <c r="Q8" s="165">
        <f t="shared" si="3"/>
        <v>1414700</v>
      </c>
      <c r="R8" s="165">
        <f t="shared" si="4"/>
        <v>5530490</v>
      </c>
      <c r="S8" s="165">
        <f t="shared" si="5"/>
        <v>4118289</v>
      </c>
    </row>
    <row r="9" spans="1:19" ht="14.25" customHeight="1" x14ac:dyDescent="0.2">
      <c r="A9" s="548"/>
      <c r="B9" s="469"/>
      <c r="C9" s="164" t="s">
        <v>443</v>
      </c>
      <c r="D9" s="164" t="s">
        <v>444</v>
      </c>
      <c r="E9" s="165"/>
      <c r="F9" s="165"/>
      <c r="G9" s="165">
        <f t="shared" si="0"/>
        <v>27000</v>
      </c>
      <c r="H9" s="441">
        <v>27000</v>
      </c>
      <c r="I9" s="441">
        <v>27000</v>
      </c>
      <c r="J9" s="165"/>
      <c r="K9" s="165"/>
      <c r="L9" s="165"/>
      <c r="M9" s="165"/>
      <c r="N9" s="165"/>
      <c r="O9" s="165"/>
      <c r="P9" s="165"/>
      <c r="Q9" s="165">
        <f t="shared" si="3"/>
        <v>27000</v>
      </c>
      <c r="R9" s="165">
        <f t="shared" si="4"/>
        <v>27000</v>
      </c>
      <c r="S9" s="165">
        <f t="shared" si="5"/>
        <v>27000</v>
      </c>
    </row>
    <row r="10" spans="1:19" ht="18" customHeight="1" x14ac:dyDescent="0.2">
      <c r="A10" s="548"/>
      <c r="B10" s="542" t="s">
        <v>227</v>
      </c>
      <c r="C10" s="543"/>
      <c r="D10" s="315" t="s">
        <v>317</v>
      </c>
      <c r="E10" s="188">
        <f>SUM(E5:E9)</f>
        <v>282993159</v>
      </c>
      <c r="F10" s="188">
        <v>25386491</v>
      </c>
      <c r="G10" s="188">
        <f>SUM(G5:G9)</f>
        <v>2273282</v>
      </c>
      <c r="H10" s="468">
        <f>SUM(H5:H9)</f>
        <v>310652932</v>
      </c>
      <c r="I10" s="468">
        <f>SUM(I5:I9)</f>
        <v>239767915</v>
      </c>
      <c r="J10" s="188">
        <f>SUM(J5:J8)</f>
        <v>0</v>
      </c>
      <c r="K10" s="188">
        <v>0</v>
      </c>
      <c r="L10" s="188">
        <f>SUM(L5:L8)</f>
        <v>0</v>
      </c>
      <c r="M10" s="188">
        <f t="shared" ref="M10:N10" si="6">SUM(M5:M8)</f>
        <v>0</v>
      </c>
      <c r="N10" s="188">
        <f t="shared" si="6"/>
        <v>0</v>
      </c>
      <c r="O10" s="188">
        <f t="shared" si="1"/>
        <v>282993159</v>
      </c>
      <c r="P10" s="188">
        <f t="shared" si="2"/>
        <v>25386491</v>
      </c>
      <c r="Q10" s="188">
        <f t="shared" si="3"/>
        <v>2273282</v>
      </c>
      <c r="R10" s="188">
        <f>H10+M10</f>
        <v>310652932</v>
      </c>
      <c r="S10" s="188">
        <f t="shared" si="5"/>
        <v>239767915</v>
      </c>
    </row>
    <row r="11" spans="1:19" x14ac:dyDescent="0.2">
      <c r="A11" s="548"/>
      <c r="B11" s="168"/>
      <c r="C11" s="202" t="s">
        <v>371</v>
      </c>
      <c r="D11" s="256" t="s">
        <v>318</v>
      </c>
      <c r="E11" s="165">
        <v>0</v>
      </c>
      <c r="F11" s="165">
        <v>0</v>
      </c>
      <c r="G11" s="165">
        <f t="shared" si="0"/>
        <v>0</v>
      </c>
      <c r="H11" s="441">
        <v>0</v>
      </c>
      <c r="I11" s="441">
        <v>0</v>
      </c>
      <c r="J11" s="165">
        <v>0</v>
      </c>
      <c r="K11" s="165"/>
      <c r="L11" s="165">
        <v>0</v>
      </c>
      <c r="M11" s="165"/>
      <c r="N11" s="165"/>
      <c r="O11" s="165">
        <f t="shared" si="1"/>
        <v>0</v>
      </c>
      <c r="P11" s="165">
        <f t="shared" si="2"/>
        <v>0</v>
      </c>
      <c r="Q11" s="165">
        <f t="shared" si="3"/>
        <v>0</v>
      </c>
      <c r="R11" s="165">
        <f t="shared" si="4"/>
        <v>0</v>
      </c>
      <c r="S11" s="165">
        <f t="shared" si="5"/>
        <v>0</v>
      </c>
    </row>
    <row r="12" spans="1:19" x14ac:dyDescent="0.2">
      <c r="A12" s="548"/>
      <c r="B12" s="168"/>
      <c r="C12" s="161" t="s">
        <v>241</v>
      </c>
      <c r="D12" s="256" t="s">
        <v>318</v>
      </c>
      <c r="E12" s="165">
        <v>18648000</v>
      </c>
      <c r="F12" s="165">
        <v>1762500</v>
      </c>
      <c r="G12" s="165">
        <f t="shared" si="0"/>
        <v>0</v>
      </c>
      <c r="H12" s="441">
        <v>20410500</v>
      </c>
      <c r="I12" s="441">
        <v>17888000</v>
      </c>
      <c r="J12" s="165"/>
      <c r="K12" s="165"/>
      <c r="L12" s="165"/>
      <c r="M12" s="165"/>
      <c r="N12" s="165"/>
      <c r="O12" s="165">
        <f t="shared" si="1"/>
        <v>18648000</v>
      </c>
      <c r="P12" s="165">
        <f t="shared" si="2"/>
        <v>1762500</v>
      </c>
      <c r="Q12" s="165">
        <f t="shared" si="3"/>
        <v>0</v>
      </c>
      <c r="R12" s="165">
        <f t="shared" si="4"/>
        <v>20410500</v>
      </c>
      <c r="S12" s="165">
        <f t="shared" si="5"/>
        <v>17888000</v>
      </c>
    </row>
    <row r="13" spans="1:19" x14ac:dyDescent="0.2">
      <c r="A13" s="548"/>
      <c r="B13" s="168"/>
      <c r="C13" s="161" t="s">
        <v>242</v>
      </c>
      <c r="D13" s="256" t="s">
        <v>318</v>
      </c>
      <c r="E13" s="165">
        <v>4468659</v>
      </c>
      <c r="F13" s="165">
        <v>0</v>
      </c>
      <c r="G13" s="165">
        <f t="shared" si="0"/>
        <v>121276</v>
      </c>
      <c r="H13" s="441">
        <f>4468659+121276</f>
        <v>4589935</v>
      </c>
      <c r="I13" s="441">
        <v>3054684</v>
      </c>
      <c r="J13" s="165">
        <v>0</v>
      </c>
      <c r="K13" s="165"/>
      <c r="L13" s="165">
        <v>0</v>
      </c>
      <c r="M13" s="165"/>
      <c r="N13" s="165"/>
      <c r="O13" s="165">
        <f t="shared" si="1"/>
        <v>4468659</v>
      </c>
      <c r="P13" s="165">
        <f t="shared" si="2"/>
        <v>0</v>
      </c>
      <c r="Q13" s="165">
        <f t="shared" si="3"/>
        <v>121276</v>
      </c>
      <c r="R13" s="165">
        <f t="shared" si="4"/>
        <v>4589935</v>
      </c>
      <c r="S13" s="165">
        <f t="shared" si="5"/>
        <v>3054684</v>
      </c>
    </row>
    <row r="14" spans="1:19" x14ac:dyDescent="0.2">
      <c r="A14" s="548"/>
      <c r="B14" s="168"/>
      <c r="C14" s="161" t="s">
        <v>243</v>
      </c>
      <c r="D14" s="256" t="s">
        <v>318</v>
      </c>
      <c r="E14" s="165">
        <v>29812489</v>
      </c>
      <c r="F14" s="165">
        <v>0</v>
      </c>
      <c r="G14" s="165">
        <f t="shared" si="0"/>
        <v>0</v>
      </c>
      <c r="H14" s="441">
        <v>29812489</v>
      </c>
      <c r="I14" s="441">
        <v>7192064</v>
      </c>
      <c r="J14" s="165">
        <v>0</v>
      </c>
      <c r="K14" s="165"/>
      <c r="L14" s="165">
        <v>0</v>
      </c>
      <c r="M14" s="165"/>
      <c r="N14" s="165"/>
      <c r="O14" s="165">
        <f t="shared" si="1"/>
        <v>29812489</v>
      </c>
      <c r="P14" s="165">
        <f t="shared" si="2"/>
        <v>0</v>
      </c>
      <c r="Q14" s="165">
        <f t="shared" si="3"/>
        <v>0</v>
      </c>
      <c r="R14" s="165">
        <f t="shared" si="4"/>
        <v>29812489</v>
      </c>
      <c r="S14" s="165">
        <f t="shared" si="5"/>
        <v>7192064</v>
      </c>
    </row>
    <row r="15" spans="1:19" s="158" customFormat="1" ht="18.75" customHeight="1" x14ac:dyDescent="0.2">
      <c r="A15" s="548"/>
      <c r="B15" s="542" t="s">
        <v>244</v>
      </c>
      <c r="C15" s="543"/>
      <c r="D15" s="315" t="s">
        <v>318</v>
      </c>
      <c r="E15" s="188">
        <f>SUM(E11:E14)</f>
        <v>52929148</v>
      </c>
      <c r="F15" s="188">
        <v>1762500</v>
      </c>
      <c r="G15" s="188">
        <f>SUM(G11:G14)</f>
        <v>121276</v>
      </c>
      <c r="H15" s="468">
        <f t="shared" ref="H15:I15" si="7">SUM(H11:H14)</f>
        <v>54812924</v>
      </c>
      <c r="I15" s="468">
        <f t="shared" si="7"/>
        <v>28134748</v>
      </c>
      <c r="J15" s="188">
        <f>SUM(J11:J14)</f>
        <v>0</v>
      </c>
      <c r="K15" s="188">
        <v>0</v>
      </c>
      <c r="L15" s="188">
        <f>SUM(L11:L14)</f>
        <v>0</v>
      </c>
      <c r="M15" s="188">
        <f t="shared" ref="M15:N15" si="8">SUM(M11:M14)</f>
        <v>0</v>
      </c>
      <c r="N15" s="188">
        <f t="shared" si="8"/>
        <v>0</v>
      </c>
      <c r="O15" s="188">
        <f t="shared" si="1"/>
        <v>52929148</v>
      </c>
      <c r="P15" s="188">
        <f t="shared" si="2"/>
        <v>1762500</v>
      </c>
      <c r="Q15" s="188">
        <f t="shared" si="3"/>
        <v>121276</v>
      </c>
      <c r="R15" s="188">
        <f t="shared" si="4"/>
        <v>54812924</v>
      </c>
      <c r="S15" s="188">
        <f t="shared" si="5"/>
        <v>28134748</v>
      </c>
    </row>
    <row r="16" spans="1:19" s="162" customFormat="1" ht="22.5" customHeight="1" x14ac:dyDescent="0.2">
      <c r="A16" s="548"/>
      <c r="B16" s="544" t="s">
        <v>245</v>
      </c>
      <c r="C16" s="545"/>
      <c r="D16" s="316" t="s">
        <v>319</v>
      </c>
      <c r="E16" s="189">
        <f t="shared" ref="E16:N16" si="9">E10+E15</f>
        <v>335922307</v>
      </c>
      <c r="F16" s="189">
        <v>27148991</v>
      </c>
      <c r="G16" s="189">
        <f t="shared" si="9"/>
        <v>2394558</v>
      </c>
      <c r="H16" s="463">
        <f t="shared" si="9"/>
        <v>365465856</v>
      </c>
      <c r="I16" s="463">
        <f t="shared" si="9"/>
        <v>267902663</v>
      </c>
      <c r="J16" s="189">
        <f t="shared" si="9"/>
        <v>0</v>
      </c>
      <c r="K16" s="189">
        <v>0</v>
      </c>
      <c r="L16" s="189">
        <f t="shared" ref="L16" si="10">L10+L15</f>
        <v>0</v>
      </c>
      <c r="M16" s="189">
        <f t="shared" si="9"/>
        <v>0</v>
      </c>
      <c r="N16" s="189">
        <f t="shared" si="9"/>
        <v>0</v>
      </c>
      <c r="O16" s="189">
        <f t="shared" si="1"/>
        <v>335922307</v>
      </c>
      <c r="P16" s="189">
        <f t="shared" si="2"/>
        <v>27148991</v>
      </c>
      <c r="Q16" s="189">
        <f t="shared" si="3"/>
        <v>2394558</v>
      </c>
      <c r="R16" s="189">
        <f t="shared" si="4"/>
        <v>365465856</v>
      </c>
      <c r="S16" s="189">
        <f t="shared" si="5"/>
        <v>267902663</v>
      </c>
    </row>
    <row r="17" spans="1:19" s="158" customFormat="1" x14ac:dyDescent="0.2">
      <c r="A17" s="457"/>
      <c r="B17" s="558" t="s">
        <v>445</v>
      </c>
      <c r="C17" s="543"/>
      <c r="D17" s="459" t="s">
        <v>446</v>
      </c>
      <c r="E17" s="188"/>
      <c r="F17" s="188"/>
      <c r="G17" s="188"/>
      <c r="H17" s="468"/>
      <c r="I17" s="468">
        <v>1</v>
      </c>
      <c r="J17" s="188"/>
      <c r="K17" s="188"/>
      <c r="L17" s="188"/>
      <c r="M17" s="188"/>
      <c r="N17" s="188"/>
      <c r="O17" s="188"/>
      <c r="P17" s="188"/>
      <c r="Q17" s="188">
        <f t="shared" si="3"/>
        <v>0</v>
      </c>
      <c r="R17" s="188"/>
      <c r="S17" s="188"/>
    </row>
    <row r="18" spans="1:19" s="158" customFormat="1" ht="12.75" customHeight="1" x14ac:dyDescent="0.2">
      <c r="A18" s="567" t="s">
        <v>38</v>
      </c>
      <c r="B18" s="542" t="s">
        <v>228</v>
      </c>
      <c r="C18" s="543"/>
      <c r="D18" s="315" t="s">
        <v>320</v>
      </c>
      <c r="E18" s="188">
        <v>6400000</v>
      </c>
      <c r="F18" s="188">
        <v>0</v>
      </c>
      <c r="G18" s="188">
        <f>H18-F18-E18</f>
        <v>0</v>
      </c>
      <c r="H18" s="468">
        <v>6400000</v>
      </c>
      <c r="I18" s="468">
        <v>6140380</v>
      </c>
      <c r="J18" s="188">
        <v>0</v>
      </c>
      <c r="K18" s="188"/>
      <c r="L18" s="188"/>
      <c r="M18" s="188"/>
      <c r="N18" s="188"/>
      <c r="O18" s="188">
        <f t="shared" si="1"/>
        <v>6400000</v>
      </c>
      <c r="P18" s="188">
        <f t="shared" si="2"/>
        <v>0</v>
      </c>
      <c r="Q18" s="188">
        <f t="shared" si="3"/>
        <v>0</v>
      </c>
      <c r="R18" s="188">
        <f t="shared" si="4"/>
        <v>6400000</v>
      </c>
      <c r="S18" s="188">
        <f t="shared" si="5"/>
        <v>6140380</v>
      </c>
    </row>
    <row r="19" spans="1:19" x14ac:dyDescent="0.2">
      <c r="A19" s="548"/>
      <c r="B19" s="167" t="s">
        <v>37</v>
      </c>
      <c r="C19" s="164" t="s">
        <v>220</v>
      </c>
      <c r="D19" s="164" t="s">
        <v>321</v>
      </c>
      <c r="E19" s="165">
        <v>161354000</v>
      </c>
      <c r="F19" s="165">
        <v>0</v>
      </c>
      <c r="G19" s="165">
        <f t="shared" ref="G19:G21" si="11">H19-F19-E19</f>
        <v>0</v>
      </c>
      <c r="H19" s="441">
        <v>161354000</v>
      </c>
      <c r="I19" s="441">
        <v>141304500</v>
      </c>
      <c r="J19" s="165">
        <v>0</v>
      </c>
      <c r="K19" s="165"/>
      <c r="L19" s="165"/>
      <c r="M19" s="165"/>
      <c r="N19" s="165"/>
      <c r="O19" s="165">
        <f t="shared" si="1"/>
        <v>161354000</v>
      </c>
      <c r="P19" s="165">
        <f t="shared" si="2"/>
        <v>0</v>
      </c>
      <c r="Q19" s="165">
        <f t="shared" si="3"/>
        <v>0</v>
      </c>
      <c r="R19" s="165">
        <f t="shared" si="4"/>
        <v>161354000</v>
      </c>
      <c r="S19" s="165">
        <f t="shared" si="5"/>
        <v>141304500</v>
      </c>
    </row>
    <row r="20" spans="1:19" x14ac:dyDescent="0.2">
      <c r="A20" s="548"/>
      <c r="B20" s="167" t="s">
        <v>38</v>
      </c>
      <c r="C20" s="164" t="s">
        <v>229</v>
      </c>
      <c r="D20" s="164" t="s">
        <v>322</v>
      </c>
      <c r="E20" s="165">
        <v>12900000</v>
      </c>
      <c r="F20" s="165">
        <v>-12900000</v>
      </c>
      <c r="G20" s="165">
        <f t="shared" si="11"/>
        <v>0</v>
      </c>
      <c r="H20" s="441">
        <v>0</v>
      </c>
      <c r="I20" s="441">
        <v>0</v>
      </c>
      <c r="J20" s="165">
        <v>0</v>
      </c>
      <c r="K20" s="165"/>
      <c r="L20" s="165"/>
      <c r="M20" s="165"/>
      <c r="N20" s="165"/>
      <c r="O20" s="165">
        <f t="shared" si="1"/>
        <v>12900000</v>
      </c>
      <c r="P20" s="165">
        <f t="shared" si="2"/>
        <v>-12900000</v>
      </c>
      <c r="Q20" s="165">
        <f t="shared" si="3"/>
        <v>0</v>
      </c>
      <c r="R20" s="165">
        <f t="shared" si="4"/>
        <v>0</v>
      </c>
      <c r="S20" s="165">
        <f t="shared" si="5"/>
        <v>0</v>
      </c>
    </row>
    <row r="21" spans="1:19" x14ac:dyDescent="0.2">
      <c r="A21" s="548"/>
      <c r="B21" s="167" t="s">
        <v>39</v>
      </c>
      <c r="C21" s="164" t="s">
        <v>221</v>
      </c>
      <c r="D21" s="164" t="s">
        <v>323</v>
      </c>
      <c r="E21" s="165">
        <v>400000</v>
      </c>
      <c r="F21" s="165">
        <v>0</v>
      </c>
      <c r="G21" s="165">
        <f t="shared" si="11"/>
        <v>0</v>
      </c>
      <c r="H21" s="441">
        <v>400000</v>
      </c>
      <c r="I21" s="441">
        <v>5000</v>
      </c>
      <c r="J21" s="165">
        <v>0</v>
      </c>
      <c r="K21" s="165"/>
      <c r="L21" s="165"/>
      <c r="M21" s="165"/>
      <c r="N21" s="165"/>
      <c r="O21" s="165">
        <f t="shared" si="1"/>
        <v>400000</v>
      </c>
      <c r="P21" s="165">
        <f t="shared" si="2"/>
        <v>0</v>
      </c>
      <c r="Q21" s="165">
        <f t="shared" si="3"/>
        <v>0</v>
      </c>
      <c r="R21" s="165">
        <f t="shared" si="4"/>
        <v>400000</v>
      </c>
      <c r="S21" s="165">
        <f t="shared" si="5"/>
        <v>5000</v>
      </c>
    </row>
    <row r="22" spans="1:19" ht="17.25" customHeight="1" x14ac:dyDescent="0.2">
      <c r="A22" s="548"/>
      <c r="B22" s="542" t="s">
        <v>275</v>
      </c>
      <c r="C22" s="543"/>
      <c r="D22" s="315" t="s">
        <v>324</v>
      </c>
      <c r="E22" s="188">
        <f t="shared" ref="E22:N22" si="12">SUM(E19:E21)</f>
        <v>174654000</v>
      </c>
      <c r="F22" s="188">
        <v>-12900000</v>
      </c>
      <c r="G22" s="188">
        <f>H22-F22-E22</f>
        <v>0</v>
      </c>
      <c r="H22" s="468">
        <f t="shared" si="12"/>
        <v>161754000</v>
      </c>
      <c r="I22" s="468">
        <f t="shared" si="12"/>
        <v>141309500</v>
      </c>
      <c r="J22" s="188">
        <f t="shared" si="12"/>
        <v>0</v>
      </c>
      <c r="K22" s="188">
        <v>0</v>
      </c>
      <c r="L22" s="188"/>
      <c r="M22" s="188">
        <f t="shared" si="12"/>
        <v>0</v>
      </c>
      <c r="N22" s="188">
        <f t="shared" si="12"/>
        <v>0</v>
      </c>
      <c r="O22" s="188">
        <f t="shared" si="1"/>
        <v>174654000</v>
      </c>
      <c r="P22" s="188">
        <f t="shared" si="2"/>
        <v>-12900000</v>
      </c>
      <c r="Q22" s="188">
        <f t="shared" si="3"/>
        <v>0</v>
      </c>
      <c r="R22" s="188">
        <f t="shared" si="4"/>
        <v>161754000</v>
      </c>
      <c r="S22" s="188">
        <f t="shared" si="5"/>
        <v>141309500</v>
      </c>
    </row>
    <row r="23" spans="1:19" s="158" customFormat="1" ht="18.75" customHeight="1" x14ac:dyDescent="0.2">
      <c r="A23" s="548"/>
      <c r="B23" s="542" t="s">
        <v>222</v>
      </c>
      <c r="C23" s="543"/>
      <c r="D23" s="315" t="s">
        <v>325</v>
      </c>
      <c r="E23" s="188">
        <v>50000</v>
      </c>
      <c r="F23" s="188">
        <v>25995</v>
      </c>
      <c r="G23" s="188">
        <f>H23-F23-E23</f>
        <v>179701</v>
      </c>
      <c r="H23" s="468">
        <v>255696</v>
      </c>
      <c r="I23" s="468">
        <v>257180</v>
      </c>
      <c r="J23" s="188">
        <v>0</v>
      </c>
      <c r="K23" s="188"/>
      <c r="L23" s="188"/>
      <c r="M23" s="188"/>
      <c r="N23" s="188"/>
      <c r="O23" s="188">
        <f t="shared" si="1"/>
        <v>50000</v>
      </c>
      <c r="P23" s="188">
        <f t="shared" si="2"/>
        <v>25995</v>
      </c>
      <c r="Q23" s="188">
        <f t="shared" si="3"/>
        <v>179701</v>
      </c>
      <c r="R23" s="188">
        <f t="shared" si="4"/>
        <v>255696</v>
      </c>
      <c r="S23" s="188">
        <f t="shared" si="5"/>
        <v>257180</v>
      </c>
    </row>
    <row r="24" spans="1:19" s="162" customFormat="1" ht="18" customHeight="1" x14ac:dyDescent="0.2">
      <c r="A24" s="548"/>
      <c r="B24" s="544" t="s">
        <v>230</v>
      </c>
      <c r="C24" s="545"/>
      <c r="D24" s="316" t="s">
        <v>326</v>
      </c>
      <c r="E24" s="189">
        <f>E17+E18+E22+E23</f>
        <v>181104000</v>
      </c>
      <c r="F24" s="189">
        <f t="shared" ref="F24:I24" si="13">F17+F18+F22+F23</f>
        <v>-12874005</v>
      </c>
      <c r="G24" s="189">
        <f t="shared" si="13"/>
        <v>179701</v>
      </c>
      <c r="H24" s="189">
        <f t="shared" si="13"/>
        <v>168409696</v>
      </c>
      <c r="I24" s="189">
        <f t="shared" si="13"/>
        <v>147707061</v>
      </c>
      <c r="J24" s="189">
        <f t="shared" ref="J24:N24" si="14">J18+J22+J23</f>
        <v>0</v>
      </c>
      <c r="K24" s="189">
        <v>0</v>
      </c>
      <c r="L24" s="189">
        <f t="shared" si="14"/>
        <v>0</v>
      </c>
      <c r="M24" s="189">
        <f t="shared" si="14"/>
        <v>0</v>
      </c>
      <c r="N24" s="189">
        <f t="shared" si="14"/>
        <v>0</v>
      </c>
      <c r="O24" s="189">
        <f t="shared" si="1"/>
        <v>181104000</v>
      </c>
      <c r="P24" s="189">
        <f t="shared" si="2"/>
        <v>-12874005</v>
      </c>
      <c r="Q24" s="189">
        <f t="shared" si="3"/>
        <v>179701</v>
      </c>
      <c r="R24" s="189">
        <f t="shared" si="4"/>
        <v>168409696</v>
      </c>
      <c r="S24" s="189">
        <f t="shared" si="5"/>
        <v>147707061</v>
      </c>
    </row>
    <row r="25" spans="1:19" x14ac:dyDescent="0.2">
      <c r="A25" s="548" t="s">
        <v>39</v>
      </c>
      <c r="B25" s="169"/>
      <c r="C25" s="164" t="s">
        <v>232</v>
      </c>
      <c r="D25" s="164" t="s">
        <v>327</v>
      </c>
      <c r="E25" s="165">
        <v>3189462</v>
      </c>
      <c r="F25" s="165">
        <v>319144</v>
      </c>
      <c r="G25" s="165">
        <f t="shared" ref="G25:G34" si="15">H25-F25-E25</f>
        <v>627120</v>
      </c>
      <c r="H25" s="441">
        <v>4135726</v>
      </c>
      <c r="I25" s="441">
        <v>4135726</v>
      </c>
      <c r="J25" s="165">
        <v>0</v>
      </c>
      <c r="K25" s="165"/>
      <c r="L25" s="165"/>
      <c r="M25" s="165"/>
      <c r="N25" s="165"/>
      <c r="O25" s="165">
        <f t="shared" si="1"/>
        <v>3189462</v>
      </c>
      <c r="P25" s="165">
        <f t="shared" si="2"/>
        <v>319144</v>
      </c>
      <c r="Q25" s="165">
        <f t="shared" si="3"/>
        <v>627120</v>
      </c>
      <c r="R25" s="165">
        <f t="shared" si="4"/>
        <v>4135726</v>
      </c>
      <c r="S25" s="165">
        <f t="shared" si="5"/>
        <v>4135726</v>
      </c>
    </row>
    <row r="26" spans="1:19" x14ac:dyDescent="0.2">
      <c r="A26" s="548"/>
      <c r="B26" s="169"/>
      <c r="C26" s="164" t="s">
        <v>233</v>
      </c>
      <c r="D26" s="164" t="s">
        <v>328</v>
      </c>
      <c r="E26" s="165">
        <v>114076</v>
      </c>
      <c r="F26" s="165">
        <v>942499</v>
      </c>
      <c r="G26" s="165">
        <f t="shared" si="15"/>
        <v>27020</v>
      </c>
      <c r="H26" s="441">
        <v>1083595</v>
      </c>
      <c r="I26" s="441">
        <v>1083595</v>
      </c>
      <c r="J26" s="165">
        <v>2000000</v>
      </c>
      <c r="K26" s="165">
        <v>407000</v>
      </c>
      <c r="L26" s="165">
        <f>M26-K26-J26</f>
        <v>0</v>
      </c>
      <c r="M26" s="165">
        <v>2407000</v>
      </c>
      <c r="N26" s="165">
        <v>1522128</v>
      </c>
      <c r="O26" s="165">
        <f t="shared" si="1"/>
        <v>2114076</v>
      </c>
      <c r="P26" s="165">
        <f t="shared" si="2"/>
        <v>1349499</v>
      </c>
      <c r="Q26" s="165">
        <f t="shared" si="3"/>
        <v>27020</v>
      </c>
      <c r="R26" s="165">
        <f t="shared" si="4"/>
        <v>3490595</v>
      </c>
      <c r="S26" s="165">
        <f t="shared" si="5"/>
        <v>2605723</v>
      </c>
    </row>
    <row r="27" spans="1:19" x14ac:dyDescent="0.2">
      <c r="A27" s="548"/>
      <c r="B27" s="169"/>
      <c r="C27" s="164" t="s">
        <v>234</v>
      </c>
      <c r="D27" s="164" t="s">
        <v>329</v>
      </c>
      <c r="E27" s="165">
        <v>241672</v>
      </c>
      <c r="F27" s="165">
        <v>0</v>
      </c>
      <c r="G27" s="165">
        <f t="shared" si="15"/>
        <v>0</v>
      </c>
      <c r="H27" s="441">
        <v>241672</v>
      </c>
      <c r="I27" s="441">
        <v>241672</v>
      </c>
      <c r="J27" s="165">
        <v>0</v>
      </c>
      <c r="K27" s="165">
        <v>0</v>
      </c>
      <c r="L27" s="165"/>
      <c r="M27" s="165"/>
      <c r="N27" s="165"/>
      <c r="O27" s="165">
        <f t="shared" si="1"/>
        <v>241672</v>
      </c>
      <c r="P27" s="165">
        <f t="shared" si="2"/>
        <v>0</v>
      </c>
      <c r="Q27" s="165">
        <f t="shared" si="3"/>
        <v>0</v>
      </c>
      <c r="R27" s="165">
        <f t="shared" si="4"/>
        <v>241672</v>
      </c>
      <c r="S27" s="165">
        <f t="shared" si="5"/>
        <v>241672</v>
      </c>
    </row>
    <row r="28" spans="1:19" x14ac:dyDescent="0.2">
      <c r="A28" s="548"/>
      <c r="B28" s="169"/>
      <c r="C28" s="164" t="s">
        <v>235</v>
      </c>
      <c r="D28" s="164" t="s">
        <v>330</v>
      </c>
      <c r="E28" s="165">
        <v>8478149</v>
      </c>
      <c r="F28" s="165">
        <v>0</v>
      </c>
      <c r="G28" s="165">
        <f t="shared" si="15"/>
        <v>0</v>
      </c>
      <c r="H28" s="441">
        <v>8478149</v>
      </c>
      <c r="I28" s="441">
        <v>3468083</v>
      </c>
      <c r="J28" s="165">
        <v>0</v>
      </c>
      <c r="K28" s="165">
        <v>0</v>
      </c>
      <c r="L28" s="165"/>
      <c r="M28" s="165"/>
      <c r="N28" s="165"/>
      <c r="O28" s="165">
        <f t="shared" si="1"/>
        <v>8478149</v>
      </c>
      <c r="P28" s="165">
        <f t="shared" si="2"/>
        <v>0</v>
      </c>
      <c r="Q28" s="165">
        <f t="shared" si="3"/>
        <v>0</v>
      </c>
      <c r="R28" s="165">
        <f t="shared" si="4"/>
        <v>8478149</v>
      </c>
      <c r="S28" s="165">
        <f t="shared" si="5"/>
        <v>3468083</v>
      </c>
    </row>
    <row r="29" spans="1:19" x14ac:dyDescent="0.2">
      <c r="A29" s="548"/>
      <c r="B29" s="169"/>
      <c r="C29" s="164" t="s">
        <v>236</v>
      </c>
      <c r="D29" s="164" t="s">
        <v>331</v>
      </c>
      <c r="E29" s="165">
        <v>2311234</v>
      </c>
      <c r="F29" s="165">
        <v>0</v>
      </c>
      <c r="G29" s="165">
        <f t="shared" si="15"/>
        <v>0</v>
      </c>
      <c r="H29" s="441">
        <v>2311234</v>
      </c>
      <c r="I29" s="441">
        <v>1141708</v>
      </c>
      <c r="J29" s="165">
        <v>0</v>
      </c>
      <c r="K29" s="165">
        <v>0</v>
      </c>
      <c r="L29" s="165"/>
      <c r="M29" s="165"/>
      <c r="N29" s="165"/>
      <c r="O29" s="165">
        <f t="shared" si="1"/>
        <v>2311234</v>
      </c>
      <c r="P29" s="165">
        <f t="shared" si="2"/>
        <v>0</v>
      </c>
      <c r="Q29" s="165">
        <f t="shared" si="3"/>
        <v>0</v>
      </c>
      <c r="R29" s="165">
        <f t="shared" si="4"/>
        <v>2311234</v>
      </c>
      <c r="S29" s="165">
        <f t="shared" si="5"/>
        <v>1141708</v>
      </c>
    </row>
    <row r="30" spans="1:19" x14ac:dyDescent="0.2">
      <c r="A30" s="548"/>
      <c r="B30" s="169"/>
      <c r="C30" s="164" t="s">
        <v>237</v>
      </c>
      <c r="D30" s="164" t="s">
        <v>332</v>
      </c>
      <c r="E30" s="165">
        <v>3435000</v>
      </c>
      <c r="F30" s="165">
        <v>0</v>
      </c>
      <c r="G30" s="165">
        <f t="shared" si="15"/>
        <v>0</v>
      </c>
      <c r="H30" s="441">
        <v>3435000</v>
      </c>
      <c r="I30" s="441">
        <v>1628243</v>
      </c>
      <c r="J30" s="165">
        <v>0</v>
      </c>
      <c r="K30" s="165">
        <v>0</v>
      </c>
      <c r="L30" s="165"/>
      <c r="M30" s="165"/>
      <c r="N30" s="165"/>
      <c r="O30" s="165">
        <f t="shared" si="1"/>
        <v>3435000</v>
      </c>
      <c r="P30" s="165">
        <f t="shared" si="2"/>
        <v>0</v>
      </c>
      <c r="Q30" s="165">
        <f t="shared" si="3"/>
        <v>0</v>
      </c>
      <c r="R30" s="165">
        <f t="shared" si="4"/>
        <v>3435000</v>
      </c>
      <c r="S30" s="165">
        <f t="shared" si="5"/>
        <v>1628243</v>
      </c>
    </row>
    <row r="31" spans="1:19" s="159" customFormat="1" x14ac:dyDescent="0.2">
      <c r="A31" s="548"/>
      <c r="B31" s="170"/>
      <c r="C31" s="164" t="s">
        <v>217</v>
      </c>
      <c r="D31" s="164" t="s">
        <v>333</v>
      </c>
      <c r="E31" s="165">
        <v>95000</v>
      </c>
      <c r="F31" s="165">
        <v>1533899</v>
      </c>
      <c r="G31" s="165">
        <f t="shared" si="15"/>
        <v>1587288</v>
      </c>
      <c r="H31" s="441">
        <v>3216187</v>
      </c>
      <c r="I31" s="441">
        <v>3216187</v>
      </c>
      <c r="J31" s="165">
        <v>2000</v>
      </c>
      <c r="K31" s="165">
        <v>0</v>
      </c>
      <c r="L31" s="165"/>
      <c r="M31" s="165">
        <v>2000</v>
      </c>
      <c r="N31" s="165">
        <v>1591</v>
      </c>
      <c r="O31" s="165">
        <f t="shared" si="1"/>
        <v>97000</v>
      </c>
      <c r="P31" s="165">
        <f t="shared" si="2"/>
        <v>1533899</v>
      </c>
      <c r="Q31" s="165">
        <f t="shared" si="3"/>
        <v>1587288</v>
      </c>
      <c r="R31" s="165">
        <f t="shared" si="4"/>
        <v>3218187</v>
      </c>
      <c r="S31" s="165">
        <f t="shared" si="5"/>
        <v>3217778</v>
      </c>
    </row>
    <row r="32" spans="1:19" x14ac:dyDescent="0.2">
      <c r="A32" s="548"/>
      <c r="B32" s="169"/>
      <c r="C32" s="164" t="s">
        <v>238</v>
      </c>
      <c r="D32" s="164" t="s">
        <v>334</v>
      </c>
      <c r="E32" s="165">
        <v>1010</v>
      </c>
      <c r="F32" s="165">
        <v>64318</v>
      </c>
      <c r="G32" s="165">
        <f t="shared" si="15"/>
        <v>3583</v>
      </c>
      <c r="H32" s="441">
        <v>68911</v>
      </c>
      <c r="I32" s="441">
        <v>68911</v>
      </c>
      <c r="J32" s="165">
        <v>0</v>
      </c>
      <c r="K32" s="165">
        <v>0</v>
      </c>
      <c r="L32" s="165"/>
      <c r="M32" s="165">
        <v>0</v>
      </c>
      <c r="N32" s="165">
        <v>12</v>
      </c>
      <c r="O32" s="165">
        <f t="shared" si="1"/>
        <v>1010</v>
      </c>
      <c r="P32" s="165">
        <f t="shared" si="2"/>
        <v>64318</v>
      </c>
      <c r="Q32" s="165">
        <f t="shared" si="3"/>
        <v>3583</v>
      </c>
      <c r="R32" s="165">
        <f t="shared" si="4"/>
        <v>68911</v>
      </c>
      <c r="S32" s="165">
        <f t="shared" si="5"/>
        <v>68923</v>
      </c>
    </row>
    <row r="33" spans="1:19" ht="12.75" customHeight="1" x14ac:dyDescent="0.2">
      <c r="A33" s="548"/>
      <c r="B33" s="546" t="s">
        <v>231</v>
      </c>
      <c r="C33" s="547"/>
      <c r="D33" s="312" t="s">
        <v>335</v>
      </c>
      <c r="E33" s="190">
        <f t="shared" ref="E33:N33" si="16">SUM(E25:E32)</f>
        <v>17865603</v>
      </c>
      <c r="F33" s="190">
        <v>2859860</v>
      </c>
      <c r="G33" s="190">
        <f t="shared" si="16"/>
        <v>2245011</v>
      </c>
      <c r="H33" s="470">
        <f t="shared" si="16"/>
        <v>22970474</v>
      </c>
      <c r="I33" s="470">
        <f t="shared" si="16"/>
        <v>14984125</v>
      </c>
      <c r="J33" s="190">
        <f t="shared" si="16"/>
        <v>2002000</v>
      </c>
      <c r="K33" s="190">
        <v>407000</v>
      </c>
      <c r="L33" s="190">
        <f t="shared" si="16"/>
        <v>0</v>
      </c>
      <c r="M33" s="190">
        <f t="shared" si="16"/>
        <v>2409000</v>
      </c>
      <c r="N33" s="190">
        <f t="shared" si="16"/>
        <v>1523731</v>
      </c>
      <c r="O33" s="190">
        <f t="shared" si="1"/>
        <v>19867603</v>
      </c>
      <c r="P33" s="190">
        <f t="shared" si="2"/>
        <v>3266860</v>
      </c>
      <c r="Q33" s="190">
        <f t="shared" si="3"/>
        <v>2245011</v>
      </c>
      <c r="R33" s="190">
        <f t="shared" si="4"/>
        <v>25379474</v>
      </c>
      <c r="S33" s="190">
        <f t="shared" si="5"/>
        <v>16507856</v>
      </c>
    </row>
    <row r="34" spans="1:19" ht="20.25" customHeight="1" x14ac:dyDescent="0.2">
      <c r="A34" s="548" t="s">
        <v>40</v>
      </c>
      <c r="B34" s="169"/>
      <c r="C34" s="164" t="s">
        <v>239</v>
      </c>
      <c r="D34" s="164" t="s">
        <v>423</v>
      </c>
      <c r="E34" s="441">
        <v>2372880</v>
      </c>
      <c r="F34" s="441">
        <v>0</v>
      </c>
      <c r="G34" s="441">
        <f t="shared" si="15"/>
        <v>0</v>
      </c>
      <c r="H34" s="441">
        <v>2372880</v>
      </c>
      <c r="I34" s="441">
        <v>1779660</v>
      </c>
      <c r="J34" s="165">
        <v>0</v>
      </c>
      <c r="K34" s="165"/>
      <c r="L34" s="165">
        <v>0</v>
      </c>
      <c r="M34" s="165"/>
      <c r="N34" s="165"/>
      <c r="O34" s="165">
        <f t="shared" si="1"/>
        <v>2372880</v>
      </c>
      <c r="P34" s="165">
        <f t="shared" si="2"/>
        <v>0</v>
      </c>
      <c r="Q34" s="165">
        <f t="shared" si="3"/>
        <v>0</v>
      </c>
      <c r="R34" s="165">
        <f t="shared" si="4"/>
        <v>2372880</v>
      </c>
      <c r="S34" s="165">
        <f t="shared" si="5"/>
        <v>1779660</v>
      </c>
    </row>
    <row r="35" spans="1:19" ht="16.5" customHeight="1" x14ac:dyDescent="0.2">
      <c r="A35" s="548"/>
      <c r="B35" s="546" t="s">
        <v>218</v>
      </c>
      <c r="C35" s="547"/>
      <c r="D35" s="312" t="s">
        <v>423</v>
      </c>
      <c r="E35" s="190">
        <f t="shared" ref="E35:N35" si="17">SUM(E34)</f>
        <v>2372880</v>
      </c>
      <c r="F35" s="190">
        <v>0</v>
      </c>
      <c r="G35" s="190">
        <f t="shared" si="17"/>
        <v>0</v>
      </c>
      <c r="H35" s="470">
        <f t="shared" si="17"/>
        <v>2372880</v>
      </c>
      <c r="I35" s="470">
        <f>SUM(I34)</f>
        <v>1779660</v>
      </c>
      <c r="J35" s="190">
        <f t="shared" si="17"/>
        <v>0</v>
      </c>
      <c r="K35" s="190">
        <v>0</v>
      </c>
      <c r="L35" s="190">
        <f t="shared" ref="L35" si="18">SUM(L34)</f>
        <v>0</v>
      </c>
      <c r="M35" s="190">
        <f t="shared" si="17"/>
        <v>0</v>
      </c>
      <c r="N35" s="190">
        <f t="shared" si="17"/>
        <v>0</v>
      </c>
      <c r="O35" s="190">
        <f t="shared" si="1"/>
        <v>2372880</v>
      </c>
      <c r="P35" s="190">
        <f t="shared" si="2"/>
        <v>0</v>
      </c>
      <c r="Q35" s="190">
        <f t="shared" si="3"/>
        <v>0</v>
      </c>
      <c r="R35" s="190">
        <f t="shared" si="4"/>
        <v>2372880</v>
      </c>
      <c r="S35" s="190">
        <f t="shared" si="5"/>
        <v>1779660</v>
      </c>
    </row>
    <row r="36" spans="1:19" ht="25.5" x14ac:dyDescent="0.2">
      <c r="A36" s="548" t="s">
        <v>41</v>
      </c>
      <c r="B36" s="169"/>
      <c r="C36" s="164" t="s">
        <v>240</v>
      </c>
      <c r="D36" s="164" t="s">
        <v>336</v>
      </c>
      <c r="E36" s="165">
        <v>707620</v>
      </c>
      <c r="F36" s="165">
        <v>0</v>
      </c>
      <c r="G36" s="165">
        <f t="shared" ref="G36:G38" si="19">H36-F36-E36</f>
        <v>0</v>
      </c>
      <c r="H36" s="441">
        <v>707620</v>
      </c>
      <c r="I36" s="441">
        <v>333100</v>
      </c>
      <c r="J36" s="165">
        <v>0</v>
      </c>
      <c r="K36" s="165"/>
      <c r="L36" s="165">
        <v>0</v>
      </c>
      <c r="M36" s="165"/>
      <c r="N36" s="165"/>
      <c r="O36" s="165">
        <f t="shared" si="1"/>
        <v>707620</v>
      </c>
      <c r="P36" s="165">
        <f t="shared" si="2"/>
        <v>0</v>
      </c>
      <c r="Q36" s="165">
        <f t="shared" si="3"/>
        <v>0</v>
      </c>
      <c r="R36" s="165">
        <f t="shared" si="4"/>
        <v>707620</v>
      </c>
      <c r="S36" s="165">
        <f t="shared" si="5"/>
        <v>333100</v>
      </c>
    </row>
    <row r="37" spans="1:19" ht="25.5" x14ac:dyDescent="0.2">
      <c r="A37" s="548"/>
      <c r="B37" s="169"/>
      <c r="C37" s="164" t="s">
        <v>372</v>
      </c>
      <c r="D37" s="164" t="s">
        <v>417</v>
      </c>
      <c r="E37" s="165">
        <v>110732349</v>
      </c>
      <c r="F37" s="165">
        <v>0</v>
      </c>
      <c r="G37" s="165">
        <f t="shared" si="19"/>
        <v>15999989</v>
      </c>
      <c r="H37" s="441">
        <v>126732338</v>
      </c>
      <c r="I37" s="441">
        <v>17183439</v>
      </c>
      <c r="J37" s="165"/>
      <c r="K37" s="165"/>
      <c r="L37" s="165"/>
      <c r="M37" s="165"/>
      <c r="N37" s="165"/>
      <c r="O37" s="165">
        <f t="shared" si="1"/>
        <v>110732349</v>
      </c>
      <c r="P37" s="165">
        <f t="shared" si="2"/>
        <v>0</v>
      </c>
      <c r="Q37" s="165">
        <f t="shared" si="3"/>
        <v>15999989</v>
      </c>
      <c r="R37" s="165">
        <f t="shared" si="4"/>
        <v>126732338</v>
      </c>
      <c r="S37" s="165">
        <f t="shared" si="5"/>
        <v>17183439</v>
      </c>
    </row>
    <row r="38" spans="1:19" x14ac:dyDescent="0.2">
      <c r="A38" s="548"/>
      <c r="B38" s="169"/>
      <c r="C38" s="164" t="s">
        <v>429</v>
      </c>
      <c r="D38" s="164" t="s">
        <v>430</v>
      </c>
      <c r="E38" s="165"/>
      <c r="F38" s="165">
        <v>126128</v>
      </c>
      <c r="G38" s="165">
        <f t="shared" si="19"/>
        <v>0</v>
      </c>
      <c r="H38" s="441">
        <v>126128</v>
      </c>
      <c r="I38" s="441">
        <v>126128</v>
      </c>
      <c r="J38" s="165"/>
      <c r="K38" s="165"/>
      <c r="L38" s="165"/>
      <c r="M38" s="165"/>
      <c r="N38" s="165"/>
      <c r="O38" s="165">
        <f t="shared" si="1"/>
        <v>0</v>
      </c>
      <c r="P38" s="165">
        <f t="shared" si="2"/>
        <v>126128</v>
      </c>
      <c r="Q38" s="165">
        <f t="shared" si="3"/>
        <v>0</v>
      </c>
      <c r="R38" s="165">
        <f t="shared" si="4"/>
        <v>126128</v>
      </c>
      <c r="S38" s="165">
        <f t="shared" si="5"/>
        <v>126128</v>
      </c>
    </row>
    <row r="39" spans="1:19" ht="12.75" customHeight="1" x14ac:dyDescent="0.2">
      <c r="A39" s="548"/>
      <c r="B39" s="565" t="s">
        <v>373</v>
      </c>
      <c r="C39" s="566"/>
      <c r="D39" s="312"/>
      <c r="E39" s="190">
        <f>SUM(E36:E38)</f>
        <v>111439969</v>
      </c>
      <c r="F39" s="190">
        <v>126128</v>
      </c>
      <c r="G39" s="190">
        <f>SUM(G36:G38)</f>
        <v>15999989</v>
      </c>
      <c r="H39" s="470">
        <f t="shared" ref="H39:I39" si="20">SUM(H36:H38)</f>
        <v>127566086</v>
      </c>
      <c r="I39" s="470">
        <f t="shared" si="20"/>
        <v>17642667</v>
      </c>
      <c r="J39" s="190">
        <f>SUM(J36)</f>
        <v>0</v>
      </c>
      <c r="K39" s="190"/>
      <c r="L39" s="190">
        <f>SUM(L36)</f>
        <v>0</v>
      </c>
      <c r="M39" s="190"/>
      <c r="N39" s="190"/>
      <c r="O39" s="190">
        <f t="shared" si="1"/>
        <v>111439969</v>
      </c>
      <c r="P39" s="190">
        <f t="shared" si="2"/>
        <v>126128</v>
      </c>
      <c r="Q39" s="190">
        <f t="shared" si="3"/>
        <v>15999989</v>
      </c>
      <c r="R39" s="190">
        <f t="shared" si="4"/>
        <v>127566086</v>
      </c>
      <c r="S39" s="190">
        <f t="shared" si="5"/>
        <v>17642667</v>
      </c>
    </row>
    <row r="40" spans="1:19" s="160" customFormat="1" ht="24.75" customHeight="1" x14ac:dyDescent="0.2">
      <c r="A40" s="562" t="s">
        <v>219</v>
      </c>
      <c r="B40" s="563"/>
      <c r="C40" s="564"/>
      <c r="D40" s="317" t="s">
        <v>337</v>
      </c>
      <c r="E40" s="191">
        <f>E16+E24+E33+E35+E39</f>
        <v>648704759</v>
      </c>
      <c r="F40" s="191">
        <v>17260974</v>
      </c>
      <c r="G40" s="191">
        <f>G16+G24+G33+G35+G39</f>
        <v>20819259</v>
      </c>
      <c r="H40" s="465">
        <f>H16+H24+H33+H35+H39</f>
        <v>686784992</v>
      </c>
      <c r="I40" s="465">
        <f>I16+I24+I33+I35+I39</f>
        <v>450016176</v>
      </c>
      <c r="J40" s="191">
        <f>J16+J24+J33+J35+J39</f>
        <v>2002000</v>
      </c>
      <c r="K40" s="191">
        <v>407000</v>
      </c>
      <c r="L40" s="191">
        <f>L16+L24+L33+L35+L39</f>
        <v>0</v>
      </c>
      <c r="M40" s="191">
        <f>M16+M24+M33+M35+M39</f>
        <v>2409000</v>
      </c>
      <c r="N40" s="191">
        <f>N16+N24+N33+N35+N39</f>
        <v>1523731</v>
      </c>
      <c r="O40" s="191">
        <f t="shared" si="1"/>
        <v>650706759</v>
      </c>
      <c r="P40" s="191">
        <f t="shared" si="2"/>
        <v>17667974</v>
      </c>
      <c r="Q40" s="191">
        <f t="shared" si="3"/>
        <v>20819259</v>
      </c>
      <c r="R40" s="191">
        <f t="shared" si="4"/>
        <v>689193992</v>
      </c>
      <c r="S40" s="191">
        <f t="shared" si="5"/>
        <v>451539907</v>
      </c>
    </row>
    <row r="41" spans="1:19" ht="24" customHeight="1" x14ac:dyDescent="0.2">
      <c r="A41" s="192"/>
      <c r="B41" s="169"/>
      <c r="C41" s="164" t="s">
        <v>281</v>
      </c>
      <c r="D41" s="164" t="s">
        <v>338</v>
      </c>
      <c r="E41" s="165">
        <f>400000000+250000000</f>
        <v>650000000</v>
      </c>
      <c r="F41" s="165">
        <v>0</v>
      </c>
      <c r="G41" s="165">
        <f t="shared" ref="G41:G47" si="21">H41-F41-E41</f>
        <v>0</v>
      </c>
      <c r="H41" s="441">
        <v>650000000</v>
      </c>
      <c r="I41" s="441">
        <v>0</v>
      </c>
      <c r="J41" s="165">
        <v>0</v>
      </c>
      <c r="K41" s="165"/>
      <c r="L41" s="165"/>
      <c r="M41" s="165"/>
      <c r="N41" s="165"/>
      <c r="O41" s="165">
        <f t="shared" si="1"/>
        <v>650000000</v>
      </c>
      <c r="P41" s="165">
        <f t="shared" si="2"/>
        <v>0</v>
      </c>
      <c r="Q41" s="165">
        <f t="shared" si="3"/>
        <v>0</v>
      </c>
      <c r="R41" s="165">
        <f t="shared" si="4"/>
        <v>650000000</v>
      </c>
      <c r="S41" s="165">
        <f t="shared" si="5"/>
        <v>0</v>
      </c>
    </row>
    <row r="42" spans="1:19" ht="18.75" customHeight="1" x14ac:dyDescent="0.2">
      <c r="A42" s="192"/>
      <c r="B42" s="565" t="s">
        <v>282</v>
      </c>
      <c r="C42" s="566"/>
      <c r="D42" s="312" t="s">
        <v>339</v>
      </c>
      <c r="E42" s="190">
        <f t="shared" ref="E42:N42" si="22">SUM(E41)</f>
        <v>650000000</v>
      </c>
      <c r="F42" s="190">
        <v>0</v>
      </c>
      <c r="G42" s="190"/>
      <c r="H42" s="470">
        <f t="shared" si="22"/>
        <v>650000000</v>
      </c>
      <c r="I42" s="470">
        <f t="shared" si="22"/>
        <v>0</v>
      </c>
      <c r="J42" s="190">
        <f t="shared" si="22"/>
        <v>0</v>
      </c>
      <c r="K42" s="190">
        <v>0</v>
      </c>
      <c r="L42" s="190"/>
      <c r="M42" s="190">
        <f t="shared" si="22"/>
        <v>0</v>
      </c>
      <c r="N42" s="190">
        <f t="shared" si="22"/>
        <v>0</v>
      </c>
      <c r="O42" s="190">
        <f t="shared" si="1"/>
        <v>650000000</v>
      </c>
      <c r="P42" s="190">
        <f t="shared" si="2"/>
        <v>0</v>
      </c>
      <c r="Q42" s="190">
        <f t="shared" si="3"/>
        <v>0</v>
      </c>
      <c r="R42" s="190">
        <f t="shared" si="4"/>
        <v>650000000</v>
      </c>
      <c r="S42" s="190">
        <f t="shared" si="5"/>
        <v>0</v>
      </c>
    </row>
    <row r="43" spans="1:19" ht="17.25" customHeight="1" x14ac:dyDescent="0.2">
      <c r="A43" s="548" t="s">
        <v>46</v>
      </c>
      <c r="B43" s="169"/>
      <c r="C43" s="164" t="s">
        <v>247</v>
      </c>
      <c r="D43" s="164" t="s">
        <v>340</v>
      </c>
      <c r="E43" s="165">
        <v>65000000</v>
      </c>
      <c r="F43" s="165">
        <v>0</v>
      </c>
      <c r="G43" s="165">
        <f t="shared" si="21"/>
        <v>0</v>
      </c>
      <c r="H43" s="441">
        <v>65000000</v>
      </c>
      <c r="I43" s="441"/>
      <c r="J43" s="165">
        <v>0</v>
      </c>
      <c r="K43" s="165"/>
      <c r="L43" s="165"/>
      <c r="M43" s="165"/>
      <c r="N43" s="165"/>
      <c r="O43" s="165">
        <f t="shared" si="1"/>
        <v>65000000</v>
      </c>
      <c r="P43" s="165">
        <f t="shared" si="2"/>
        <v>0</v>
      </c>
      <c r="Q43" s="165">
        <f t="shared" si="3"/>
        <v>0</v>
      </c>
      <c r="R43" s="165">
        <f t="shared" si="4"/>
        <v>65000000</v>
      </c>
      <c r="S43" s="165">
        <f t="shared" si="5"/>
        <v>0</v>
      </c>
    </row>
    <row r="44" spans="1:19" ht="18.75" customHeight="1" x14ac:dyDescent="0.2">
      <c r="A44" s="548"/>
      <c r="B44" s="546" t="s">
        <v>246</v>
      </c>
      <c r="C44" s="547"/>
      <c r="D44" s="312" t="s">
        <v>447</v>
      </c>
      <c r="E44" s="190">
        <f t="shared" ref="E44:N44" si="23">SUM(E43)</f>
        <v>65000000</v>
      </c>
      <c r="F44" s="190">
        <v>0</v>
      </c>
      <c r="G44" s="190"/>
      <c r="H44" s="470">
        <f t="shared" si="23"/>
        <v>65000000</v>
      </c>
      <c r="I44" s="470">
        <f t="shared" si="23"/>
        <v>0</v>
      </c>
      <c r="J44" s="190">
        <f t="shared" si="23"/>
        <v>0</v>
      </c>
      <c r="K44" s="190">
        <v>0</v>
      </c>
      <c r="L44" s="190"/>
      <c r="M44" s="190">
        <f t="shared" si="23"/>
        <v>0</v>
      </c>
      <c r="N44" s="190">
        <f t="shared" si="23"/>
        <v>0</v>
      </c>
      <c r="O44" s="190">
        <f t="shared" si="1"/>
        <v>65000000</v>
      </c>
      <c r="P44" s="190">
        <f t="shared" si="2"/>
        <v>0</v>
      </c>
      <c r="Q44" s="190">
        <f t="shared" si="3"/>
        <v>0</v>
      </c>
      <c r="R44" s="190">
        <f t="shared" si="4"/>
        <v>65000000</v>
      </c>
      <c r="S44" s="190">
        <f t="shared" si="5"/>
        <v>0</v>
      </c>
    </row>
    <row r="45" spans="1:19" ht="15" customHeight="1" x14ac:dyDescent="0.2">
      <c r="A45" s="548" t="s">
        <v>48</v>
      </c>
      <c r="B45" s="169"/>
      <c r="C45" s="164" t="s">
        <v>276</v>
      </c>
      <c r="D45" s="164" t="s">
        <v>419</v>
      </c>
      <c r="E45" s="165">
        <v>141599305</v>
      </c>
      <c r="F45" s="165">
        <v>0</v>
      </c>
      <c r="G45" s="165">
        <f t="shared" si="21"/>
        <v>0</v>
      </c>
      <c r="H45" s="441">
        <v>141599305</v>
      </c>
      <c r="I45" s="441">
        <v>141599305</v>
      </c>
      <c r="J45" s="165">
        <v>941822</v>
      </c>
      <c r="K45" s="165">
        <v>0</v>
      </c>
      <c r="L45" s="165">
        <f>M45-K45-J45</f>
        <v>0</v>
      </c>
      <c r="M45" s="165">
        <v>941822</v>
      </c>
      <c r="N45" s="165">
        <v>941822</v>
      </c>
      <c r="O45" s="165">
        <f t="shared" si="1"/>
        <v>142541127</v>
      </c>
      <c r="P45" s="165">
        <f t="shared" si="2"/>
        <v>0</v>
      </c>
      <c r="Q45" s="165">
        <f t="shared" si="3"/>
        <v>0</v>
      </c>
      <c r="R45" s="165">
        <f t="shared" si="4"/>
        <v>142541127</v>
      </c>
      <c r="S45" s="165">
        <f t="shared" si="5"/>
        <v>142541127</v>
      </c>
    </row>
    <row r="46" spans="1:19" ht="17.25" customHeight="1" x14ac:dyDescent="0.2">
      <c r="A46" s="548"/>
      <c r="B46" s="546" t="s">
        <v>248</v>
      </c>
      <c r="C46" s="547"/>
      <c r="D46" s="312" t="s">
        <v>420</v>
      </c>
      <c r="E46" s="190">
        <f t="shared" ref="E46:N46" si="24">SUM(E45)</f>
        <v>141599305</v>
      </c>
      <c r="F46" s="190">
        <v>0</v>
      </c>
      <c r="G46" s="190"/>
      <c r="H46" s="470">
        <f t="shared" si="24"/>
        <v>141599305</v>
      </c>
      <c r="I46" s="470">
        <f t="shared" si="24"/>
        <v>141599305</v>
      </c>
      <c r="J46" s="190">
        <f t="shared" si="24"/>
        <v>941822</v>
      </c>
      <c r="K46" s="190">
        <v>0</v>
      </c>
      <c r="L46" s="190">
        <f t="shared" si="24"/>
        <v>0</v>
      </c>
      <c r="M46" s="190">
        <f t="shared" si="24"/>
        <v>941822</v>
      </c>
      <c r="N46" s="190">
        <f t="shared" si="24"/>
        <v>941822</v>
      </c>
      <c r="O46" s="190">
        <f t="shared" si="1"/>
        <v>142541127</v>
      </c>
      <c r="P46" s="190">
        <f t="shared" si="2"/>
        <v>0</v>
      </c>
      <c r="Q46" s="190">
        <f t="shared" si="3"/>
        <v>0</v>
      </c>
      <c r="R46" s="190">
        <f t="shared" si="4"/>
        <v>142541127</v>
      </c>
      <c r="S46" s="190">
        <f t="shared" si="5"/>
        <v>142541127</v>
      </c>
    </row>
    <row r="47" spans="1:19" ht="15.75" customHeight="1" x14ac:dyDescent="0.2">
      <c r="A47" s="568" t="s">
        <v>49</v>
      </c>
      <c r="B47" s="169"/>
      <c r="C47" s="164" t="s">
        <v>279</v>
      </c>
      <c r="D47" s="164" t="s">
        <v>341</v>
      </c>
      <c r="E47" s="165">
        <v>0</v>
      </c>
      <c r="F47" s="165">
        <v>0</v>
      </c>
      <c r="G47" s="165">
        <f t="shared" si="21"/>
        <v>0</v>
      </c>
      <c r="H47" s="460"/>
      <c r="I47" s="460"/>
      <c r="J47" s="165">
        <v>105524914</v>
      </c>
      <c r="K47" s="165">
        <v>0</v>
      </c>
      <c r="L47" s="165">
        <f>M47-K47-J47</f>
        <v>0</v>
      </c>
      <c r="M47" s="165">
        <v>105524914</v>
      </c>
      <c r="N47" s="165">
        <v>74698388</v>
      </c>
      <c r="O47" s="165">
        <f t="shared" si="1"/>
        <v>105524914</v>
      </c>
      <c r="P47" s="165">
        <f t="shared" si="2"/>
        <v>0</v>
      </c>
      <c r="Q47" s="165">
        <f t="shared" si="3"/>
        <v>0</v>
      </c>
      <c r="R47" s="165">
        <f t="shared" si="4"/>
        <v>105524914</v>
      </c>
      <c r="S47" s="165">
        <f t="shared" si="5"/>
        <v>74698388</v>
      </c>
    </row>
    <row r="48" spans="1:19" ht="18" customHeight="1" x14ac:dyDescent="0.2">
      <c r="A48" s="567"/>
      <c r="B48" s="546" t="s">
        <v>280</v>
      </c>
      <c r="C48" s="547"/>
      <c r="D48" s="312" t="s">
        <v>342</v>
      </c>
      <c r="E48" s="190">
        <f t="shared" ref="E48:S48" si="25">SUM(E47)</f>
        <v>0</v>
      </c>
      <c r="F48" s="190"/>
      <c r="G48" s="190"/>
      <c r="H48" s="467"/>
      <c r="I48" s="467"/>
      <c r="J48" s="190">
        <f t="shared" si="25"/>
        <v>105524914</v>
      </c>
      <c r="K48" s="190">
        <v>0</v>
      </c>
      <c r="L48" s="190">
        <f t="shared" si="25"/>
        <v>0</v>
      </c>
      <c r="M48" s="190">
        <f t="shared" si="25"/>
        <v>105524914</v>
      </c>
      <c r="N48" s="190">
        <f t="shared" si="25"/>
        <v>74698388</v>
      </c>
      <c r="O48" s="190">
        <f t="shared" si="25"/>
        <v>105524914</v>
      </c>
      <c r="P48" s="190">
        <f t="shared" si="25"/>
        <v>0</v>
      </c>
      <c r="Q48" s="190">
        <f t="shared" si="3"/>
        <v>0</v>
      </c>
      <c r="R48" s="190">
        <f t="shared" si="25"/>
        <v>105524914</v>
      </c>
      <c r="S48" s="190">
        <f t="shared" si="25"/>
        <v>74698388</v>
      </c>
    </row>
    <row r="49" spans="1:19" s="162" customFormat="1" ht="21.75" customHeight="1" x14ac:dyDescent="0.2">
      <c r="A49" s="562" t="s">
        <v>249</v>
      </c>
      <c r="B49" s="563"/>
      <c r="C49" s="564"/>
      <c r="D49" s="317" t="s">
        <v>343</v>
      </c>
      <c r="E49" s="191">
        <f>E44+E46+E48+E42</f>
        <v>856599305</v>
      </c>
      <c r="F49" s="191">
        <v>0</v>
      </c>
      <c r="G49" s="191">
        <f>G44+G46+G48+G42</f>
        <v>0</v>
      </c>
      <c r="H49" s="465">
        <f t="shared" ref="H49:I49" si="26">H44+H46+H48+H42</f>
        <v>856599305</v>
      </c>
      <c r="I49" s="465">
        <f t="shared" si="26"/>
        <v>141599305</v>
      </c>
      <c r="J49" s="191">
        <f t="shared" ref="J49:S49" si="27">J44+J46+J48+J42</f>
        <v>106466736</v>
      </c>
      <c r="K49" s="191">
        <v>0</v>
      </c>
      <c r="L49" s="191">
        <f t="shared" si="27"/>
        <v>0</v>
      </c>
      <c r="M49" s="191">
        <f t="shared" si="27"/>
        <v>106466736</v>
      </c>
      <c r="N49" s="191">
        <f t="shared" si="27"/>
        <v>75640210</v>
      </c>
      <c r="O49" s="191">
        <f t="shared" si="27"/>
        <v>963066041</v>
      </c>
      <c r="P49" s="191">
        <f t="shared" si="27"/>
        <v>0</v>
      </c>
      <c r="Q49" s="191">
        <f t="shared" si="3"/>
        <v>0</v>
      </c>
      <c r="R49" s="191">
        <f t="shared" si="27"/>
        <v>963066041</v>
      </c>
      <c r="S49" s="191">
        <f t="shared" si="27"/>
        <v>217239515</v>
      </c>
    </row>
    <row r="50" spans="1:19" s="176" customFormat="1" ht="22.5" customHeight="1" x14ac:dyDescent="0.25">
      <c r="A50" s="559" t="s">
        <v>250</v>
      </c>
      <c r="B50" s="560"/>
      <c r="C50" s="561"/>
      <c r="D50" s="309"/>
      <c r="E50" s="175">
        <f>E40+E49</f>
        <v>1505304064</v>
      </c>
      <c r="F50" s="175">
        <v>17260974</v>
      </c>
      <c r="G50" s="175">
        <f>G40+G49</f>
        <v>20819259</v>
      </c>
      <c r="H50" s="471">
        <f t="shared" ref="H50:I50" si="28">H40+H49</f>
        <v>1543384297</v>
      </c>
      <c r="I50" s="471">
        <f t="shared" si="28"/>
        <v>591615481</v>
      </c>
      <c r="J50" s="175">
        <f t="shared" ref="J50:S50" si="29">J40+J49</f>
        <v>108468736</v>
      </c>
      <c r="K50" s="175">
        <v>407000</v>
      </c>
      <c r="L50" s="175">
        <f t="shared" si="29"/>
        <v>0</v>
      </c>
      <c r="M50" s="175">
        <f t="shared" si="29"/>
        <v>108875736</v>
      </c>
      <c r="N50" s="175">
        <f t="shared" si="29"/>
        <v>77163941</v>
      </c>
      <c r="O50" s="175">
        <f t="shared" si="29"/>
        <v>1613772800</v>
      </c>
      <c r="P50" s="175">
        <f t="shared" si="29"/>
        <v>17667974</v>
      </c>
      <c r="Q50" s="175">
        <f t="shared" si="3"/>
        <v>20819259</v>
      </c>
      <c r="R50" s="175">
        <f t="shared" si="29"/>
        <v>1652260033</v>
      </c>
      <c r="S50" s="175">
        <f t="shared" si="29"/>
        <v>668779422</v>
      </c>
    </row>
  </sheetData>
  <mergeCells count="30">
    <mergeCell ref="A50:C50"/>
    <mergeCell ref="A43:A44"/>
    <mergeCell ref="A45:A46"/>
    <mergeCell ref="A40:C40"/>
    <mergeCell ref="B24:C24"/>
    <mergeCell ref="B39:C39"/>
    <mergeCell ref="A36:A39"/>
    <mergeCell ref="A34:A35"/>
    <mergeCell ref="A49:C49"/>
    <mergeCell ref="B44:C44"/>
    <mergeCell ref="B46:C46"/>
    <mergeCell ref="A18:A24"/>
    <mergeCell ref="B35:C35"/>
    <mergeCell ref="B48:C48"/>
    <mergeCell ref="A47:A48"/>
    <mergeCell ref="B42:C42"/>
    <mergeCell ref="A1:O1"/>
    <mergeCell ref="A2:J2"/>
    <mergeCell ref="B23:C23"/>
    <mergeCell ref="B16:C16"/>
    <mergeCell ref="B33:C33"/>
    <mergeCell ref="A25:A33"/>
    <mergeCell ref="B18:C18"/>
    <mergeCell ref="B22:C22"/>
    <mergeCell ref="B10:C10"/>
    <mergeCell ref="B15:C15"/>
    <mergeCell ref="A5:A16"/>
    <mergeCell ref="A3:C4"/>
    <mergeCell ref="E3:S3"/>
    <mergeCell ref="B17:C17"/>
  </mergeCells>
  <phoneticPr fontId="0" type="noConversion"/>
  <printOptions horizontalCentered="1"/>
  <pageMargins left="0.39370078740157483" right="0.27559055118110237" top="0.55118110236220474" bottom="0.39370078740157483" header="0.15748031496062992" footer="0.19685039370078741"/>
  <pageSetup paperSize="9" scale="43" firstPageNumber="39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J7" sqref="J7"/>
    </sheetView>
  </sheetViews>
  <sheetFormatPr defaultRowHeight="15" customHeight="1" x14ac:dyDescent="0.2"/>
  <cols>
    <col min="1" max="1" width="6.5703125" style="69" customWidth="1"/>
    <col min="2" max="2" width="39.28515625" style="2" customWidth="1"/>
    <col min="3" max="3" width="17.85546875" style="2" customWidth="1"/>
    <col min="4" max="4" width="16.28515625" style="2" customWidth="1"/>
    <col min="5" max="5" width="12.28515625" style="2" customWidth="1"/>
    <col min="6" max="16384" width="9.140625" style="2"/>
  </cols>
  <sheetData>
    <row r="1" spans="1:5" ht="15" customHeight="1" x14ac:dyDescent="0.2">
      <c r="A1" s="540" t="s">
        <v>437</v>
      </c>
      <c r="B1" s="540"/>
      <c r="C1" s="540"/>
      <c r="D1" s="540"/>
      <c r="E1" s="540"/>
    </row>
    <row r="3" spans="1:5" ht="15" customHeight="1" thickBot="1" x14ac:dyDescent="0.25"/>
    <row r="4" spans="1:5" ht="42" customHeight="1" thickBot="1" x14ac:dyDescent="0.25">
      <c r="A4" s="688" t="s">
        <v>85</v>
      </c>
      <c r="B4" s="690" t="s">
        <v>86</v>
      </c>
      <c r="C4" s="692" t="s">
        <v>376</v>
      </c>
      <c r="D4" s="693"/>
      <c r="E4" s="70" t="s">
        <v>87</v>
      </c>
    </row>
    <row r="5" spans="1:5" ht="25.5" customHeight="1" thickBot="1" x14ac:dyDescent="0.25">
      <c r="A5" s="689"/>
      <c r="B5" s="691"/>
      <c r="C5" s="71" t="s">
        <v>88</v>
      </c>
      <c r="D5" s="157" t="s">
        <v>89</v>
      </c>
      <c r="E5" s="72"/>
    </row>
    <row r="6" spans="1:5" ht="15" customHeight="1" x14ac:dyDescent="0.2">
      <c r="A6" s="73" t="s">
        <v>37</v>
      </c>
      <c r="B6" s="74" t="s">
        <v>90</v>
      </c>
      <c r="C6" s="75">
        <v>1</v>
      </c>
      <c r="D6" s="76"/>
      <c r="E6" s="76"/>
    </row>
    <row r="7" spans="1:5" ht="15" customHeight="1" x14ac:dyDescent="0.2">
      <c r="A7" s="73" t="s">
        <v>38</v>
      </c>
      <c r="B7" s="77" t="s">
        <v>91</v>
      </c>
      <c r="C7" s="78">
        <f>1+6</f>
        <v>7</v>
      </c>
      <c r="D7" s="79"/>
      <c r="E7" s="76"/>
    </row>
    <row r="8" spans="1:5" ht="15" customHeight="1" x14ac:dyDescent="0.2">
      <c r="A8" s="73" t="s">
        <v>39</v>
      </c>
      <c r="B8" s="80" t="s">
        <v>92</v>
      </c>
      <c r="C8" s="78">
        <v>2</v>
      </c>
      <c r="D8" s="79"/>
      <c r="E8" s="76"/>
    </row>
    <row r="9" spans="1:5" ht="15" customHeight="1" x14ac:dyDescent="0.2">
      <c r="A9" s="73" t="s">
        <v>40</v>
      </c>
      <c r="B9" s="77" t="s">
        <v>93</v>
      </c>
      <c r="C9" s="78">
        <v>1</v>
      </c>
      <c r="D9" s="79"/>
      <c r="E9" s="76"/>
    </row>
    <row r="10" spans="1:5" ht="15" customHeight="1" x14ac:dyDescent="0.2">
      <c r="A10" s="73" t="s">
        <v>41</v>
      </c>
      <c r="B10" s="77" t="s">
        <v>94</v>
      </c>
      <c r="C10" s="78">
        <v>2</v>
      </c>
      <c r="D10" s="79"/>
      <c r="E10" s="76"/>
    </row>
    <row r="11" spans="1:5" ht="15" customHeight="1" x14ac:dyDescent="0.2">
      <c r="A11" s="73" t="s">
        <v>46</v>
      </c>
      <c r="B11" s="80" t="s">
        <v>95</v>
      </c>
      <c r="C11" s="78">
        <v>1</v>
      </c>
      <c r="D11" s="79"/>
      <c r="E11" s="76"/>
    </row>
    <row r="12" spans="1:5" ht="15" customHeight="1" x14ac:dyDescent="0.2">
      <c r="A12" s="73" t="s">
        <v>48</v>
      </c>
      <c r="B12" s="80" t="s">
        <v>96</v>
      </c>
      <c r="C12" s="78">
        <v>6</v>
      </c>
      <c r="D12" s="79"/>
      <c r="E12" s="76"/>
    </row>
    <row r="13" spans="1:5" ht="15" customHeight="1" x14ac:dyDescent="0.2">
      <c r="A13" s="73" t="s">
        <v>49</v>
      </c>
      <c r="B13" s="13" t="s">
        <v>202</v>
      </c>
      <c r="C13" s="78">
        <v>0</v>
      </c>
      <c r="D13" s="79"/>
      <c r="E13" s="76"/>
    </row>
    <row r="14" spans="1:5" ht="15" customHeight="1" x14ac:dyDescent="0.2">
      <c r="A14" s="73" t="s">
        <v>50</v>
      </c>
      <c r="B14" s="80" t="s">
        <v>97</v>
      </c>
      <c r="C14" s="81"/>
      <c r="D14" s="82">
        <v>16</v>
      </c>
      <c r="E14" s="76"/>
    </row>
    <row r="15" spans="1:5" ht="15" customHeight="1" x14ac:dyDescent="0.2">
      <c r="A15" s="73" t="s">
        <v>51</v>
      </c>
      <c r="B15" s="77" t="s">
        <v>98</v>
      </c>
      <c r="C15" s="81"/>
      <c r="D15" s="82">
        <v>1</v>
      </c>
      <c r="E15" s="76"/>
    </row>
    <row r="16" spans="1:5" ht="15" customHeight="1" x14ac:dyDescent="0.2">
      <c r="A16" s="73" t="s">
        <v>23</v>
      </c>
      <c r="B16" s="77" t="s">
        <v>203</v>
      </c>
      <c r="C16" s="78">
        <v>1</v>
      </c>
      <c r="D16" s="82"/>
      <c r="E16" s="76"/>
    </row>
    <row r="17" spans="1:5" ht="15" customHeight="1" x14ac:dyDescent="0.2">
      <c r="A17" s="73" t="s">
        <v>23</v>
      </c>
      <c r="B17" s="77"/>
      <c r="C17" s="78"/>
      <c r="D17" s="79"/>
      <c r="E17" s="76"/>
    </row>
    <row r="18" spans="1:5" ht="15" customHeight="1" x14ac:dyDescent="0.2">
      <c r="A18" s="73" t="s">
        <v>24</v>
      </c>
      <c r="B18" s="80"/>
      <c r="C18" s="78"/>
      <c r="D18" s="79"/>
      <c r="E18" s="76"/>
    </row>
    <row r="19" spans="1:5" ht="15" customHeight="1" x14ac:dyDescent="0.2">
      <c r="A19" s="73" t="s">
        <v>28</v>
      </c>
      <c r="B19" s="83"/>
      <c r="C19" s="78"/>
      <c r="D19" s="79"/>
      <c r="E19" s="76"/>
    </row>
    <row r="20" spans="1:5" ht="15" customHeight="1" x14ac:dyDescent="0.2">
      <c r="A20" s="73"/>
      <c r="B20" s="83"/>
      <c r="C20" s="78"/>
      <c r="D20" s="79"/>
      <c r="E20" s="76"/>
    </row>
    <row r="21" spans="1:5" ht="15" customHeight="1" x14ac:dyDescent="0.2">
      <c r="A21" s="73" t="s">
        <v>25</v>
      </c>
      <c r="B21" s="80"/>
      <c r="C21" s="78"/>
      <c r="D21" s="79"/>
      <c r="E21" s="76"/>
    </row>
    <row r="22" spans="1:5" ht="15" customHeight="1" thickBot="1" x14ac:dyDescent="0.25">
      <c r="A22" s="73" t="s">
        <v>54</v>
      </c>
      <c r="B22" s="74"/>
      <c r="C22" s="84"/>
      <c r="D22" s="76"/>
      <c r="E22" s="85"/>
    </row>
    <row r="23" spans="1:5" s="13" customFormat="1" ht="18" customHeight="1" thickBot="1" x14ac:dyDescent="0.25">
      <c r="A23" s="686" t="s">
        <v>99</v>
      </c>
      <c r="B23" s="687"/>
      <c r="C23" s="86">
        <f>SUM(C6:C22)</f>
        <v>21</v>
      </c>
      <c r="D23" s="87">
        <f>SUM(D6:D22)</f>
        <v>17</v>
      </c>
      <c r="E23" s="88">
        <f>SUM(C23:D23)</f>
        <v>38</v>
      </c>
    </row>
    <row r="28" spans="1:5" ht="15" customHeight="1" x14ac:dyDescent="0.2">
      <c r="B28" s="13"/>
      <c r="C28" s="13"/>
      <c r="D28" s="13"/>
      <c r="E28" s="13"/>
    </row>
    <row r="29" spans="1:5" ht="15" customHeight="1" x14ac:dyDescent="0.2">
      <c r="B29" s="13"/>
      <c r="C29" s="13"/>
      <c r="D29" s="13"/>
      <c r="E29" s="13"/>
    </row>
    <row r="30" spans="1:5" ht="15" customHeight="1" x14ac:dyDescent="0.2">
      <c r="B30" s="13"/>
      <c r="C30" s="13"/>
      <c r="D30" s="13"/>
      <c r="E30" s="13"/>
    </row>
    <row r="31" spans="1:5" ht="15" customHeight="1" x14ac:dyDescent="0.2">
      <c r="B31" s="13"/>
      <c r="C31" s="13"/>
      <c r="D31" s="13"/>
      <c r="E31" s="13"/>
    </row>
    <row r="36" spans="2:5" ht="15" customHeight="1" x14ac:dyDescent="0.2">
      <c r="B36" s="13"/>
      <c r="C36" s="13"/>
      <c r="D36" s="13"/>
      <c r="E36" s="13"/>
    </row>
    <row r="42" spans="2:5" ht="15" customHeight="1" x14ac:dyDescent="0.2">
      <c r="B42" s="13"/>
      <c r="C42" s="13"/>
      <c r="D42" s="13"/>
      <c r="E42" s="13"/>
    </row>
    <row r="44" spans="2:5" ht="15" customHeight="1" x14ac:dyDescent="0.2">
      <c r="B44" s="13"/>
      <c r="C44" s="13"/>
      <c r="D44" s="13"/>
      <c r="E44" s="13"/>
    </row>
  </sheetData>
  <mergeCells count="5">
    <mergeCell ref="A23:B23"/>
    <mergeCell ref="A1:E1"/>
    <mergeCell ref="A4:A5"/>
    <mergeCell ref="B4:B5"/>
    <mergeCell ref="C4:D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&amp;R8.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  <pageSetUpPr fitToPage="1"/>
  </sheetPr>
  <dimension ref="A1:H16"/>
  <sheetViews>
    <sheetView tabSelected="1" workbookViewId="0">
      <selection sqref="A1:D1"/>
    </sheetView>
  </sheetViews>
  <sheetFormatPr defaultRowHeight="12.75" x14ac:dyDescent="0.2"/>
  <cols>
    <col min="3" max="3" width="40.7109375" customWidth="1"/>
    <col min="4" max="8" width="27.85546875" customWidth="1"/>
  </cols>
  <sheetData>
    <row r="1" spans="1:8" ht="21.75" customHeight="1" x14ac:dyDescent="0.2">
      <c r="A1" s="540" t="s">
        <v>458</v>
      </c>
      <c r="B1" s="540"/>
      <c r="C1" s="540"/>
      <c r="D1" s="540"/>
    </row>
    <row r="2" spans="1:8" x14ac:dyDescent="0.2">
      <c r="A2" s="3"/>
      <c r="B2" s="3"/>
      <c r="C2" s="3"/>
      <c r="D2" s="146"/>
      <c r="E2" s="146"/>
      <c r="F2" s="146"/>
      <c r="G2" s="146"/>
      <c r="H2" s="146"/>
    </row>
    <row r="3" spans="1:8" x14ac:dyDescent="0.2">
      <c r="A3" s="3"/>
      <c r="B3" s="3"/>
      <c r="C3" s="3"/>
      <c r="D3" s="146"/>
      <c r="E3" s="146"/>
      <c r="F3" s="146"/>
      <c r="G3" s="146"/>
      <c r="H3" s="146"/>
    </row>
    <row r="4" spans="1:8" x14ac:dyDescent="0.2">
      <c r="A4" s="3"/>
      <c r="B4" s="3"/>
      <c r="C4" s="3"/>
      <c r="D4" s="146"/>
      <c r="E4" s="146"/>
      <c r="F4" s="146"/>
      <c r="G4" s="146"/>
      <c r="H4" s="146"/>
    </row>
    <row r="5" spans="1:8" x14ac:dyDescent="0.2">
      <c r="A5" s="3"/>
      <c r="B5" s="3"/>
      <c r="C5" s="3"/>
      <c r="D5" s="18" t="s">
        <v>380</v>
      </c>
      <c r="E5" s="18"/>
      <c r="F5" s="18"/>
      <c r="G5" s="18"/>
      <c r="H5" s="18"/>
    </row>
    <row r="6" spans="1:8" ht="13.5" thickBot="1" x14ac:dyDescent="0.25">
      <c r="A6" s="1"/>
      <c r="B6" s="1"/>
      <c r="C6" s="2"/>
      <c r="D6" s="18"/>
      <c r="E6" s="18"/>
      <c r="F6" s="18"/>
      <c r="G6" s="18"/>
      <c r="H6" s="18"/>
    </row>
    <row r="7" spans="1:8" ht="12.75" customHeight="1" x14ac:dyDescent="0.2">
      <c r="A7" s="694" t="s">
        <v>36</v>
      </c>
      <c r="B7" s="695"/>
      <c r="C7" s="696"/>
      <c r="D7" s="147" t="s">
        <v>374</v>
      </c>
      <c r="E7" s="147" t="s">
        <v>432</v>
      </c>
      <c r="F7" s="147" t="s">
        <v>442</v>
      </c>
      <c r="G7" s="147" t="s">
        <v>427</v>
      </c>
      <c r="H7" s="147" t="s">
        <v>428</v>
      </c>
    </row>
    <row r="8" spans="1:8" x14ac:dyDescent="0.2">
      <c r="A8" s="697"/>
      <c r="B8" s="698"/>
      <c r="C8" s="699"/>
      <c r="D8" s="148" t="s">
        <v>88</v>
      </c>
      <c r="E8" s="148" t="s">
        <v>88</v>
      </c>
      <c r="F8" s="148" t="s">
        <v>88</v>
      </c>
      <c r="G8" s="148" t="s">
        <v>88</v>
      </c>
      <c r="H8" s="148" t="s">
        <v>88</v>
      </c>
    </row>
    <row r="9" spans="1:8" x14ac:dyDescent="0.2">
      <c r="A9" s="4"/>
      <c r="B9" s="700"/>
      <c r="C9" s="700"/>
      <c r="D9" s="6"/>
      <c r="E9" s="6"/>
      <c r="F9" s="6"/>
      <c r="G9" s="6"/>
      <c r="H9" s="6"/>
    </row>
    <row r="10" spans="1:8" x14ac:dyDescent="0.2">
      <c r="A10" s="4" t="s">
        <v>37</v>
      </c>
      <c r="B10" s="700" t="s">
        <v>197</v>
      </c>
      <c r="C10" s="700"/>
      <c r="D10" s="6">
        <f>'1. Bevételek'!O18+'1. Bevételek'!O19+'1. Bevételek'!O21</f>
        <v>168154000</v>
      </c>
      <c r="E10" s="6">
        <v>0</v>
      </c>
      <c r="F10" s="6">
        <f>G10-E10-D10</f>
        <v>0</v>
      </c>
      <c r="G10" s="6">
        <v>168154000</v>
      </c>
      <c r="H10" s="6">
        <v>64994194</v>
      </c>
    </row>
    <row r="11" spans="1:8" x14ac:dyDescent="0.2">
      <c r="A11" s="4" t="s">
        <v>38</v>
      </c>
      <c r="B11" s="700" t="s">
        <v>234</v>
      </c>
      <c r="C11" s="700"/>
      <c r="D11" s="6">
        <f>'1. Bevételek'!O27</f>
        <v>241672</v>
      </c>
      <c r="E11" s="6">
        <v>0</v>
      </c>
      <c r="F11" s="6">
        <f t="shared" ref="F11:F13" si="0">G11-E11-D11</f>
        <v>0</v>
      </c>
      <c r="G11" s="6">
        <v>241672</v>
      </c>
      <c r="H11" s="6">
        <v>120836</v>
      </c>
    </row>
    <row r="12" spans="1:8" x14ac:dyDescent="0.2">
      <c r="A12" s="4" t="s">
        <v>39</v>
      </c>
      <c r="B12" s="700" t="s">
        <v>288</v>
      </c>
      <c r="C12" s="700"/>
      <c r="D12" s="6">
        <f>'1. Bevételek'!O23</f>
        <v>50000</v>
      </c>
      <c r="E12" s="6">
        <v>25995</v>
      </c>
      <c r="F12" s="6">
        <f t="shared" si="0"/>
        <v>179701</v>
      </c>
      <c r="G12" s="6">
        <v>255696</v>
      </c>
      <c r="H12" s="6">
        <v>75995</v>
      </c>
    </row>
    <row r="13" spans="1:8" ht="13.5" thickBot="1" x14ac:dyDescent="0.25">
      <c r="A13" s="4" t="s">
        <v>40</v>
      </c>
      <c r="B13" s="701" t="s">
        <v>289</v>
      </c>
      <c r="C13" s="701"/>
      <c r="D13" s="24">
        <f>'1. Bevételek'!O34</f>
        <v>2372880</v>
      </c>
      <c r="E13" s="6">
        <v>0</v>
      </c>
      <c r="F13" s="6">
        <f t="shared" si="0"/>
        <v>0</v>
      </c>
      <c r="G13" s="24">
        <v>2372880</v>
      </c>
      <c r="H13" s="24">
        <v>1186440</v>
      </c>
    </row>
    <row r="14" spans="1:8" ht="13.5" thickBot="1" x14ac:dyDescent="0.25">
      <c r="A14" s="702" t="s">
        <v>198</v>
      </c>
      <c r="B14" s="703"/>
      <c r="C14" s="704"/>
      <c r="D14" s="423">
        <f>SUM(D9:D13)</f>
        <v>170818552</v>
      </c>
      <c r="E14" s="423">
        <f t="shared" ref="E14:H14" si="1">SUM(E9:E13)</f>
        <v>25995</v>
      </c>
      <c r="F14" s="423">
        <f>SUM(F9:F13)</f>
        <v>179701</v>
      </c>
      <c r="G14" s="423">
        <f t="shared" si="1"/>
        <v>171024248</v>
      </c>
      <c r="H14" s="423">
        <f t="shared" si="1"/>
        <v>66377465</v>
      </c>
    </row>
    <row r="15" spans="1:8" ht="13.5" thickBot="1" x14ac:dyDescent="0.25">
      <c r="A15" s="705" t="s">
        <v>199</v>
      </c>
      <c r="B15" s="706"/>
      <c r="C15" s="706"/>
      <c r="D15" s="424">
        <f>D14*0.5</f>
        <v>85409276</v>
      </c>
      <c r="E15" s="424">
        <f t="shared" ref="E15:H15" si="2">E14*0.5</f>
        <v>12997.5</v>
      </c>
      <c r="F15" s="424">
        <f>F14*0.5</f>
        <v>89850.5</v>
      </c>
      <c r="G15" s="424">
        <f t="shared" si="2"/>
        <v>85512124</v>
      </c>
      <c r="H15" s="424">
        <f t="shared" si="2"/>
        <v>33188732.5</v>
      </c>
    </row>
    <row r="16" spans="1:8" x14ac:dyDescent="0.2">
      <c r="A16" s="707"/>
      <c r="B16" s="707"/>
      <c r="C16" s="707"/>
      <c r="D16" s="149"/>
      <c r="E16" s="149"/>
      <c r="F16" s="149"/>
      <c r="G16" s="149"/>
      <c r="H16" s="149"/>
    </row>
  </sheetData>
  <mergeCells count="10">
    <mergeCell ref="B12:C12"/>
    <mergeCell ref="B13:C13"/>
    <mergeCell ref="A14:C14"/>
    <mergeCell ref="A15:C15"/>
    <mergeCell ref="A16:C16"/>
    <mergeCell ref="A1:D1"/>
    <mergeCell ref="A7:C8"/>
    <mergeCell ref="B9:C9"/>
    <mergeCell ref="B10:C10"/>
    <mergeCell ref="B11:C11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>
    <oddHeader>&amp;R9.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topLeftCell="A28" zoomScaleNormal="100" workbookViewId="0">
      <selection activeCell="K60" sqref="K60"/>
    </sheetView>
  </sheetViews>
  <sheetFormatPr defaultRowHeight="12.75" x14ac:dyDescent="0.2"/>
  <cols>
    <col min="1" max="2" width="2.5703125" style="251" bestFit="1" customWidth="1"/>
    <col min="3" max="3" width="52.7109375" style="251" customWidth="1"/>
    <col min="4" max="4" width="6.28515625" style="251" bestFit="1" customWidth="1"/>
    <col min="5" max="5" width="12.7109375" style="251" bestFit="1" customWidth="1"/>
    <col min="6" max="7" width="12.7109375" style="251" customWidth="1"/>
    <col min="8" max="10" width="12.42578125" style="251" customWidth="1"/>
    <col min="11" max="11" width="12.7109375" style="251" bestFit="1" customWidth="1"/>
    <col min="12" max="12" width="11.140625" style="251" bestFit="1" customWidth="1"/>
    <col min="13" max="14" width="11.140625" style="251" customWidth="1"/>
    <col min="15" max="15" width="9.140625" style="251" bestFit="1"/>
    <col min="16" max="17" width="9.140625" style="251"/>
    <col min="18" max="18" width="9.42578125" style="251" bestFit="1" customWidth="1"/>
    <col min="19" max="21" width="6.42578125" style="251" customWidth="1"/>
    <col min="22" max="24" width="7.42578125" style="251" customWidth="1"/>
    <col min="25" max="25" width="9.42578125" style="251" bestFit="1" customWidth="1"/>
    <col min="26" max="26" width="13.140625" style="251" bestFit="1" customWidth="1"/>
    <col min="27" max="16384" width="9.140625" style="251"/>
  </cols>
  <sheetData>
    <row r="1" spans="1:26" ht="21.75" customHeight="1" x14ac:dyDescent="0.2">
      <c r="A1" s="540" t="s">
        <v>448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</row>
    <row r="2" spans="1:26" ht="28.5" customHeight="1" x14ac:dyDescent="0.2">
      <c r="A2" s="541" t="s">
        <v>101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295" t="s">
        <v>380</v>
      </c>
    </row>
    <row r="3" spans="1:26" ht="36.75" customHeight="1" x14ac:dyDescent="0.2">
      <c r="A3" s="578" t="s">
        <v>36</v>
      </c>
      <c r="B3" s="579"/>
      <c r="C3" s="580"/>
      <c r="D3" s="587" t="s">
        <v>309</v>
      </c>
      <c r="E3" s="590" t="s">
        <v>369</v>
      </c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2"/>
    </row>
    <row r="4" spans="1:26" ht="12.75" customHeight="1" x14ac:dyDescent="0.2">
      <c r="A4" s="581"/>
      <c r="B4" s="582"/>
      <c r="C4" s="583"/>
      <c r="D4" s="588"/>
      <c r="E4" s="595" t="s">
        <v>310</v>
      </c>
      <c r="F4" s="596"/>
      <c r="G4" s="596"/>
      <c r="H4" s="596"/>
      <c r="I4" s="596"/>
      <c r="J4" s="597"/>
      <c r="K4" s="587" t="s">
        <v>200</v>
      </c>
      <c r="L4" s="578" t="s">
        <v>311</v>
      </c>
      <c r="M4" s="579"/>
      <c r="N4" s="579"/>
      <c r="O4" s="579"/>
      <c r="P4" s="579"/>
      <c r="Q4" s="580"/>
      <c r="R4" s="587" t="s">
        <v>200</v>
      </c>
      <c r="S4" s="595" t="s">
        <v>312</v>
      </c>
      <c r="T4" s="596"/>
      <c r="U4" s="596"/>
      <c r="V4" s="596"/>
      <c r="W4" s="596"/>
      <c r="X4" s="597"/>
      <c r="Y4" s="587" t="s">
        <v>200</v>
      </c>
      <c r="Z4" s="593" t="s">
        <v>99</v>
      </c>
    </row>
    <row r="5" spans="1:26" s="253" customFormat="1" ht="25.5" x14ac:dyDescent="0.2">
      <c r="A5" s="584"/>
      <c r="B5" s="585"/>
      <c r="C5" s="586"/>
      <c r="D5" s="589"/>
      <c r="E5" s="252" t="s">
        <v>201</v>
      </c>
      <c r="F5" s="252" t="s">
        <v>439</v>
      </c>
      <c r="G5" s="252" t="s">
        <v>459</v>
      </c>
      <c r="H5" s="252" t="s">
        <v>278</v>
      </c>
      <c r="I5" s="252" t="s">
        <v>440</v>
      </c>
      <c r="J5" s="252" t="s">
        <v>462</v>
      </c>
      <c r="K5" s="589"/>
      <c r="L5" s="252" t="s">
        <v>201</v>
      </c>
      <c r="M5" s="252" t="s">
        <v>440</v>
      </c>
      <c r="N5" s="252" t="s">
        <v>459</v>
      </c>
      <c r="O5" s="252" t="s">
        <v>278</v>
      </c>
      <c r="P5" s="252" t="s">
        <v>440</v>
      </c>
      <c r="Q5" s="252" t="s">
        <v>462</v>
      </c>
      <c r="R5" s="589"/>
      <c r="S5" s="252" t="s">
        <v>201</v>
      </c>
      <c r="T5" s="252" t="s">
        <v>440</v>
      </c>
      <c r="U5" s="252" t="s">
        <v>460</v>
      </c>
      <c r="V5" s="252" t="s">
        <v>278</v>
      </c>
      <c r="W5" s="252" t="s">
        <v>440</v>
      </c>
      <c r="X5" s="252" t="s">
        <v>461</v>
      </c>
      <c r="Y5" s="589"/>
      <c r="Z5" s="594"/>
    </row>
    <row r="6" spans="1:26" ht="17.25" customHeight="1" x14ac:dyDescent="0.2">
      <c r="A6" s="571" t="s">
        <v>37</v>
      </c>
      <c r="B6" s="270"/>
      <c r="C6" s="164" t="s">
        <v>223</v>
      </c>
      <c r="D6" s="164" t="s">
        <v>313</v>
      </c>
      <c r="E6" s="165">
        <f>'1. Bevételek'!E5</f>
        <v>75428581</v>
      </c>
      <c r="F6" s="165">
        <v>23382844</v>
      </c>
      <c r="G6" s="165">
        <v>523962</v>
      </c>
      <c r="H6" s="165">
        <f>'1. Bevételek'!J5</f>
        <v>0</v>
      </c>
      <c r="I6" s="165">
        <v>0</v>
      </c>
      <c r="J6" s="165">
        <v>0</v>
      </c>
      <c r="K6" s="165">
        <f>SUM(E6:J6)</f>
        <v>99335387</v>
      </c>
      <c r="L6" s="254">
        <v>0</v>
      </c>
      <c r="M6" s="254"/>
      <c r="N6" s="254"/>
      <c r="O6" s="254">
        <v>0</v>
      </c>
      <c r="P6" s="254"/>
      <c r="Q6" s="254"/>
      <c r="R6" s="254">
        <f>SUM(L6:O6)</f>
        <v>0</v>
      </c>
      <c r="S6" s="254">
        <v>0</v>
      </c>
      <c r="T6" s="254"/>
      <c r="U6" s="254"/>
      <c r="V6" s="254">
        <v>0</v>
      </c>
      <c r="W6" s="254"/>
      <c r="X6" s="254"/>
      <c r="Y6" s="254">
        <f>SUM(S6:V6)</f>
        <v>0</v>
      </c>
      <c r="Z6" s="165">
        <f>K6+R6+Y6</f>
        <v>99335387</v>
      </c>
    </row>
    <row r="7" spans="1:26" ht="25.5" x14ac:dyDescent="0.2">
      <c r="A7" s="571"/>
      <c r="B7" s="270"/>
      <c r="C7" s="164" t="s">
        <v>224</v>
      </c>
      <c r="D7" s="164" t="s">
        <v>314</v>
      </c>
      <c r="E7" s="165">
        <f>'1. Bevételek'!E6</f>
        <v>144073630</v>
      </c>
      <c r="F7" s="165"/>
      <c r="G7" s="165">
        <v>8250495</v>
      </c>
      <c r="H7" s="165">
        <f>'1. Bevételek'!J6</f>
        <v>0</v>
      </c>
      <c r="I7" s="165">
        <v>0</v>
      </c>
      <c r="J7" s="165">
        <v>0</v>
      </c>
      <c r="K7" s="165">
        <f>SUM(E7:J7)</f>
        <v>152324125</v>
      </c>
      <c r="L7" s="254">
        <v>0</v>
      </c>
      <c r="M7" s="254"/>
      <c r="N7" s="254"/>
      <c r="O7" s="254">
        <v>0</v>
      </c>
      <c r="P7" s="254"/>
      <c r="Q7" s="254"/>
      <c r="R7" s="254">
        <f t="shared" ref="R7:R9" si="0">SUM(L7:O7)</f>
        <v>0</v>
      </c>
      <c r="S7" s="254">
        <v>0</v>
      </c>
      <c r="T7" s="254"/>
      <c r="U7" s="254"/>
      <c r="V7" s="254">
        <v>0</v>
      </c>
      <c r="W7" s="254"/>
      <c r="X7" s="254"/>
      <c r="Y7" s="254">
        <f t="shared" ref="Y7:Y9" si="1">SUM(S7:V7)</f>
        <v>0</v>
      </c>
      <c r="Z7" s="165">
        <f t="shared" ref="Z7:Z15" si="2">K7+R7+Y7</f>
        <v>152324125</v>
      </c>
    </row>
    <row r="8" spans="1:26" ht="25.5" x14ac:dyDescent="0.2">
      <c r="A8" s="571"/>
      <c r="B8" s="270"/>
      <c r="C8" s="164" t="s">
        <v>225</v>
      </c>
      <c r="D8" s="164" t="s">
        <v>315</v>
      </c>
      <c r="E8" s="165">
        <f>'1. Bevételek'!E7</f>
        <v>59375158</v>
      </c>
      <c r="F8" s="165">
        <v>2003647</v>
      </c>
      <c r="G8" s="165">
        <v>-7942875</v>
      </c>
      <c r="H8" s="165">
        <f>'1. Bevételek'!J7</f>
        <v>0</v>
      </c>
      <c r="I8" s="165">
        <v>0</v>
      </c>
      <c r="J8" s="165">
        <v>0</v>
      </c>
      <c r="K8" s="165">
        <f>SUM(E8:J8)</f>
        <v>53435930</v>
      </c>
      <c r="L8" s="254">
        <v>0</v>
      </c>
      <c r="M8" s="254"/>
      <c r="N8" s="254"/>
      <c r="O8" s="254">
        <v>0</v>
      </c>
      <c r="P8" s="254"/>
      <c r="Q8" s="254"/>
      <c r="R8" s="254">
        <f t="shared" si="0"/>
        <v>0</v>
      </c>
      <c r="S8" s="254">
        <v>0</v>
      </c>
      <c r="T8" s="254"/>
      <c r="U8" s="254"/>
      <c r="V8" s="254">
        <v>0</v>
      </c>
      <c r="W8" s="254"/>
      <c r="X8" s="254"/>
      <c r="Y8" s="254">
        <f t="shared" si="1"/>
        <v>0</v>
      </c>
      <c r="Z8" s="165">
        <f t="shared" si="2"/>
        <v>53435930</v>
      </c>
    </row>
    <row r="9" spans="1:26" ht="14.25" customHeight="1" x14ac:dyDescent="0.2">
      <c r="A9" s="571"/>
      <c r="B9" s="270"/>
      <c r="C9" s="164" t="s">
        <v>226</v>
      </c>
      <c r="D9" s="164" t="s">
        <v>316</v>
      </c>
      <c r="E9" s="165">
        <f>'1. Bevételek'!E8</f>
        <v>4115790</v>
      </c>
      <c r="F9" s="165"/>
      <c r="G9" s="165">
        <v>1414700</v>
      </c>
      <c r="H9" s="165">
        <f>'1. Bevételek'!J8</f>
        <v>0</v>
      </c>
      <c r="I9" s="165">
        <v>0</v>
      </c>
      <c r="J9" s="165">
        <v>0</v>
      </c>
      <c r="K9" s="165">
        <f>SUM(E9:J9)</f>
        <v>5530490</v>
      </c>
      <c r="L9" s="254">
        <v>0</v>
      </c>
      <c r="M9" s="254"/>
      <c r="N9" s="254"/>
      <c r="O9" s="254">
        <v>0</v>
      </c>
      <c r="P9" s="254"/>
      <c r="Q9" s="254"/>
      <c r="R9" s="254">
        <f t="shared" si="0"/>
        <v>0</v>
      </c>
      <c r="S9" s="254">
        <v>0</v>
      </c>
      <c r="T9" s="254"/>
      <c r="U9" s="254"/>
      <c r="V9" s="254">
        <v>0</v>
      </c>
      <c r="W9" s="254"/>
      <c r="X9" s="254"/>
      <c r="Y9" s="254">
        <f t="shared" si="1"/>
        <v>0</v>
      </c>
      <c r="Z9" s="165">
        <f t="shared" si="2"/>
        <v>5530490</v>
      </c>
    </row>
    <row r="10" spans="1:26" ht="14.25" customHeight="1" x14ac:dyDescent="0.2">
      <c r="A10" s="571"/>
      <c r="B10" s="270"/>
      <c r="C10" s="164" t="s">
        <v>443</v>
      </c>
      <c r="D10" s="164"/>
      <c r="E10" s="165"/>
      <c r="F10" s="165"/>
      <c r="G10" s="165">
        <v>27000</v>
      </c>
      <c r="H10" s="165"/>
      <c r="I10" s="165"/>
      <c r="J10" s="165"/>
      <c r="K10" s="165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165"/>
    </row>
    <row r="11" spans="1:26" ht="18" customHeight="1" x14ac:dyDescent="0.2">
      <c r="A11" s="571"/>
      <c r="B11" s="575" t="s">
        <v>227</v>
      </c>
      <c r="C11" s="575"/>
      <c r="D11" s="255" t="s">
        <v>317</v>
      </c>
      <c r="E11" s="188">
        <f>SUM(E6:E10)</f>
        <v>282993159</v>
      </c>
      <c r="F11" s="188">
        <f t="shared" ref="F11:G11" si="3">SUM(F6:F10)</f>
        <v>25386491</v>
      </c>
      <c r="G11" s="188">
        <f t="shared" si="3"/>
        <v>2273282</v>
      </c>
      <c r="H11" s="188">
        <f t="shared" ref="H11:Y11" si="4">SUM(H6:H9)</f>
        <v>0</v>
      </c>
      <c r="I11" s="188">
        <f t="shared" ref="I11" si="5">SUM(I6:I9)</f>
        <v>0</v>
      </c>
      <c r="J11" s="188">
        <f t="shared" si="4"/>
        <v>0</v>
      </c>
      <c r="K11" s="188">
        <f t="shared" si="4"/>
        <v>310625932</v>
      </c>
      <c r="L11" s="188">
        <f t="shared" si="4"/>
        <v>0</v>
      </c>
      <c r="M11" s="188">
        <f t="shared" si="4"/>
        <v>0</v>
      </c>
      <c r="N11" s="188">
        <f t="shared" si="4"/>
        <v>0</v>
      </c>
      <c r="O11" s="188">
        <f t="shared" si="4"/>
        <v>0</v>
      </c>
      <c r="P11" s="188"/>
      <c r="Q11" s="188"/>
      <c r="R11" s="188">
        <f t="shared" si="4"/>
        <v>0</v>
      </c>
      <c r="S11" s="188">
        <f t="shared" si="4"/>
        <v>0</v>
      </c>
      <c r="T11" s="188"/>
      <c r="U11" s="188"/>
      <c r="V11" s="188">
        <f t="shared" si="4"/>
        <v>0</v>
      </c>
      <c r="W11" s="188"/>
      <c r="X11" s="188"/>
      <c r="Y11" s="188">
        <f t="shared" si="4"/>
        <v>0</v>
      </c>
      <c r="Z11" s="188">
        <f>SUM(Z6:Z9)</f>
        <v>310625932</v>
      </c>
    </row>
    <row r="12" spans="1:26" x14ac:dyDescent="0.2">
      <c r="A12" s="571"/>
      <c r="B12" s="163"/>
      <c r="C12" s="256" t="s">
        <v>371</v>
      </c>
      <c r="D12" s="256" t="s">
        <v>318</v>
      </c>
      <c r="E12" s="165">
        <f>'1. Bevételek'!E11</f>
        <v>0</v>
      </c>
      <c r="F12" s="165"/>
      <c r="G12" s="165">
        <v>0</v>
      </c>
      <c r="H12" s="284">
        <f>'1. Bevételek'!J11</f>
        <v>0</v>
      </c>
      <c r="I12" s="284">
        <v>0</v>
      </c>
      <c r="J12" s="284">
        <v>0</v>
      </c>
      <c r="K12" s="165">
        <f>SUM(E12:J12)</f>
        <v>0</v>
      </c>
      <c r="L12" s="257">
        <v>0</v>
      </c>
      <c r="M12" s="257"/>
      <c r="N12" s="257"/>
      <c r="O12" s="257">
        <v>0</v>
      </c>
      <c r="P12" s="257"/>
      <c r="Q12" s="257"/>
      <c r="R12" s="257">
        <f>SUM(L12:O12)</f>
        <v>0</v>
      </c>
      <c r="S12" s="257">
        <v>0</v>
      </c>
      <c r="T12" s="257"/>
      <c r="U12" s="257"/>
      <c r="V12" s="257">
        <v>0</v>
      </c>
      <c r="W12" s="257"/>
      <c r="X12" s="257"/>
      <c r="Y12" s="257">
        <f>SUM(S12:V12)</f>
        <v>0</v>
      </c>
      <c r="Z12" s="165">
        <f t="shared" si="2"/>
        <v>0</v>
      </c>
    </row>
    <row r="13" spans="1:26" x14ac:dyDescent="0.2">
      <c r="A13" s="571"/>
      <c r="B13" s="163"/>
      <c r="C13" s="202" t="s">
        <v>241</v>
      </c>
      <c r="D13" s="256" t="s">
        <v>318</v>
      </c>
      <c r="E13" s="165">
        <f>'1. Bevételek'!E12</f>
        <v>18648000</v>
      </c>
      <c r="F13" s="165">
        <v>1762500</v>
      </c>
      <c r="G13" s="165">
        <v>0</v>
      </c>
      <c r="H13" s="284">
        <f>'1. Bevételek'!J12</f>
        <v>0</v>
      </c>
      <c r="I13" s="284">
        <v>0</v>
      </c>
      <c r="J13" s="284">
        <v>0</v>
      </c>
      <c r="K13" s="165">
        <f>SUM(E13:J13)</f>
        <v>20410500</v>
      </c>
      <c r="L13" s="257">
        <v>0</v>
      </c>
      <c r="M13" s="257"/>
      <c r="N13" s="257"/>
      <c r="O13" s="257">
        <v>0</v>
      </c>
      <c r="P13" s="257"/>
      <c r="Q13" s="257"/>
      <c r="R13" s="257">
        <f t="shared" ref="R13:R15" si="6">SUM(L13:O13)</f>
        <v>0</v>
      </c>
      <c r="S13" s="257">
        <v>0</v>
      </c>
      <c r="T13" s="257"/>
      <c r="U13" s="257"/>
      <c r="V13" s="257">
        <v>0</v>
      </c>
      <c r="W13" s="257"/>
      <c r="X13" s="257"/>
      <c r="Y13" s="257">
        <f t="shared" ref="Y13:Y15" si="7">SUM(S13:V13)</f>
        <v>0</v>
      </c>
      <c r="Z13" s="165">
        <f t="shared" si="2"/>
        <v>20410500</v>
      </c>
    </row>
    <row r="14" spans="1:26" x14ac:dyDescent="0.2">
      <c r="A14" s="571"/>
      <c r="B14" s="163"/>
      <c r="C14" s="202" t="s">
        <v>242</v>
      </c>
      <c r="D14" s="256" t="s">
        <v>318</v>
      </c>
      <c r="E14" s="165">
        <f>'1. Bevételek'!E13</f>
        <v>4468659</v>
      </c>
      <c r="F14" s="165"/>
      <c r="G14" s="165">
        <v>121276</v>
      </c>
      <c r="H14" s="284">
        <f>'1. Bevételek'!J13</f>
        <v>0</v>
      </c>
      <c r="I14" s="284">
        <v>0</v>
      </c>
      <c r="J14" s="284">
        <v>0</v>
      </c>
      <c r="K14" s="165">
        <f>SUM(E14:J14)</f>
        <v>4589935</v>
      </c>
      <c r="L14" s="257">
        <v>0</v>
      </c>
      <c r="M14" s="257"/>
      <c r="N14" s="257"/>
      <c r="O14" s="257">
        <v>0</v>
      </c>
      <c r="P14" s="257"/>
      <c r="Q14" s="257"/>
      <c r="R14" s="257">
        <f t="shared" si="6"/>
        <v>0</v>
      </c>
      <c r="S14" s="257">
        <v>0</v>
      </c>
      <c r="T14" s="257"/>
      <c r="U14" s="257"/>
      <c r="V14" s="257">
        <v>0</v>
      </c>
      <c r="W14" s="257"/>
      <c r="X14" s="257"/>
      <c r="Y14" s="257">
        <f t="shared" si="7"/>
        <v>0</v>
      </c>
      <c r="Z14" s="165">
        <f t="shared" si="2"/>
        <v>4589935</v>
      </c>
    </row>
    <row r="15" spans="1:26" x14ac:dyDescent="0.2">
      <c r="A15" s="571"/>
      <c r="B15" s="163"/>
      <c r="C15" s="202" t="s">
        <v>243</v>
      </c>
      <c r="D15" s="256" t="s">
        <v>318</v>
      </c>
      <c r="E15" s="165">
        <f>'1. Bevételek'!E14</f>
        <v>29812489</v>
      </c>
      <c r="F15" s="165"/>
      <c r="G15" s="165">
        <v>0</v>
      </c>
      <c r="H15" s="284">
        <f>'1. Bevételek'!J14</f>
        <v>0</v>
      </c>
      <c r="I15" s="284">
        <v>0</v>
      </c>
      <c r="J15" s="284">
        <v>0</v>
      </c>
      <c r="K15" s="165">
        <f>SUM(E15:J15)</f>
        <v>29812489</v>
      </c>
      <c r="L15" s="257">
        <v>0</v>
      </c>
      <c r="M15" s="257"/>
      <c r="N15" s="257"/>
      <c r="O15" s="257">
        <v>0</v>
      </c>
      <c r="P15" s="257"/>
      <c r="Q15" s="257"/>
      <c r="R15" s="257">
        <f t="shared" si="6"/>
        <v>0</v>
      </c>
      <c r="S15" s="257">
        <v>0</v>
      </c>
      <c r="T15" s="257"/>
      <c r="U15" s="257"/>
      <c r="V15" s="257">
        <v>0</v>
      </c>
      <c r="W15" s="257"/>
      <c r="X15" s="257"/>
      <c r="Y15" s="257">
        <f t="shared" si="7"/>
        <v>0</v>
      </c>
      <c r="Z15" s="165">
        <f t="shared" si="2"/>
        <v>29812489</v>
      </c>
    </row>
    <row r="16" spans="1:26" s="158" customFormat="1" ht="18.75" customHeight="1" x14ac:dyDescent="0.2">
      <c r="A16" s="571"/>
      <c r="B16" s="575" t="s">
        <v>244</v>
      </c>
      <c r="C16" s="575"/>
      <c r="D16" s="255" t="s">
        <v>318</v>
      </c>
      <c r="E16" s="188">
        <f t="shared" ref="E16:Y16" si="8">SUM(E12:E15)</f>
        <v>52929148</v>
      </c>
      <c r="F16" s="188">
        <f t="shared" si="8"/>
        <v>1762500</v>
      </c>
      <c r="G16" s="188">
        <f t="shared" si="8"/>
        <v>121276</v>
      </c>
      <c r="H16" s="188">
        <f t="shared" si="8"/>
        <v>0</v>
      </c>
      <c r="I16" s="188">
        <f t="shared" ref="I16" si="9">SUM(I12:I15)</f>
        <v>0</v>
      </c>
      <c r="J16" s="188">
        <f t="shared" si="8"/>
        <v>0</v>
      </c>
      <c r="K16" s="188">
        <f t="shared" si="8"/>
        <v>54812924</v>
      </c>
      <c r="L16" s="188">
        <f t="shared" si="8"/>
        <v>0</v>
      </c>
      <c r="M16" s="188"/>
      <c r="N16" s="188"/>
      <c r="O16" s="188">
        <f t="shared" si="8"/>
        <v>0</v>
      </c>
      <c r="P16" s="188"/>
      <c r="Q16" s="188"/>
      <c r="R16" s="188">
        <f t="shared" si="8"/>
        <v>0</v>
      </c>
      <c r="S16" s="188">
        <f t="shared" si="8"/>
        <v>0</v>
      </c>
      <c r="T16" s="188"/>
      <c r="U16" s="188"/>
      <c r="V16" s="188">
        <f t="shared" si="8"/>
        <v>0</v>
      </c>
      <c r="W16" s="188"/>
      <c r="X16" s="188"/>
      <c r="Y16" s="188">
        <f t="shared" si="8"/>
        <v>0</v>
      </c>
      <c r="Z16" s="188">
        <f>SUM(Z12:Z15)</f>
        <v>54812924</v>
      </c>
    </row>
    <row r="17" spans="1:26" s="266" customFormat="1" ht="22.5" customHeight="1" x14ac:dyDescent="0.2">
      <c r="A17" s="571"/>
      <c r="B17" s="576" t="s">
        <v>245</v>
      </c>
      <c r="C17" s="576"/>
      <c r="D17" s="258" t="s">
        <v>319</v>
      </c>
      <c r="E17" s="189">
        <f t="shared" ref="E17:Y17" si="10">E11+E16</f>
        <v>335922307</v>
      </c>
      <c r="F17" s="189">
        <f t="shared" si="10"/>
        <v>27148991</v>
      </c>
      <c r="G17" s="189">
        <f t="shared" si="10"/>
        <v>2394558</v>
      </c>
      <c r="H17" s="189">
        <f t="shared" si="10"/>
        <v>0</v>
      </c>
      <c r="I17" s="189">
        <f t="shared" ref="I17" si="11">I11+I16</f>
        <v>0</v>
      </c>
      <c r="J17" s="189">
        <f t="shared" si="10"/>
        <v>0</v>
      </c>
      <c r="K17" s="189">
        <f t="shared" si="10"/>
        <v>365438856</v>
      </c>
      <c r="L17" s="189">
        <f t="shared" si="10"/>
        <v>0</v>
      </c>
      <c r="M17" s="189">
        <f t="shared" si="10"/>
        <v>0</v>
      </c>
      <c r="N17" s="189">
        <f t="shared" si="10"/>
        <v>0</v>
      </c>
      <c r="O17" s="189">
        <f t="shared" si="10"/>
        <v>0</v>
      </c>
      <c r="P17" s="189"/>
      <c r="Q17" s="189"/>
      <c r="R17" s="189">
        <f t="shared" si="10"/>
        <v>0</v>
      </c>
      <c r="S17" s="189">
        <f t="shared" si="10"/>
        <v>0</v>
      </c>
      <c r="T17" s="189"/>
      <c r="U17" s="189"/>
      <c r="V17" s="189">
        <f t="shared" si="10"/>
        <v>0</v>
      </c>
      <c r="W17" s="189"/>
      <c r="X17" s="189"/>
      <c r="Y17" s="189">
        <f t="shared" si="10"/>
        <v>0</v>
      </c>
      <c r="Z17" s="189">
        <f>Z11+Z16</f>
        <v>365438856</v>
      </c>
    </row>
    <row r="18" spans="1:26" s="158" customFormat="1" x14ac:dyDescent="0.2">
      <c r="A18" s="571" t="s">
        <v>38</v>
      </c>
      <c r="B18" s="575" t="s">
        <v>228</v>
      </c>
      <c r="C18" s="575"/>
      <c r="D18" s="255" t="s">
        <v>320</v>
      </c>
      <c r="E18" s="188">
        <f>'1. Bevételek'!E18</f>
        <v>6400000</v>
      </c>
      <c r="F18" s="188">
        <v>0</v>
      </c>
      <c r="G18" s="188"/>
      <c r="H18" s="188">
        <f>'1. Bevételek'!J18</f>
        <v>0</v>
      </c>
      <c r="I18" s="188">
        <v>0</v>
      </c>
      <c r="J18" s="188">
        <v>0</v>
      </c>
      <c r="K18" s="188">
        <f>SUM(E18:H18)</f>
        <v>6400000</v>
      </c>
      <c r="L18" s="259">
        <v>0</v>
      </c>
      <c r="M18" s="259"/>
      <c r="N18" s="259"/>
      <c r="O18" s="259">
        <v>0</v>
      </c>
      <c r="P18" s="259"/>
      <c r="Q18" s="259"/>
      <c r="R18" s="259">
        <f>SUM(L18:O18)</f>
        <v>0</v>
      </c>
      <c r="S18" s="259">
        <v>0</v>
      </c>
      <c r="T18" s="259"/>
      <c r="U18" s="259"/>
      <c r="V18" s="259">
        <v>0</v>
      </c>
      <c r="W18" s="259"/>
      <c r="X18" s="259"/>
      <c r="Y18" s="259">
        <f>SUM(S18:V18)</f>
        <v>0</v>
      </c>
      <c r="Z18" s="188">
        <f>K18+R18+Y18</f>
        <v>6400000</v>
      </c>
    </row>
    <row r="19" spans="1:26" x14ac:dyDescent="0.2">
      <c r="A19" s="571"/>
      <c r="B19" s="270" t="s">
        <v>37</v>
      </c>
      <c r="C19" s="164" t="s">
        <v>220</v>
      </c>
      <c r="D19" s="164" t="s">
        <v>321</v>
      </c>
      <c r="E19" s="165">
        <f>'1. Bevételek'!E19</f>
        <v>161354000</v>
      </c>
      <c r="F19" s="165"/>
      <c r="G19" s="165"/>
      <c r="H19" s="165">
        <f>'1. Bevételek'!J19</f>
        <v>0</v>
      </c>
      <c r="I19" s="165"/>
      <c r="J19" s="165"/>
      <c r="K19" s="165">
        <f>SUM(E19:J19)</f>
        <v>161354000</v>
      </c>
      <c r="L19" s="254">
        <v>0</v>
      </c>
      <c r="M19" s="254"/>
      <c r="N19" s="254"/>
      <c r="O19" s="254">
        <v>0</v>
      </c>
      <c r="P19" s="254"/>
      <c r="Q19" s="254"/>
      <c r="R19" s="254">
        <f>SUM(L19:O19)</f>
        <v>0</v>
      </c>
      <c r="S19" s="254">
        <v>0</v>
      </c>
      <c r="T19" s="254"/>
      <c r="U19" s="254"/>
      <c r="V19" s="254">
        <v>0</v>
      </c>
      <c r="W19" s="254"/>
      <c r="X19" s="254"/>
      <c r="Y19" s="254">
        <f>SUM(S19:V19)</f>
        <v>0</v>
      </c>
      <c r="Z19" s="165">
        <f t="shared" ref="Z19:Z21" si="12">K19+R19+Y19</f>
        <v>161354000</v>
      </c>
    </row>
    <row r="20" spans="1:26" x14ac:dyDescent="0.2">
      <c r="A20" s="571"/>
      <c r="B20" s="270" t="s">
        <v>38</v>
      </c>
      <c r="C20" s="164" t="s">
        <v>229</v>
      </c>
      <c r="D20" s="164" t="s">
        <v>322</v>
      </c>
      <c r="E20" s="165">
        <f>'1. Bevételek'!E20</f>
        <v>12900000</v>
      </c>
      <c r="F20" s="165">
        <v>-12900000</v>
      </c>
      <c r="G20" s="165"/>
      <c r="H20" s="165">
        <f>'1. Bevételek'!J20</f>
        <v>0</v>
      </c>
      <c r="I20" s="165"/>
      <c r="J20" s="165"/>
      <c r="K20" s="165">
        <f>SUM(E20:J20)</f>
        <v>0</v>
      </c>
      <c r="L20" s="254">
        <v>0</v>
      </c>
      <c r="M20" s="254"/>
      <c r="N20" s="254"/>
      <c r="O20" s="254">
        <v>0</v>
      </c>
      <c r="P20" s="254"/>
      <c r="Q20" s="254"/>
      <c r="R20" s="254">
        <f>SUM(L20:O20)</f>
        <v>0</v>
      </c>
      <c r="S20" s="254">
        <v>0</v>
      </c>
      <c r="T20" s="254"/>
      <c r="U20" s="254"/>
      <c r="V20" s="254">
        <v>0</v>
      </c>
      <c r="W20" s="254"/>
      <c r="X20" s="254"/>
      <c r="Y20" s="254">
        <f>SUM(S20:V20)</f>
        <v>0</v>
      </c>
      <c r="Z20" s="165">
        <f t="shared" si="12"/>
        <v>0</v>
      </c>
    </row>
    <row r="21" spans="1:26" x14ac:dyDescent="0.2">
      <c r="A21" s="571"/>
      <c r="B21" s="270" t="s">
        <v>39</v>
      </c>
      <c r="C21" s="164" t="s">
        <v>221</v>
      </c>
      <c r="D21" s="164" t="s">
        <v>323</v>
      </c>
      <c r="E21" s="165">
        <f>'1. Bevételek'!E21</f>
        <v>400000</v>
      </c>
      <c r="F21" s="165"/>
      <c r="G21" s="165"/>
      <c r="H21" s="165">
        <f>'1. Bevételek'!J21</f>
        <v>0</v>
      </c>
      <c r="I21" s="165"/>
      <c r="J21" s="165"/>
      <c r="K21" s="165">
        <f>SUM(E21:J21)</f>
        <v>400000</v>
      </c>
      <c r="L21" s="254">
        <v>0</v>
      </c>
      <c r="M21" s="254"/>
      <c r="N21" s="254"/>
      <c r="O21" s="254">
        <v>0</v>
      </c>
      <c r="P21" s="254"/>
      <c r="Q21" s="254"/>
      <c r="R21" s="254">
        <f>SUM(L21:O21)</f>
        <v>0</v>
      </c>
      <c r="S21" s="254">
        <v>0</v>
      </c>
      <c r="T21" s="254"/>
      <c r="U21" s="254"/>
      <c r="V21" s="254">
        <v>0</v>
      </c>
      <c r="W21" s="254"/>
      <c r="X21" s="254"/>
      <c r="Y21" s="254">
        <f>SUM(S21:V21)</f>
        <v>0</v>
      </c>
      <c r="Z21" s="165">
        <f t="shared" si="12"/>
        <v>400000</v>
      </c>
    </row>
    <row r="22" spans="1:26" ht="17.25" customHeight="1" x14ac:dyDescent="0.2">
      <c r="A22" s="571"/>
      <c r="B22" s="575" t="s">
        <v>275</v>
      </c>
      <c r="C22" s="575"/>
      <c r="D22" s="255" t="s">
        <v>324</v>
      </c>
      <c r="E22" s="188">
        <f t="shared" ref="E22:Y22" si="13">SUM(E19:E21)</f>
        <v>174654000</v>
      </c>
      <c r="F22" s="188">
        <f t="shared" si="13"/>
        <v>-12900000</v>
      </c>
      <c r="G22" s="188"/>
      <c r="H22" s="188">
        <f t="shared" si="13"/>
        <v>0</v>
      </c>
      <c r="I22" s="188">
        <f t="shared" ref="I22" si="14">SUM(I19:I21)</f>
        <v>0</v>
      </c>
      <c r="J22" s="188">
        <f t="shared" si="13"/>
        <v>0</v>
      </c>
      <c r="K22" s="188">
        <f t="shared" si="13"/>
        <v>161754000</v>
      </c>
      <c r="L22" s="188">
        <f t="shared" si="13"/>
        <v>0</v>
      </c>
      <c r="M22" s="188"/>
      <c r="N22" s="188"/>
      <c r="O22" s="188">
        <f t="shared" si="13"/>
        <v>0</v>
      </c>
      <c r="P22" s="188"/>
      <c r="Q22" s="188"/>
      <c r="R22" s="188">
        <f t="shared" si="13"/>
        <v>0</v>
      </c>
      <c r="S22" s="188">
        <f t="shared" si="13"/>
        <v>0</v>
      </c>
      <c r="T22" s="188"/>
      <c r="U22" s="188"/>
      <c r="V22" s="188">
        <f t="shared" si="13"/>
        <v>0</v>
      </c>
      <c r="W22" s="188"/>
      <c r="X22" s="188"/>
      <c r="Y22" s="188">
        <f t="shared" si="13"/>
        <v>0</v>
      </c>
      <c r="Z22" s="188">
        <f>SUM(Z19:Z21)</f>
        <v>161754000</v>
      </c>
    </row>
    <row r="23" spans="1:26" s="158" customFormat="1" ht="18.75" customHeight="1" x14ac:dyDescent="0.2">
      <c r="A23" s="571"/>
      <c r="B23" s="575" t="s">
        <v>222</v>
      </c>
      <c r="C23" s="575"/>
      <c r="D23" s="255" t="s">
        <v>325</v>
      </c>
      <c r="E23" s="188">
        <f>'1. Bevételek'!E23</f>
        <v>50000</v>
      </c>
      <c r="F23" s="188">
        <v>25995</v>
      </c>
      <c r="G23" s="188">
        <v>179701</v>
      </c>
      <c r="H23" s="188">
        <f>'1. Bevételek'!J23</f>
        <v>0</v>
      </c>
      <c r="I23" s="188">
        <v>0</v>
      </c>
      <c r="J23" s="188">
        <v>0</v>
      </c>
      <c r="K23" s="188">
        <f>SUM(E23:H23)</f>
        <v>255696</v>
      </c>
      <c r="L23" s="259">
        <v>0</v>
      </c>
      <c r="M23" s="259"/>
      <c r="N23" s="259"/>
      <c r="O23" s="259">
        <v>0</v>
      </c>
      <c r="P23" s="259"/>
      <c r="Q23" s="259"/>
      <c r="R23" s="259">
        <f>SUM(L23:O23)</f>
        <v>0</v>
      </c>
      <c r="S23" s="259">
        <v>0</v>
      </c>
      <c r="T23" s="259"/>
      <c r="U23" s="259"/>
      <c r="V23" s="259">
        <v>0</v>
      </c>
      <c r="W23" s="259"/>
      <c r="X23" s="259"/>
      <c r="Y23" s="259">
        <f>SUM(S23:V23)</f>
        <v>0</v>
      </c>
      <c r="Z23" s="188">
        <f>K23+R23+Y23</f>
        <v>255696</v>
      </c>
    </row>
    <row r="24" spans="1:26" s="266" customFormat="1" ht="18" customHeight="1" x14ac:dyDescent="0.2">
      <c r="A24" s="571"/>
      <c r="B24" s="576" t="s">
        <v>230</v>
      </c>
      <c r="C24" s="576"/>
      <c r="D24" s="258" t="s">
        <v>326</v>
      </c>
      <c r="E24" s="189">
        <f t="shared" ref="E24:Y24" si="15">E18+E22+E23</f>
        <v>181104000</v>
      </c>
      <c r="F24" s="189">
        <f t="shared" si="15"/>
        <v>-12874005</v>
      </c>
      <c r="G24" s="189">
        <f t="shared" si="15"/>
        <v>179701</v>
      </c>
      <c r="H24" s="189">
        <f t="shared" si="15"/>
        <v>0</v>
      </c>
      <c r="I24" s="189">
        <f t="shared" ref="I24" si="16">I18+I22+I23</f>
        <v>0</v>
      </c>
      <c r="J24" s="189">
        <f t="shared" si="15"/>
        <v>0</v>
      </c>
      <c r="K24" s="189">
        <f t="shared" si="15"/>
        <v>168409696</v>
      </c>
      <c r="L24" s="189">
        <f t="shared" si="15"/>
        <v>0</v>
      </c>
      <c r="M24" s="189">
        <f t="shared" si="15"/>
        <v>0</v>
      </c>
      <c r="N24" s="189">
        <f t="shared" si="15"/>
        <v>0</v>
      </c>
      <c r="O24" s="189">
        <f t="shared" si="15"/>
        <v>0</v>
      </c>
      <c r="P24" s="189"/>
      <c r="Q24" s="189"/>
      <c r="R24" s="189">
        <f t="shared" si="15"/>
        <v>0</v>
      </c>
      <c r="S24" s="189">
        <f t="shared" si="15"/>
        <v>0</v>
      </c>
      <c r="T24" s="189"/>
      <c r="U24" s="189"/>
      <c r="V24" s="189">
        <f t="shared" si="15"/>
        <v>0</v>
      </c>
      <c r="W24" s="189"/>
      <c r="X24" s="189"/>
      <c r="Y24" s="189">
        <f t="shared" si="15"/>
        <v>0</v>
      </c>
      <c r="Z24" s="189">
        <f>Z18+Z22+Z23</f>
        <v>168409696</v>
      </c>
    </row>
    <row r="25" spans="1:26" x14ac:dyDescent="0.2">
      <c r="A25" s="571" t="s">
        <v>39</v>
      </c>
      <c r="B25" s="271"/>
      <c r="C25" s="164" t="s">
        <v>232</v>
      </c>
      <c r="D25" s="164" t="s">
        <v>327</v>
      </c>
      <c r="E25" s="441">
        <f>'1. Bevételek'!E25-3000000-15462</f>
        <v>174000</v>
      </c>
      <c r="F25" s="441">
        <v>319144</v>
      </c>
      <c r="G25" s="441"/>
      <c r="H25" s="165">
        <f>'1. Bevételek'!J25</f>
        <v>0</v>
      </c>
      <c r="I25" s="165">
        <v>0</v>
      </c>
      <c r="J25" s="165">
        <v>0</v>
      </c>
      <c r="K25" s="165">
        <f t="shared" ref="K25:K32" si="17">SUM(E25:J25)</f>
        <v>493144</v>
      </c>
      <c r="L25" s="441">
        <f>3000000+15462</f>
        <v>3015462</v>
      </c>
      <c r="M25" s="165">
        <v>0</v>
      </c>
      <c r="N25" s="165">
        <v>627120</v>
      </c>
      <c r="O25" s="165">
        <v>0</v>
      </c>
      <c r="P25" s="165"/>
      <c r="Q25" s="165"/>
      <c r="R25" s="165">
        <f>SUM(L25:Q25)</f>
        <v>3642582</v>
      </c>
      <c r="S25" s="165">
        <v>0</v>
      </c>
      <c r="T25" s="165"/>
      <c r="U25" s="165"/>
      <c r="V25" s="165">
        <v>0</v>
      </c>
      <c r="W25" s="165"/>
      <c r="X25" s="165"/>
      <c r="Y25" s="254">
        <f>SUM(S25:V25)</f>
        <v>0</v>
      </c>
      <c r="Z25" s="165">
        <f t="shared" ref="Z25:Z37" si="18">K25+R25+Y25</f>
        <v>4135726</v>
      </c>
    </row>
    <row r="26" spans="1:26" x14ac:dyDescent="0.2">
      <c r="A26" s="571"/>
      <c r="B26" s="271"/>
      <c r="C26" s="164" t="s">
        <v>233</v>
      </c>
      <c r="D26" s="164" t="s">
        <v>328</v>
      </c>
      <c r="E26" s="165">
        <f>'1. Bevételek'!E26-114076</f>
        <v>0</v>
      </c>
      <c r="F26" s="165"/>
      <c r="G26" s="165"/>
      <c r="H26" s="165">
        <f>'1. Bevételek'!J26-2000000</f>
        <v>0</v>
      </c>
      <c r="I26" s="165">
        <v>0</v>
      </c>
      <c r="J26" s="165">
        <v>0</v>
      </c>
      <c r="K26" s="165">
        <f t="shared" si="17"/>
        <v>0</v>
      </c>
      <c r="L26" s="165">
        <v>114076</v>
      </c>
      <c r="M26" s="165">
        <v>942499</v>
      </c>
      <c r="N26" s="165">
        <v>27020</v>
      </c>
      <c r="O26" s="165">
        <v>2000000</v>
      </c>
      <c r="P26" s="165">
        <v>407000</v>
      </c>
      <c r="Q26" s="165">
        <v>0</v>
      </c>
      <c r="R26" s="165">
        <f t="shared" ref="R26:R32" si="19">SUM(L26:Q26)</f>
        <v>3490595</v>
      </c>
      <c r="S26" s="254">
        <v>0</v>
      </c>
      <c r="T26" s="254"/>
      <c r="U26" s="254"/>
      <c r="V26" s="254">
        <v>0</v>
      </c>
      <c r="W26" s="254"/>
      <c r="X26" s="254"/>
      <c r="Y26" s="254">
        <f t="shared" ref="Y26:Y32" si="20">SUM(S26:V26)</f>
        <v>0</v>
      </c>
      <c r="Z26" s="165">
        <f t="shared" si="18"/>
        <v>3490595</v>
      </c>
    </row>
    <row r="27" spans="1:26" x14ac:dyDescent="0.2">
      <c r="A27" s="571"/>
      <c r="B27" s="271"/>
      <c r="C27" s="164" t="s">
        <v>234</v>
      </c>
      <c r="D27" s="164" t="s">
        <v>329</v>
      </c>
      <c r="E27" s="165">
        <f>'1. Bevételek'!E27-241672</f>
        <v>0</v>
      </c>
      <c r="F27" s="165"/>
      <c r="G27" s="165"/>
      <c r="H27" s="165">
        <f>'1. Bevételek'!J27</f>
        <v>0</v>
      </c>
      <c r="I27" s="165">
        <v>0</v>
      </c>
      <c r="J27" s="165">
        <v>0</v>
      </c>
      <c r="K27" s="165">
        <f t="shared" si="17"/>
        <v>0</v>
      </c>
      <c r="L27" s="165">
        <v>241672</v>
      </c>
      <c r="M27" s="254">
        <v>0</v>
      </c>
      <c r="N27" s="254"/>
      <c r="O27" s="254">
        <v>0</v>
      </c>
      <c r="P27" s="254"/>
      <c r="Q27" s="254"/>
      <c r="R27" s="165">
        <f t="shared" si="19"/>
        <v>241672</v>
      </c>
      <c r="S27" s="254">
        <v>0</v>
      </c>
      <c r="T27" s="254"/>
      <c r="U27" s="254"/>
      <c r="V27" s="254">
        <v>0</v>
      </c>
      <c r="W27" s="254"/>
      <c r="X27" s="254"/>
      <c r="Y27" s="254">
        <f t="shared" si="20"/>
        <v>0</v>
      </c>
      <c r="Z27" s="165">
        <f t="shared" si="18"/>
        <v>241672</v>
      </c>
    </row>
    <row r="28" spans="1:26" x14ac:dyDescent="0.2">
      <c r="A28" s="571"/>
      <c r="B28" s="271"/>
      <c r="C28" s="164" t="s">
        <v>235</v>
      </c>
      <c r="D28" s="164" t="s">
        <v>330</v>
      </c>
      <c r="E28" s="165">
        <f>'1. Bevételek'!E28</f>
        <v>8478149</v>
      </c>
      <c r="F28" s="165"/>
      <c r="G28" s="165"/>
      <c r="H28" s="165">
        <f>'1. Bevételek'!J28</f>
        <v>0</v>
      </c>
      <c r="I28" s="165">
        <v>0</v>
      </c>
      <c r="J28" s="165">
        <v>0</v>
      </c>
      <c r="K28" s="165">
        <f t="shared" si="17"/>
        <v>8478149</v>
      </c>
      <c r="L28" s="254">
        <v>0</v>
      </c>
      <c r="M28" s="254"/>
      <c r="N28" s="254"/>
      <c r="O28" s="254">
        <v>0</v>
      </c>
      <c r="P28" s="254"/>
      <c r="Q28" s="254"/>
      <c r="R28" s="165">
        <f t="shared" si="19"/>
        <v>0</v>
      </c>
      <c r="S28" s="254">
        <v>0</v>
      </c>
      <c r="T28" s="254"/>
      <c r="U28" s="254"/>
      <c r="V28" s="254">
        <v>0</v>
      </c>
      <c r="W28" s="254"/>
      <c r="X28" s="254"/>
      <c r="Y28" s="254">
        <f t="shared" si="20"/>
        <v>0</v>
      </c>
      <c r="Z28" s="165">
        <f t="shared" si="18"/>
        <v>8478149</v>
      </c>
    </row>
    <row r="29" spans="1:26" x14ac:dyDescent="0.2">
      <c r="A29" s="571"/>
      <c r="B29" s="271"/>
      <c r="C29" s="164" t="s">
        <v>236</v>
      </c>
      <c r="D29" s="164" t="s">
        <v>331</v>
      </c>
      <c r="E29" s="165">
        <f>'1. Bevételek'!E29-4175</f>
        <v>2307059</v>
      </c>
      <c r="F29" s="165"/>
      <c r="G29" s="165"/>
      <c r="H29" s="165">
        <f>'1. Bevételek'!J29</f>
        <v>0</v>
      </c>
      <c r="I29" s="165">
        <v>0</v>
      </c>
      <c r="J29" s="165">
        <v>0</v>
      </c>
      <c r="K29" s="165">
        <f t="shared" si="17"/>
        <v>2307059</v>
      </c>
      <c r="L29" s="442">
        <v>4175</v>
      </c>
      <c r="M29" s="254"/>
      <c r="N29" s="254"/>
      <c r="O29" s="254">
        <v>0</v>
      </c>
      <c r="P29" s="254"/>
      <c r="Q29" s="254"/>
      <c r="R29" s="165">
        <f t="shared" si="19"/>
        <v>4175</v>
      </c>
      <c r="S29" s="254">
        <v>0</v>
      </c>
      <c r="T29" s="254"/>
      <c r="U29" s="254"/>
      <c r="V29" s="254">
        <v>0</v>
      </c>
      <c r="W29" s="254"/>
      <c r="X29" s="254"/>
      <c r="Y29" s="254">
        <f t="shared" si="20"/>
        <v>0</v>
      </c>
      <c r="Z29" s="165">
        <f t="shared" si="18"/>
        <v>2311234</v>
      </c>
    </row>
    <row r="30" spans="1:26" x14ac:dyDescent="0.2">
      <c r="A30" s="571"/>
      <c r="B30" s="271"/>
      <c r="C30" s="164" t="s">
        <v>237</v>
      </c>
      <c r="D30" s="164" t="s">
        <v>332</v>
      </c>
      <c r="E30" s="165">
        <f>'1. Bevételek'!E30</f>
        <v>3435000</v>
      </c>
      <c r="F30" s="165"/>
      <c r="G30" s="165"/>
      <c r="H30" s="165">
        <f>'1. Bevételek'!J30</f>
        <v>0</v>
      </c>
      <c r="I30" s="165">
        <v>0</v>
      </c>
      <c r="J30" s="165">
        <v>0</v>
      </c>
      <c r="K30" s="165">
        <f t="shared" si="17"/>
        <v>3435000</v>
      </c>
      <c r="L30" s="254">
        <v>0</v>
      </c>
      <c r="M30" s="254"/>
      <c r="N30" s="254"/>
      <c r="O30" s="254">
        <v>0</v>
      </c>
      <c r="P30" s="254"/>
      <c r="Q30" s="254"/>
      <c r="R30" s="165">
        <f t="shared" si="19"/>
        <v>0</v>
      </c>
      <c r="S30" s="254">
        <v>0</v>
      </c>
      <c r="T30" s="254"/>
      <c r="U30" s="254"/>
      <c r="V30" s="254">
        <v>0</v>
      </c>
      <c r="W30" s="254"/>
      <c r="X30" s="254"/>
      <c r="Y30" s="254">
        <f t="shared" si="20"/>
        <v>0</v>
      </c>
      <c r="Z30" s="165">
        <f t="shared" si="18"/>
        <v>3435000</v>
      </c>
    </row>
    <row r="31" spans="1:26" x14ac:dyDescent="0.2">
      <c r="A31" s="571"/>
      <c r="B31" s="271"/>
      <c r="C31" s="164" t="s">
        <v>217</v>
      </c>
      <c r="D31" s="164" t="s">
        <v>333</v>
      </c>
      <c r="E31" s="165">
        <f>'1. Bevételek'!E31</f>
        <v>95000</v>
      </c>
      <c r="F31" s="165">
        <v>1533899</v>
      </c>
      <c r="G31" s="165">
        <v>1587288</v>
      </c>
      <c r="H31" s="165">
        <f>'1. Bevételek'!J31</f>
        <v>2000</v>
      </c>
      <c r="I31" s="165">
        <v>0</v>
      </c>
      <c r="J31" s="165">
        <v>0</v>
      </c>
      <c r="K31" s="165">
        <f t="shared" si="17"/>
        <v>3218187</v>
      </c>
      <c r="L31" s="254">
        <v>0</v>
      </c>
      <c r="M31" s="254"/>
      <c r="N31" s="254"/>
      <c r="O31" s="254">
        <v>0</v>
      </c>
      <c r="P31" s="254"/>
      <c r="Q31" s="254"/>
      <c r="R31" s="165">
        <f t="shared" si="19"/>
        <v>0</v>
      </c>
      <c r="S31" s="254">
        <v>0</v>
      </c>
      <c r="T31" s="254"/>
      <c r="U31" s="254"/>
      <c r="V31" s="254">
        <v>0</v>
      </c>
      <c r="W31" s="254"/>
      <c r="X31" s="254"/>
      <c r="Y31" s="254">
        <f t="shared" si="20"/>
        <v>0</v>
      </c>
      <c r="Z31" s="165">
        <f t="shared" si="18"/>
        <v>3218187</v>
      </c>
    </row>
    <row r="32" spans="1:26" x14ac:dyDescent="0.2">
      <c r="A32" s="571"/>
      <c r="B32" s="271"/>
      <c r="C32" s="164" t="s">
        <v>238</v>
      </c>
      <c r="D32" s="164" t="s">
        <v>334</v>
      </c>
      <c r="E32" s="165">
        <f>'1. Bevételek'!E32</f>
        <v>1010</v>
      </c>
      <c r="F32" s="165">
        <v>64318</v>
      </c>
      <c r="G32" s="165">
        <v>3583</v>
      </c>
      <c r="H32" s="165">
        <f>'1. Bevételek'!J32</f>
        <v>0</v>
      </c>
      <c r="I32" s="165">
        <v>0</v>
      </c>
      <c r="J32" s="165">
        <v>0</v>
      </c>
      <c r="K32" s="165">
        <f t="shared" si="17"/>
        <v>68911</v>
      </c>
      <c r="L32" s="254">
        <v>0</v>
      </c>
      <c r="M32" s="254"/>
      <c r="N32" s="254"/>
      <c r="O32" s="254">
        <v>0</v>
      </c>
      <c r="P32" s="254"/>
      <c r="Q32" s="254"/>
      <c r="R32" s="165">
        <f t="shared" si="19"/>
        <v>0</v>
      </c>
      <c r="S32" s="254">
        <v>0</v>
      </c>
      <c r="T32" s="254"/>
      <c r="U32" s="254"/>
      <c r="V32" s="254">
        <v>0</v>
      </c>
      <c r="W32" s="254"/>
      <c r="X32" s="254"/>
      <c r="Y32" s="254">
        <f t="shared" si="20"/>
        <v>0</v>
      </c>
      <c r="Z32" s="165">
        <f t="shared" si="18"/>
        <v>68911</v>
      </c>
    </row>
    <row r="33" spans="1:26" x14ac:dyDescent="0.2">
      <c r="A33" s="571"/>
      <c r="B33" s="572" t="s">
        <v>231</v>
      </c>
      <c r="C33" s="572"/>
      <c r="D33" s="247" t="s">
        <v>335</v>
      </c>
      <c r="E33" s="190">
        <f t="shared" ref="E33:Y33" si="21">SUM(E25:E32)</f>
        <v>14490218</v>
      </c>
      <c r="F33" s="190">
        <f t="shared" si="21"/>
        <v>1917361</v>
      </c>
      <c r="G33" s="190">
        <f t="shared" si="21"/>
        <v>1590871</v>
      </c>
      <c r="H33" s="190">
        <f t="shared" si="21"/>
        <v>2000</v>
      </c>
      <c r="I33" s="190">
        <f t="shared" ref="I33" si="22">SUM(I25:I32)</f>
        <v>0</v>
      </c>
      <c r="J33" s="190">
        <f t="shared" si="21"/>
        <v>0</v>
      </c>
      <c r="K33" s="190">
        <f t="shared" si="21"/>
        <v>18000450</v>
      </c>
      <c r="L33" s="190">
        <f t="shared" si="21"/>
        <v>3375385</v>
      </c>
      <c r="M33" s="190">
        <f t="shared" si="21"/>
        <v>942499</v>
      </c>
      <c r="N33" s="190">
        <f t="shared" si="21"/>
        <v>654140</v>
      </c>
      <c r="O33" s="190">
        <f t="shared" si="21"/>
        <v>2000000</v>
      </c>
      <c r="P33" s="190">
        <f t="shared" ref="P33" si="23">SUM(P25:P32)</f>
        <v>407000</v>
      </c>
      <c r="Q33" s="190">
        <f t="shared" si="21"/>
        <v>0</v>
      </c>
      <c r="R33" s="190">
        <f t="shared" si="21"/>
        <v>7379024</v>
      </c>
      <c r="S33" s="190">
        <f t="shared" si="21"/>
        <v>0</v>
      </c>
      <c r="T33" s="190"/>
      <c r="U33" s="190"/>
      <c r="V33" s="190">
        <f t="shared" si="21"/>
        <v>0</v>
      </c>
      <c r="W33" s="190"/>
      <c r="X33" s="190"/>
      <c r="Y33" s="190">
        <f t="shared" si="21"/>
        <v>0</v>
      </c>
      <c r="Z33" s="190">
        <f>SUM(Z25:Z32)</f>
        <v>25379474</v>
      </c>
    </row>
    <row r="34" spans="1:26" ht="20.25" customHeight="1" x14ac:dyDescent="0.2">
      <c r="A34" s="571" t="s">
        <v>40</v>
      </c>
      <c r="B34" s="271"/>
      <c r="C34" s="164" t="s">
        <v>239</v>
      </c>
      <c r="D34" s="164" t="s">
        <v>423</v>
      </c>
      <c r="E34" s="165">
        <f>'1. Bevételek'!E34</f>
        <v>2372880</v>
      </c>
      <c r="F34" s="165"/>
      <c r="G34" s="165"/>
      <c r="H34" s="165">
        <f>'1. Bevételek'!J34</f>
        <v>0</v>
      </c>
      <c r="I34" s="165"/>
      <c r="J34" s="165"/>
      <c r="K34" s="165">
        <f>SUM(E34:H34)</f>
        <v>2372880</v>
      </c>
      <c r="L34" s="254">
        <v>0</v>
      </c>
      <c r="M34" s="254"/>
      <c r="N34" s="254"/>
      <c r="O34" s="254">
        <v>0</v>
      </c>
      <c r="P34" s="254"/>
      <c r="Q34" s="254"/>
      <c r="R34" s="254">
        <f>SUM(L34:O34)</f>
        <v>0</v>
      </c>
      <c r="S34" s="254">
        <v>0</v>
      </c>
      <c r="T34" s="254"/>
      <c r="U34" s="254"/>
      <c r="V34" s="254">
        <v>0</v>
      </c>
      <c r="W34" s="254"/>
      <c r="X34" s="254"/>
      <c r="Y34" s="254">
        <f>SUM(S34:V34)</f>
        <v>0</v>
      </c>
      <c r="Z34" s="165">
        <f t="shared" si="18"/>
        <v>2372880</v>
      </c>
    </row>
    <row r="35" spans="1:26" ht="16.5" customHeight="1" x14ac:dyDescent="0.2">
      <c r="A35" s="571"/>
      <c r="B35" s="572" t="s">
        <v>218</v>
      </c>
      <c r="C35" s="572"/>
      <c r="D35" s="247" t="s">
        <v>423</v>
      </c>
      <c r="E35" s="190">
        <f t="shared" ref="E35:Y35" si="24">SUM(E34)</f>
        <v>2372880</v>
      </c>
      <c r="F35" s="190">
        <f t="shared" si="24"/>
        <v>0</v>
      </c>
      <c r="G35" s="190">
        <f t="shared" si="24"/>
        <v>0</v>
      </c>
      <c r="H35" s="190">
        <f t="shared" si="24"/>
        <v>0</v>
      </c>
      <c r="I35" s="190">
        <f t="shared" ref="I35" si="25">SUM(I34)</f>
        <v>0</v>
      </c>
      <c r="J35" s="190">
        <f t="shared" si="24"/>
        <v>0</v>
      </c>
      <c r="K35" s="190">
        <f t="shared" si="24"/>
        <v>2372880</v>
      </c>
      <c r="L35" s="190">
        <f t="shared" si="24"/>
        <v>0</v>
      </c>
      <c r="M35" s="190">
        <f t="shared" si="24"/>
        <v>0</v>
      </c>
      <c r="N35" s="190">
        <f t="shared" si="24"/>
        <v>0</v>
      </c>
      <c r="O35" s="190">
        <f t="shared" si="24"/>
        <v>0</v>
      </c>
      <c r="P35" s="190">
        <f t="shared" ref="P35" si="26">SUM(P34)</f>
        <v>0</v>
      </c>
      <c r="Q35" s="190">
        <f t="shared" si="24"/>
        <v>0</v>
      </c>
      <c r="R35" s="190">
        <f t="shared" si="24"/>
        <v>0</v>
      </c>
      <c r="S35" s="190">
        <f t="shared" si="24"/>
        <v>0</v>
      </c>
      <c r="T35" s="190"/>
      <c r="U35" s="190"/>
      <c r="V35" s="190">
        <f t="shared" si="24"/>
        <v>0</v>
      </c>
      <c r="W35" s="190"/>
      <c r="X35" s="190"/>
      <c r="Y35" s="190">
        <f t="shared" si="24"/>
        <v>0</v>
      </c>
      <c r="Z35" s="190">
        <f>SUM(Z34)</f>
        <v>2372880</v>
      </c>
    </row>
    <row r="36" spans="1:26" ht="25.5" x14ac:dyDescent="0.2">
      <c r="A36" s="571" t="s">
        <v>41</v>
      </c>
      <c r="B36" s="271"/>
      <c r="C36" s="164" t="s">
        <v>240</v>
      </c>
      <c r="D36" s="164" t="s">
        <v>336</v>
      </c>
      <c r="E36" s="165">
        <f>'1. Bevételek'!E36</f>
        <v>707620</v>
      </c>
      <c r="F36" s="165"/>
      <c r="G36" s="165"/>
      <c r="H36" s="165">
        <f>'1. Bevételek'!J36</f>
        <v>0</v>
      </c>
      <c r="I36" s="165"/>
      <c r="J36" s="165"/>
      <c r="K36" s="165">
        <f>SUM(E36:J36)</f>
        <v>707620</v>
      </c>
      <c r="L36" s="254">
        <v>0</v>
      </c>
      <c r="M36" s="254"/>
      <c r="N36" s="254"/>
      <c r="O36" s="254">
        <v>0</v>
      </c>
      <c r="P36" s="254"/>
      <c r="Q36" s="254"/>
      <c r="R36" s="254">
        <f>SUM(L36:O36)</f>
        <v>0</v>
      </c>
      <c r="S36" s="254">
        <v>0</v>
      </c>
      <c r="T36" s="254"/>
      <c r="U36" s="254"/>
      <c r="V36" s="254">
        <v>0</v>
      </c>
      <c r="W36" s="254"/>
      <c r="X36" s="254"/>
      <c r="Y36" s="254">
        <f>SUM(S36:V36)</f>
        <v>0</v>
      </c>
      <c r="Z36" s="165">
        <f t="shared" si="18"/>
        <v>707620</v>
      </c>
    </row>
    <row r="37" spans="1:26" ht="25.5" x14ac:dyDescent="0.2">
      <c r="A37" s="571"/>
      <c r="B37" s="271"/>
      <c r="C37" s="164" t="s">
        <v>372</v>
      </c>
      <c r="D37" s="164" t="s">
        <v>417</v>
      </c>
      <c r="E37" s="165">
        <f>'1. Bevételek'!E37</f>
        <v>110732349</v>
      </c>
      <c r="F37" s="165"/>
      <c r="G37" s="165">
        <v>15999989</v>
      </c>
      <c r="H37" s="165">
        <f>'1. Bevételek'!J37</f>
        <v>0</v>
      </c>
      <c r="I37" s="165"/>
      <c r="J37" s="165"/>
      <c r="K37" s="165">
        <f>SUM(E37:J37)</f>
        <v>126732338</v>
      </c>
      <c r="L37" s="254">
        <v>0</v>
      </c>
      <c r="M37" s="254"/>
      <c r="N37" s="254"/>
      <c r="O37" s="254">
        <v>0</v>
      </c>
      <c r="P37" s="254"/>
      <c r="Q37" s="254"/>
      <c r="R37" s="254">
        <f>SUM(L37:O37)</f>
        <v>0</v>
      </c>
      <c r="S37" s="254">
        <v>0</v>
      </c>
      <c r="T37" s="254"/>
      <c r="U37" s="254"/>
      <c r="V37" s="254">
        <v>0</v>
      </c>
      <c r="W37" s="254"/>
      <c r="X37" s="254"/>
      <c r="Y37" s="254">
        <f>SUM(S37:V37)</f>
        <v>0</v>
      </c>
      <c r="Z37" s="165">
        <f t="shared" si="18"/>
        <v>126732338</v>
      </c>
    </row>
    <row r="38" spans="1:26" x14ac:dyDescent="0.2">
      <c r="A38" s="571"/>
      <c r="B38" s="271"/>
      <c r="C38" s="164" t="s">
        <v>429</v>
      </c>
      <c r="D38" s="164" t="s">
        <v>430</v>
      </c>
      <c r="E38" s="165"/>
      <c r="F38" s="165">
        <v>126128</v>
      </c>
      <c r="G38" s="165"/>
      <c r="H38" s="165">
        <v>0</v>
      </c>
      <c r="I38" s="165"/>
      <c r="J38" s="165"/>
      <c r="K38" s="165">
        <f>SUM(E38:J38)</f>
        <v>126128</v>
      </c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165"/>
    </row>
    <row r="39" spans="1:26" ht="12.75" customHeight="1" x14ac:dyDescent="0.2">
      <c r="A39" s="571"/>
      <c r="B39" s="572" t="s">
        <v>373</v>
      </c>
      <c r="C39" s="577"/>
      <c r="D39" s="247" t="s">
        <v>418</v>
      </c>
      <c r="E39" s="190">
        <f>SUM(E36:E38)</f>
        <v>111439969</v>
      </c>
      <c r="F39" s="190">
        <f>SUM(F36:F38)</f>
        <v>126128</v>
      </c>
      <c r="G39" s="190">
        <f>SUM(G36:G38)</f>
        <v>15999989</v>
      </c>
      <c r="H39" s="190">
        <f t="shared" ref="H39:J39" si="27">SUM(H36:H38)</f>
        <v>0</v>
      </c>
      <c r="I39" s="190">
        <f t="shared" ref="I39" si="28">SUM(I36:I38)</f>
        <v>0</v>
      </c>
      <c r="J39" s="190">
        <f t="shared" si="27"/>
        <v>0</v>
      </c>
      <c r="K39" s="190">
        <f>SUM(K36:K37)</f>
        <v>127439958</v>
      </c>
      <c r="L39" s="190">
        <f>SUM(L36:L37)</f>
        <v>0</v>
      </c>
      <c r="M39" s="190"/>
      <c r="N39" s="190">
        <f>SUM(N36:N37)</f>
        <v>0</v>
      </c>
      <c r="O39" s="190">
        <f>SUM(O36:O37)</f>
        <v>0</v>
      </c>
      <c r="P39" s="190"/>
      <c r="Q39" s="190"/>
      <c r="R39" s="190">
        <f>SUM(R36:R37)</f>
        <v>0</v>
      </c>
      <c r="S39" s="190">
        <f>SUM(S36:S37)</f>
        <v>0</v>
      </c>
      <c r="T39" s="190"/>
      <c r="U39" s="190"/>
      <c r="V39" s="190">
        <f>SUM(V36:V37)</f>
        <v>0</v>
      </c>
      <c r="W39" s="190"/>
      <c r="X39" s="190"/>
      <c r="Y39" s="190">
        <f>SUM(Y36:Y37)</f>
        <v>0</v>
      </c>
      <c r="Z39" s="190">
        <f>SUM(Z36:Z37)</f>
        <v>127439958</v>
      </c>
    </row>
    <row r="40" spans="1:26" s="268" customFormat="1" ht="24.75" customHeight="1" x14ac:dyDescent="0.2">
      <c r="A40" s="569" t="s">
        <v>219</v>
      </c>
      <c r="B40" s="569"/>
      <c r="C40" s="569"/>
      <c r="D40" s="260" t="s">
        <v>337</v>
      </c>
      <c r="E40" s="191">
        <f>E17+E24+E33+E35+E39</f>
        <v>645329374</v>
      </c>
      <c r="F40" s="191">
        <f t="shared" ref="F40:G40" si="29">F17+F24+F33+F35+F39</f>
        <v>16318475</v>
      </c>
      <c r="G40" s="191">
        <f t="shared" si="29"/>
        <v>20165119</v>
      </c>
      <c r="H40" s="191">
        <f>H17+H24+H33+H35+H39</f>
        <v>2000</v>
      </c>
      <c r="I40" s="191"/>
      <c r="J40" s="191"/>
      <c r="K40" s="191">
        <f>K17+K24+K33+K35+K39</f>
        <v>681661840</v>
      </c>
      <c r="L40" s="191">
        <f>L17+L24+L33+L35+L39</f>
        <v>3375385</v>
      </c>
      <c r="M40" s="191">
        <f t="shared" ref="M40:Q40" si="30">M17+M24+M33+M35+M39</f>
        <v>942499</v>
      </c>
      <c r="N40" s="191">
        <f>N17+N24+N33+N35+N39</f>
        <v>654140</v>
      </c>
      <c r="O40" s="191">
        <f t="shared" si="30"/>
        <v>2000000</v>
      </c>
      <c r="P40" s="191">
        <f t="shared" ref="P40" si="31">P17+P24+P33+P35+P39</f>
        <v>407000</v>
      </c>
      <c r="Q40" s="191">
        <f t="shared" si="30"/>
        <v>0</v>
      </c>
      <c r="R40" s="191">
        <f>R17+R24+R33+R35+R39</f>
        <v>7379024</v>
      </c>
      <c r="S40" s="191">
        <f>S17+S24+S33+S35+S39</f>
        <v>0</v>
      </c>
      <c r="T40" s="191"/>
      <c r="U40" s="191"/>
      <c r="V40" s="191">
        <f>V17+V24+V33+V35+V39</f>
        <v>0</v>
      </c>
      <c r="W40" s="191"/>
      <c r="X40" s="191"/>
      <c r="Y40" s="191">
        <f>Y17+Y24+Y33+Y35+Y39</f>
        <v>0</v>
      </c>
      <c r="Z40" s="191">
        <f>Z17+Z24+Z33+Z35+Z39</f>
        <v>689040864</v>
      </c>
    </row>
    <row r="41" spans="1:26" ht="24" customHeight="1" x14ac:dyDescent="0.2">
      <c r="A41" s="261"/>
      <c r="B41" s="271"/>
      <c r="C41" s="164" t="s">
        <v>281</v>
      </c>
      <c r="D41" s="164" t="s">
        <v>338</v>
      </c>
      <c r="E41" s="165">
        <f>'1. Bevételek'!E41</f>
        <v>650000000</v>
      </c>
      <c r="F41" s="165"/>
      <c r="G41" s="165"/>
      <c r="H41" s="165">
        <f>'1. Bevételek'!J41</f>
        <v>0</v>
      </c>
      <c r="I41" s="165"/>
      <c r="J41" s="165"/>
      <c r="K41" s="165">
        <f>SUM(E41:H41)</f>
        <v>650000000</v>
      </c>
      <c r="L41" s="254">
        <v>0</v>
      </c>
      <c r="M41" s="254"/>
      <c r="N41" s="254"/>
      <c r="O41" s="254">
        <v>0</v>
      </c>
      <c r="P41" s="254"/>
      <c r="Q41" s="254"/>
      <c r="R41" s="254">
        <f>SUM(L41:O41)</f>
        <v>0</v>
      </c>
      <c r="S41" s="254">
        <v>0</v>
      </c>
      <c r="T41" s="254"/>
      <c r="U41" s="254"/>
      <c r="V41" s="254">
        <v>0</v>
      </c>
      <c r="W41" s="254"/>
      <c r="X41" s="254"/>
      <c r="Y41" s="254">
        <f>SUM(S41:V41)</f>
        <v>0</v>
      </c>
      <c r="Z41" s="165">
        <f t="shared" ref="Z41:Z47" si="32">K41+R41+Y41</f>
        <v>650000000</v>
      </c>
    </row>
    <row r="42" spans="1:26" ht="18.75" customHeight="1" x14ac:dyDescent="0.2">
      <c r="A42" s="261"/>
      <c r="B42" s="572" t="s">
        <v>282</v>
      </c>
      <c r="C42" s="572"/>
      <c r="D42" s="247" t="s">
        <v>339</v>
      </c>
      <c r="E42" s="190">
        <f t="shared" ref="E42:Y42" si="33">SUM(E41)</f>
        <v>650000000</v>
      </c>
      <c r="F42" s="190">
        <f t="shared" si="33"/>
        <v>0</v>
      </c>
      <c r="G42" s="190"/>
      <c r="H42" s="190">
        <f t="shared" si="33"/>
        <v>0</v>
      </c>
      <c r="I42" s="190">
        <f t="shared" ref="I42" si="34">SUM(I41)</f>
        <v>0</v>
      </c>
      <c r="J42" s="190">
        <f t="shared" si="33"/>
        <v>0</v>
      </c>
      <c r="K42" s="190">
        <f t="shared" si="33"/>
        <v>650000000</v>
      </c>
      <c r="L42" s="190">
        <f t="shared" si="33"/>
        <v>0</v>
      </c>
      <c r="M42" s="190"/>
      <c r="N42" s="190"/>
      <c r="O42" s="190">
        <f t="shared" si="33"/>
        <v>0</v>
      </c>
      <c r="P42" s="190"/>
      <c r="Q42" s="190"/>
      <c r="R42" s="190">
        <f t="shared" si="33"/>
        <v>0</v>
      </c>
      <c r="S42" s="190">
        <f t="shared" si="33"/>
        <v>0</v>
      </c>
      <c r="T42" s="190"/>
      <c r="U42" s="190"/>
      <c r="V42" s="190">
        <f t="shared" si="33"/>
        <v>0</v>
      </c>
      <c r="W42" s="190"/>
      <c r="X42" s="190"/>
      <c r="Y42" s="190">
        <f t="shared" si="33"/>
        <v>0</v>
      </c>
      <c r="Z42" s="190">
        <f>SUM(Z41)</f>
        <v>650000000</v>
      </c>
    </row>
    <row r="43" spans="1:26" ht="17.25" customHeight="1" x14ac:dyDescent="0.2">
      <c r="A43" s="571" t="s">
        <v>46</v>
      </c>
      <c r="B43" s="271"/>
      <c r="C43" s="164" t="s">
        <v>247</v>
      </c>
      <c r="D43" s="164" t="s">
        <v>340</v>
      </c>
      <c r="E43" s="165">
        <f>'1. Bevételek'!E43</f>
        <v>65000000</v>
      </c>
      <c r="F43" s="165"/>
      <c r="G43" s="165"/>
      <c r="H43" s="165">
        <f>'1. Bevételek'!J43</f>
        <v>0</v>
      </c>
      <c r="I43" s="165"/>
      <c r="J43" s="165"/>
      <c r="K43" s="165">
        <f>SUM(E43:H43)</f>
        <v>65000000</v>
      </c>
      <c r="L43" s="254">
        <v>0</v>
      </c>
      <c r="M43" s="254"/>
      <c r="N43" s="254"/>
      <c r="O43" s="254">
        <v>0</v>
      </c>
      <c r="P43" s="254"/>
      <c r="Q43" s="254"/>
      <c r="R43" s="254">
        <f>SUM(L43:O43)</f>
        <v>0</v>
      </c>
      <c r="S43" s="254">
        <v>0</v>
      </c>
      <c r="T43" s="254"/>
      <c r="U43" s="254"/>
      <c r="V43" s="254">
        <v>0</v>
      </c>
      <c r="W43" s="254"/>
      <c r="X43" s="254"/>
      <c r="Y43" s="254">
        <f>SUM(S43:V43)</f>
        <v>0</v>
      </c>
      <c r="Z43" s="165">
        <f t="shared" si="32"/>
        <v>65000000</v>
      </c>
    </row>
    <row r="44" spans="1:26" ht="18.75" customHeight="1" x14ac:dyDescent="0.2">
      <c r="A44" s="571"/>
      <c r="B44" s="572" t="s">
        <v>246</v>
      </c>
      <c r="C44" s="572"/>
      <c r="D44" s="247" t="s">
        <v>340</v>
      </c>
      <c r="E44" s="190">
        <f t="shared" ref="E44:Y44" si="35">SUM(E43)</f>
        <v>65000000</v>
      </c>
      <c r="F44" s="190">
        <f t="shared" si="35"/>
        <v>0</v>
      </c>
      <c r="G44" s="190"/>
      <c r="H44" s="190">
        <f t="shared" si="35"/>
        <v>0</v>
      </c>
      <c r="I44" s="190">
        <f t="shared" ref="I44" si="36">SUM(I43)</f>
        <v>0</v>
      </c>
      <c r="J44" s="190">
        <f t="shared" si="35"/>
        <v>0</v>
      </c>
      <c r="K44" s="190">
        <f t="shared" si="35"/>
        <v>65000000</v>
      </c>
      <c r="L44" s="190">
        <f t="shared" si="35"/>
        <v>0</v>
      </c>
      <c r="M44" s="190"/>
      <c r="N44" s="190"/>
      <c r="O44" s="190">
        <f t="shared" si="35"/>
        <v>0</v>
      </c>
      <c r="P44" s="190"/>
      <c r="Q44" s="190"/>
      <c r="R44" s="190">
        <f t="shared" si="35"/>
        <v>0</v>
      </c>
      <c r="S44" s="190">
        <f t="shared" si="35"/>
        <v>0</v>
      </c>
      <c r="T44" s="190"/>
      <c r="U44" s="190"/>
      <c r="V44" s="190">
        <f t="shared" si="35"/>
        <v>0</v>
      </c>
      <c r="W44" s="190"/>
      <c r="X44" s="190"/>
      <c r="Y44" s="190">
        <f t="shared" si="35"/>
        <v>0</v>
      </c>
      <c r="Z44" s="190">
        <f>SUM(Z43)</f>
        <v>65000000</v>
      </c>
    </row>
    <row r="45" spans="1:26" ht="15" customHeight="1" x14ac:dyDescent="0.2">
      <c r="A45" s="571" t="s">
        <v>48</v>
      </c>
      <c r="B45" s="271"/>
      <c r="C45" s="164" t="s">
        <v>276</v>
      </c>
      <c r="D45" s="164" t="s">
        <v>419</v>
      </c>
      <c r="E45" s="165">
        <f>'1. Bevételek'!E45</f>
        <v>141599305</v>
      </c>
      <c r="F45" s="165"/>
      <c r="G45" s="165"/>
      <c r="H45" s="165">
        <f>'1. Bevételek'!J45</f>
        <v>941822</v>
      </c>
      <c r="I45" s="165"/>
      <c r="J45" s="165"/>
      <c r="K45" s="165">
        <f>SUM(E45:H45)</f>
        <v>142541127</v>
      </c>
      <c r="L45" s="254">
        <v>0</v>
      </c>
      <c r="M45" s="254"/>
      <c r="N45" s="254"/>
      <c r="O45" s="254">
        <v>0</v>
      </c>
      <c r="P45" s="254"/>
      <c r="Q45" s="254"/>
      <c r="R45" s="254">
        <f>SUM(L45:O45)</f>
        <v>0</v>
      </c>
      <c r="S45" s="254">
        <v>0</v>
      </c>
      <c r="T45" s="254"/>
      <c r="U45" s="254"/>
      <c r="V45" s="254">
        <v>0</v>
      </c>
      <c r="W45" s="254"/>
      <c r="X45" s="254"/>
      <c r="Y45" s="254">
        <f>SUM(S45:V45)</f>
        <v>0</v>
      </c>
      <c r="Z45" s="165">
        <f t="shared" si="32"/>
        <v>142541127</v>
      </c>
    </row>
    <row r="46" spans="1:26" ht="17.25" customHeight="1" x14ac:dyDescent="0.2">
      <c r="A46" s="571"/>
      <c r="B46" s="572" t="s">
        <v>248</v>
      </c>
      <c r="C46" s="572"/>
      <c r="D46" s="247" t="s">
        <v>420</v>
      </c>
      <c r="E46" s="190">
        <f t="shared" ref="E46:Y46" si="37">SUM(E45)</f>
        <v>141599305</v>
      </c>
      <c r="F46" s="190">
        <f t="shared" si="37"/>
        <v>0</v>
      </c>
      <c r="G46" s="190"/>
      <c r="H46" s="190">
        <f t="shared" si="37"/>
        <v>941822</v>
      </c>
      <c r="I46" s="190">
        <f t="shared" ref="I46" si="38">SUM(I45)</f>
        <v>0</v>
      </c>
      <c r="J46" s="190">
        <f t="shared" si="37"/>
        <v>0</v>
      </c>
      <c r="K46" s="190">
        <f t="shared" si="37"/>
        <v>142541127</v>
      </c>
      <c r="L46" s="190">
        <f t="shared" si="37"/>
        <v>0</v>
      </c>
      <c r="M46" s="190"/>
      <c r="N46" s="190"/>
      <c r="O46" s="190">
        <f t="shared" si="37"/>
        <v>0</v>
      </c>
      <c r="P46" s="190"/>
      <c r="Q46" s="190"/>
      <c r="R46" s="190">
        <f t="shared" si="37"/>
        <v>0</v>
      </c>
      <c r="S46" s="190">
        <f t="shared" si="37"/>
        <v>0</v>
      </c>
      <c r="T46" s="190"/>
      <c r="U46" s="190"/>
      <c r="V46" s="190">
        <f t="shared" si="37"/>
        <v>0</v>
      </c>
      <c r="W46" s="190"/>
      <c r="X46" s="190"/>
      <c r="Y46" s="190">
        <f t="shared" si="37"/>
        <v>0</v>
      </c>
      <c r="Z46" s="190">
        <f>SUM(Z45)</f>
        <v>142541127</v>
      </c>
    </row>
    <row r="47" spans="1:26" ht="15.75" customHeight="1" x14ac:dyDescent="0.2">
      <c r="A47" s="573" t="s">
        <v>49</v>
      </c>
      <c r="B47" s="271"/>
      <c r="C47" s="164" t="s">
        <v>279</v>
      </c>
      <c r="D47" s="164" t="s">
        <v>341</v>
      </c>
      <c r="E47" s="254">
        <v>0</v>
      </c>
      <c r="F47" s="254"/>
      <c r="G47" s="254"/>
      <c r="H47" s="165">
        <f>'1. Bevételek'!J47</f>
        <v>105524914</v>
      </c>
      <c r="I47" s="165"/>
      <c r="J47" s="165"/>
      <c r="K47" s="254">
        <f>SUM(E47:H47)</f>
        <v>105524914</v>
      </c>
      <c r="L47" s="254">
        <v>0</v>
      </c>
      <c r="M47" s="254"/>
      <c r="N47" s="254"/>
      <c r="O47" s="254">
        <v>0</v>
      </c>
      <c r="P47" s="254"/>
      <c r="Q47" s="254"/>
      <c r="R47" s="254">
        <f>SUM(L47:O47)</f>
        <v>0</v>
      </c>
      <c r="S47" s="254">
        <v>0</v>
      </c>
      <c r="T47" s="254"/>
      <c r="U47" s="254"/>
      <c r="V47" s="254">
        <v>0</v>
      </c>
      <c r="W47" s="254"/>
      <c r="X47" s="254"/>
      <c r="Y47" s="254">
        <f>SUM(S47:V47)</f>
        <v>0</v>
      </c>
      <c r="Z47" s="165">
        <f t="shared" si="32"/>
        <v>105524914</v>
      </c>
    </row>
    <row r="48" spans="1:26" ht="18" customHeight="1" x14ac:dyDescent="0.2">
      <c r="A48" s="574"/>
      <c r="B48" s="572" t="s">
        <v>280</v>
      </c>
      <c r="C48" s="572"/>
      <c r="D48" s="247" t="s">
        <v>342</v>
      </c>
      <c r="E48" s="190">
        <f t="shared" ref="E48:Y48" si="39">SUM(E47)</f>
        <v>0</v>
      </c>
      <c r="F48" s="190">
        <f t="shared" si="39"/>
        <v>0</v>
      </c>
      <c r="G48" s="190"/>
      <c r="H48" s="190">
        <f t="shared" si="39"/>
        <v>105524914</v>
      </c>
      <c r="I48" s="190">
        <f t="shared" ref="I48" si="40">SUM(I47)</f>
        <v>0</v>
      </c>
      <c r="J48" s="190">
        <f t="shared" si="39"/>
        <v>0</v>
      </c>
      <c r="K48" s="190">
        <f t="shared" si="39"/>
        <v>105524914</v>
      </c>
      <c r="L48" s="190">
        <f t="shared" si="39"/>
        <v>0</v>
      </c>
      <c r="M48" s="190"/>
      <c r="N48" s="190"/>
      <c r="O48" s="190">
        <f t="shared" si="39"/>
        <v>0</v>
      </c>
      <c r="P48" s="190"/>
      <c r="Q48" s="190"/>
      <c r="R48" s="190">
        <f t="shared" si="39"/>
        <v>0</v>
      </c>
      <c r="S48" s="190">
        <f t="shared" si="39"/>
        <v>0</v>
      </c>
      <c r="T48" s="190"/>
      <c r="U48" s="190"/>
      <c r="V48" s="190">
        <f t="shared" si="39"/>
        <v>0</v>
      </c>
      <c r="W48" s="190"/>
      <c r="X48" s="190"/>
      <c r="Y48" s="190">
        <f t="shared" si="39"/>
        <v>0</v>
      </c>
      <c r="Z48" s="190">
        <f>SUM(Z47)</f>
        <v>105524914</v>
      </c>
    </row>
    <row r="49" spans="1:26" s="266" customFormat="1" ht="21.75" customHeight="1" x14ac:dyDescent="0.2">
      <c r="A49" s="569" t="s">
        <v>249</v>
      </c>
      <c r="B49" s="569"/>
      <c r="C49" s="569"/>
      <c r="D49" s="260" t="s">
        <v>343</v>
      </c>
      <c r="E49" s="191">
        <f>E44+E46+E48+E42</f>
        <v>856599305</v>
      </c>
      <c r="F49" s="191">
        <f t="shared" ref="F49:J49" si="41">F44+F46+F48+F42</f>
        <v>0</v>
      </c>
      <c r="G49" s="191">
        <f>G44+G46+G48+G42</f>
        <v>0</v>
      </c>
      <c r="H49" s="191">
        <f t="shared" si="41"/>
        <v>106466736</v>
      </c>
      <c r="I49" s="191">
        <f t="shared" ref="I49" si="42">I44+I46+I48+I42</f>
        <v>0</v>
      </c>
      <c r="J49" s="191">
        <f t="shared" si="41"/>
        <v>0</v>
      </c>
      <c r="K49" s="191">
        <f t="shared" ref="K49:Y49" si="43">K44+K46+K48+K42</f>
        <v>963066041</v>
      </c>
      <c r="L49" s="191">
        <f t="shared" si="43"/>
        <v>0</v>
      </c>
      <c r="M49" s="191">
        <f t="shared" si="43"/>
        <v>0</v>
      </c>
      <c r="N49" s="191">
        <f t="shared" si="43"/>
        <v>0</v>
      </c>
      <c r="O49" s="191">
        <f t="shared" si="43"/>
        <v>0</v>
      </c>
      <c r="P49" s="191">
        <f t="shared" ref="P49" si="44">P44+P46+P48+P42</f>
        <v>0</v>
      </c>
      <c r="Q49" s="191">
        <f t="shared" si="43"/>
        <v>0</v>
      </c>
      <c r="R49" s="191">
        <f t="shared" si="43"/>
        <v>0</v>
      </c>
      <c r="S49" s="191">
        <f t="shared" si="43"/>
        <v>0</v>
      </c>
      <c r="T49" s="191"/>
      <c r="U49" s="191"/>
      <c r="V49" s="191">
        <f t="shared" si="43"/>
        <v>0</v>
      </c>
      <c r="W49" s="191"/>
      <c r="X49" s="191"/>
      <c r="Y49" s="191">
        <f t="shared" si="43"/>
        <v>0</v>
      </c>
      <c r="Z49" s="191">
        <f>Z44+Z46+Z48+Z42</f>
        <v>963066041</v>
      </c>
    </row>
    <row r="50" spans="1:26" s="158" customFormat="1" ht="22.5" customHeight="1" x14ac:dyDescent="0.2">
      <c r="A50" s="570" t="s">
        <v>250</v>
      </c>
      <c r="B50" s="570"/>
      <c r="C50" s="570"/>
      <c r="D50" s="249"/>
      <c r="E50" s="174">
        <f t="shared" ref="E50:Y50" si="45">E40+E49</f>
        <v>1501928679</v>
      </c>
      <c r="F50" s="174">
        <f t="shared" si="45"/>
        <v>16318475</v>
      </c>
      <c r="G50" s="174">
        <f t="shared" si="45"/>
        <v>20165119</v>
      </c>
      <c r="H50" s="174">
        <f t="shared" si="45"/>
        <v>106468736</v>
      </c>
      <c r="I50" s="174">
        <f t="shared" ref="I50" si="46">I40+I49</f>
        <v>0</v>
      </c>
      <c r="J50" s="174">
        <f t="shared" si="45"/>
        <v>0</v>
      </c>
      <c r="K50" s="174">
        <f t="shared" si="45"/>
        <v>1644727881</v>
      </c>
      <c r="L50" s="174">
        <f t="shared" si="45"/>
        <v>3375385</v>
      </c>
      <c r="M50" s="174">
        <f t="shared" si="45"/>
        <v>942499</v>
      </c>
      <c r="N50" s="174">
        <f t="shared" si="45"/>
        <v>654140</v>
      </c>
      <c r="O50" s="174">
        <f t="shared" si="45"/>
        <v>2000000</v>
      </c>
      <c r="P50" s="174">
        <f t="shared" ref="P50" si="47">P40+P49</f>
        <v>407000</v>
      </c>
      <c r="Q50" s="174">
        <f t="shared" si="45"/>
        <v>0</v>
      </c>
      <c r="R50" s="174">
        <f t="shared" si="45"/>
        <v>7379024</v>
      </c>
      <c r="S50" s="174">
        <f t="shared" si="45"/>
        <v>0</v>
      </c>
      <c r="T50" s="174"/>
      <c r="U50" s="174"/>
      <c r="V50" s="174">
        <f t="shared" si="45"/>
        <v>0</v>
      </c>
      <c r="W50" s="174"/>
      <c r="X50" s="174"/>
      <c r="Y50" s="174">
        <f t="shared" si="45"/>
        <v>0</v>
      </c>
      <c r="Z50" s="174">
        <f>Z40+Z49</f>
        <v>1652106905</v>
      </c>
    </row>
    <row r="53" spans="1:26" x14ac:dyDescent="0.2">
      <c r="K53" s="262"/>
      <c r="L53" s="262"/>
      <c r="M53" s="262"/>
      <c r="N53" s="262"/>
    </row>
  </sheetData>
  <mergeCells count="37">
    <mergeCell ref="A1:Z1"/>
    <mergeCell ref="A3:C5"/>
    <mergeCell ref="D3:D5"/>
    <mergeCell ref="E3:Z3"/>
    <mergeCell ref="K4:K5"/>
    <mergeCell ref="R4:R5"/>
    <mergeCell ref="Y4:Y5"/>
    <mergeCell ref="Z4:Z5"/>
    <mergeCell ref="A2:Y2"/>
    <mergeCell ref="E4:J4"/>
    <mergeCell ref="L4:Q4"/>
    <mergeCell ref="S4:X4"/>
    <mergeCell ref="A6:A17"/>
    <mergeCell ref="B11:C11"/>
    <mergeCell ref="B16:C16"/>
    <mergeCell ref="B17:C17"/>
    <mergeCell ref="B42:C42"/>
    <mergeCell ref="A18:A24"/>
    <mergeCell ref="B18:C18"/>
    <mergeCell ref="B22:C22"/>
    <mergeCell ref="B23:C23"/>
    <mergeCell ref="B24:C24"/>
    <mergeCell ref="A25:A33"/>
    <mergeCell ref="B33:C33"/>
    <mergeCell ref="A34:A35"/>
    <mergeCell ref="B35:C35"/>
    <mergeCell ref="A36:A39"/>
    <mergeCell ref="B39:C39"/>
    <mergeCell ref="A40:C40"/>
    <mergeCell ref="A49:C49"/>
    <mergeCell ref="A50:C50"/>
    <mergeCell ref="A43:A44"/>
    <mergeCell ref="B44:C44"/>
    <mergeCell ref="A45:A46"/>
    <mergeCell ref="B46:C46"/>
    <mergeCell ref="A47:A48"/>
    <mergeCell ref="B48:C48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Header>&amp;R1.1. számú melléklet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11"/>
    <pageSetUpPr fitToPage="1"/>
  </sheetPr>
  <dimension ref="A1:S31"/>
  <sheetViews>
    <sheetView zoomScaleNormal="100" zoomScaleSheetLayoutView="100" workbookViewId="0">
      <selection sqref="A1:XFD1048576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10" customWidth="1"/>
    <col min="5" max="5" width="12.5703125" style="193" customWidth="1"/>
    <col min="6" max="6" width="13.42578125" style="193" bestFit="1" customWidth="1"/>
    <col min="7" max="7" width="13.42578125" style="193" customWidth="1"/>
    <col min="8" max="9" width="12.5703125" style="193" customWidth="1"/>
    <col min="10" max="10" width="14.5703125" style="193" bestFit="1" customWidth="1"/>
    <col min="11" max="14" width="14.5703125" style="193" customWidth="1"/>
    <col min="15" max="19" width="14" customWidth="1"/>
  </cols>
  <sheetData>
    <row r="1" spans="1:19" ht="21.75" customHeight="1" x14ac:dyDescent="0.2">
      <c r="A1" s="540" t="s">
        <v>448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</row>
    <row r="2" spans="1:19" ht="28.5" customHeight="1" x14ac:dyDescent="0.2">
      <c r="A2" s="541" t="s">
        <v>102</v>
      </c>
      <c r="B2" s="541"/>
      <c r="C2" s="541"/>
      <c r="D2" s="541"/>
      <c r="E2" s="541"/>
      <c r="F2" s="541"/>
      <c r="G2" s="541"/>
      <c r="H2" s="541"/>
      <c r="I2" s="541"/>
      <c r="J2" s="541"/>
      <c r="K2" s="425"/>
      <c r="L2" s="458"/>
      <c r="M2" s="425"/>
      <c r="N2" s="425"/>
      <c r="P2" s="295"/>
      <c r="Q2" s="295"/>
      <c r="R2" s="295"/>
      <c r="S2" s="295" t="s">
        <v>380</v>
      </c>
    </row>
    <row r="3" spans="1:19" ht="36.75" customHeight="1" x14ac:dyDescent="0.2">
      <c r="A3" s="549" t="s">
        <v>36</v>
      </c>
      <c r="B3" s="550"/>
      <c r="C3" s="551"/>
      <c r="D3" s="603" t="s">
        <v>309</v>
      </c>
      <c r="E3" s="555" t="s">
        <v>369</v>
      </c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6"/>
      <c r="Q3" s="556"/>
      <c r="R3" s="556"/>
      <c r="S3" s="556"/>
    </row>
    <row r="4" spans="1:19" ht="30" x14ac:dyDescent="0.2">
      <c r="A4" s="552"/>
      <c r="B4" s="553"/>
      <c r="C4" s="554"/>
      <c r="D4" s="604"/>
      <c r="E4" s="171" t="s">
        <v>201</v>
      </c>
      <c r="F4" s="171" t="s">
        <v>426</v>
      </c>
      <c r="G4" s="171" t="s">
        <v>442</v>
      </c>
      <c r="H4" s="171" t="s">
        <v>427</v>
      </c>
      <c r="I4" s="171" t="s">
        <v>428</v>
      </c>
      <c r="J4" s="171" t="s">
        <v>278</v>
      </c>
      <c r="K4" s="171" t="s">
        <v>426</v>
      </c>
      <c r="L4" s="171" t="s">
        <v>442</v>
      </c>
      <c r="M4" s="171" t="s">
        <v>427</v>
      </c>
      <c r="N4" s="171" t="s">
        <v>428</v>
      </c>
      <c r="O4" s="171" t="s">
        <v>438</v>
      </c>
      <c r="P4" s="171" t="s">
        <v>432</v>
      </c>
      <c r="Q4" s="171" t="s">
        <v>442</v>
      </c>
      <c r="R4" s="171" t="s">
        <v>431</v>
      </c>
      <c r="S4" s="171" t="s">
        <v>428</v>
      </c>
    </row>
    <row r="5" spans="1:19" s="159" customFormat="1" ht="16.5" customHeight="1" x14ac:dyDescent="0.2">
      <c r="A5" s="601" t="s">
        <v>37</v>
      </c>
      <c r="B5" s="163"/>
      <c r="C5" s="164" t="s">
        <v>252</v>
      </c>
      <c r="D5" s="164" t="str">
        <f>'2.1.Kiadások (KÖT, ÖNV, Áll.i)'!D6</f>
        <v>K11</v>
      </c>
      <c r="E5" s="165">
        <v>32734051</v>
      </c>
      <c r="F5" s="165">
        <v>1808201</v>
      </c>
      <c r="G5" s="165">
        <f>H5-F5-E5</f>
        <v>332500</v>
      </c>
      <c r="H5" s="441">
        <v>34874752</v>
      </c>
      <c r="I5" s="441">
        <v>22473358</v>
      </c>
      <c r="J5" s="165">
        <v>81710304</v>
      </c>
      <c r="K5" s="165">
        <v>299601</v>
      </c>
      <c r="L5" s="165">
        <f>M5-K5-J5</f>
        <v>-500000</v>
      </c>
      <c r="M5" s="441">
        <v>81509905</v>
      </c>
      <c r="N5" s="441">
        <v>57953938</v>
      </c>
      <c r="O5" s="165">
        <f>E5+J5</f>
        <v>114444355</v>
      </c>
      <c r="P5" s="165">
        <v>2107802</v>
      </c>
      <c r="Q5" s="165">
        <f>G5+L5</f>
        <v>-167500</v>
      </c>
      <c r="R5" s="165">
        <f>H5+M5</f>
        <v>116384657</v>
      </c>
      <c r="S5" s="165">
        <f>I5+N5</f>
        <v>80427296</v>
      </c>
    </row>
    <row r="6" spans="1:19" s="159" customFormat="1" ht="16.5" customHeight="1" x14ac:dyDescent="0.2">
      <c r="A6" s="601"/>
      <c r="B6" s="163"/>
      <c r="C6" s="164" t="s">
        <v>253</v>
      </c>
      <c r="D6" s="164" t="str">
        <f>'2.1.Kiadások (KÖT, ÖNV, Áll.i)'!D7</f>
        <v>K12</v>
      </c>
      <c r="E6" s="165">
        <v>18853081</v>
      </c>
      <c r="F6" s="165">
        <v>-63830</v>
      </c>
      <c r="G6" s="165">
        <f>H6-F6-E6</f>
        <v>-677256</v>
      </c>
      <c r="H6" s="441">
        <v>18111995</v>
      </c>
      <c r="I6" s="441">
        <v>9167524</v>
      </c>
      <c r="J6" s="165">
        <v>1100000</v>
      </c>
      <c r="K6" s="165">
        <v>0</v>
      </c>
      <c r="L6" s="165">
        <f t="shared" ref="L6:L31" si="0">M6-K6-J6</f>
        <v>0</v>
      </c>
      <c r="M6" s="441">
        <v>1100000</v>
      </c>
      <c r="N6" s="441">
        <v>82640</v>
      </c>
      <c r="O6" s="165">
        <f>E6+J6</f>
        <v>19953081</v>
      </c>
      <c r="P6" s="165">
        <v>-63830</v>
      </c>
      <c r="Q6" s="165">
        <f>G6+L6</f>
        <v>-677256</v>
      </c>
      <c r="R6" s="165">
        <f>H6+M6</f>
        <v>19211995</v>
      </c>
      <c r="S6" s="165">
        <f t="shared" ref="S6:S26" si="1">I6+N6</f>
        <v>9250164</v>
      </c>
    </row>
    <row r="7" spans="1:19" s="162" customFormat="1" ht="21.75" customHeight="1" x14ac:dyDescent="0.2">
      <c r="A7" s="601"/>
      <c r="B7" s="600" t="s">
        <v>251</v>
      </c>
      <c r="C7" s="600"/>
      <c r="D7" s="311" t="str">
        <f>'2.1.Kiadások (KÖT, ÖNV, Áll.i)'!D8</f>
        <v>K1</v>
      </c>
      <c r="E7" s="189">
        <f t="shared" ref="E7:N7" si="2">SUM(E5:E6)</f>
        <v>51587132</v>
      </c>
      <c r="F7" s="189">
        <v>1744371</v>
      </c>
      <c r="G7" s="189">
        <f t="shared" si="2"/>
        <v>-344756</v>
      </c>
      <c r="H7" s="463">
        <f t="shared" si="2"/>
        <v>52986747</v>
      </c>
      <c r="I7" s="463">
        <f t="shared" si="2"/>
        <v>31640882</v>
      </c>
      <c r="J7" s="189">
        <f t="shared" si="2"/>
        <v>82810304</v>
      </c>
      <c r="K7" s="189">
        <v>299601</v>
      </c>
      <c r="L7" s="189">
        <f t="shared" si="0"/>
        <v>-500000</v>
      </c>
      <c r="M7" s="463">
        <f t="shared" si="2"/>
        <v>82609905</v>
      </c>
      <c r="N7" s="463">
        <f t="shared" si="2"/>
        <v>58036578</v>
      </c>
      <c r="O7" s="172">
        <f>E7+J7</f>
        <v>134397436</v>
      </c>
      <c r="P7" s="172">
        <v>2043972</v>
      </c>
      <c r="Q7" s="172">
        <f t="shared" ref="Q7:Q29" si="3">G7+L7</f>
        <v>-844756</v>
      </c>
      <c r="R7" s="189">
        <f t="shared" ref="R7:R26" si="4">H7+M7</f>
        <v>135596652</v>
      </c>
      <c r="S7" s="189">
        <f t="shared" si="1"/>
        <v>89677460</v>
      </c>
    </row>
    <row r="8" spans="1:19" s="162" customFormat="1" ht="22.5" customHeight="1" x14ac:dyDescent="0.2">
      <c r="A8" s="177" t="s">
        <v>38</v>
      </c>
      <c r="B8" s="600" t="s">
        <v>254</v>
      </c>
      <c r="C8" s="600"/>
      <c r="D8" s="311" t="str">
        <f>'2.1.Kiadások (KÖT, ÖNV, Áll.i)'!D9</f>
        <v>K2</v>
      </c>
      <c r="E8" s="189">
        <v>8843520</v>
      </c>
      <c r="F8" s="189">
        <v>-38571</v>
      </c>
      <c r="G8" s="189">
        <f>H8-F8-E8</f>
        <v>243032</v>
      </c>
      <c r="H8" s="463">
        <v>9047981</v>
      </c>
      <c r="I8" s="463">
        <v>4898842</v>
      </c>
      <c r="J8" s="189">
        <v>14696450</v>
      </c>
      <c r="K8" s="189">
        <v>-299601</v>
      </c>
      <c r="L8" s="189">
        <f t="shared" si="0"/>
        <v>0</v>
      </c>
      <c r="M8" s="463">
        <v>14396849</v>
      </c>
      <c r="N8" s="463">
        <v>10411571</v>
      </c>
      <c r="O8" s="172">
        <f>E8+J8</f>
        <v>23539970</v>
      </c>
      <c r="P8" s="172">
        <v>-338172</v>
      </c>
      <c r="Q8" s="172">
        <f t="shared" si="3"/>
        <v>243032</v>
      </c>
      <c r="R8" s="189">
        <f t="shared" si="4"/>
        <v>23444830</v>
      </c>
      <c r="S8" s="189">
        <f>I8+N8</f>
        <v>15310413</v>
      </c>
    </row>
    <row r="9" spans="1:19" s="159" customFormat="1" ht="13.5" customHeight="1" x14ac:dyDescent="0.2">
      <c r="A9" s="548" t="s">
        <v>39</v>
      </c>
      <c r="B9" s="163"/>
      <c r="C9" s="164" t="s">
        <v>255</v>
      </c>
      <c r="D9" s="421" t="str">
        <f>'2.1.Kiadások (KÖT, ÖNV, Áll.i)'!D10</f>
        <v>K31</v>
      </c>
      <c r="E9" s="165">
        <v>5717990</v>
      </c>
      <c r="F9" s="165">
        <v>0</v>
      </c>
      <c r="G9" s="165">
        <f t="shared" ref="G9:G13" si="5">H9-F9-E9</f>
        <v>0</v>
      </c>
      <c r="H9" s="441">
        <v>5717990</v>
      </c>
      <c r="I9" s="441">
        <v>4007846</v>
      </c>
      <c r="J9" s="165">
        <v>2307880</v>
      </c>
      <c r="K9" s="165">
        <v>0</v>
      </c>
      <c r="L9" s="165">
        <f t="shared" si="0"/>
        <v>207672</v>
      </c>
      <c r="M9" s="441">
        <v>2515552</v>
      </c>
      <c r="N9" s="441">
        <v>2407903</v>
      </c>
      <c r="O9" s="165">
        <f>E9+J9</f>
        <v>8025870</v>
      </c>
      <c r="P9" s="165">
        <v>0</v>
      </c>
      <c r="Q9" s="165">
        <f t="shared" si="3"/>
        <v>207672</v>
      </c>
      <c r="R9" s="165">
        <f t="shared" si="4"/>
        <v>8233542</v>
      </c>
      <c r="S9" s="165">
        <f t="shared" si="1"/>
        <v>6415749</v>
      </c>
    </row>
    <row r="10" spans="1:19" s="159" customFormat="1" ht="13.5" customHeight="1" x14ac:dyDescent="0.2">
      <c r="A10" s="548"/>
      <c r="B10" s="163"/>
      <c r="C10" s="164" t="s">
        <v>256</v>
      </c>
      <c r="D10" s="164" t="str">
        <f>'2.1.Kiadások (KÖT, ÖNV, Áll.i)'!D11</f>
        <v>K32</v>
      </c>
      <c r="E10" s="165">
        <v>2709418</v>
      </c>
      <c r="F10" s="165">
        <v>0</v>
      </c>
      <c r="G10" s="165">
        <f t="shared" si="5"/>
        <v>0</v>
      </c>
      <c r="H10" s="441">
        <v>2709418</v>
      </c>
      <c r="I10" s="441">
        <v>1233327</v>
      </c>
      <c r="J10" s="165">
        <v>282840</v>
      </c>
      <c r="K10" s="165">
        <v>0</v>
      </c>
      <c r="L10" s="165">
        <f t="shared" si="0"/>
        <v>59600</v>
      </c>
      <c r="M10" s="441">
        <v>342440</v>
      </c>
      <c r="N10" s="441">
        <v>209578</v>
      </c>
      <c r="O10" s="165">
        <f t="shared" ref="O10:O13" si="6">E10+J10</f>
        <v>2992258</v>
      </c>
      <c r="P10" s="165">
        <v>0</v>
      </c>
      <c r="Q10" s="165">
        <f t="shared" si="3"/>
        <v>59600</v>
      </c>
      <c r="R10" s="165">
        <f t="shared" si="4"/>
        <v>3051858</v>
      </c>
      <c r="S10" s="165">
        <f t="shared" si="1"/>
        <v>1442905</v>
      </c>
    </row>
    <row r="11" spans="1:19" s="159" customFormat="1" ht="13.5" customHeight="1" x14ac:dyDescent="0.2">
      <c r="A11" s="548"/>
      <c r="B11" s="163"/>
      <c r="C11" s="164" t="s">
        <v>257</v>
      </c>
      <c r="D11" s="164" t="str">
        <f>'2.1.Kiadások (KÖT, ÖNV, Áll.i)'!D12</f>
        <v>K33</v>
      </c>
      <c r="E11" s="165">
        <v>58734253</v>
      </c>
      <c r="F11" s="165">
        <v>1121993</v>
      </c>
      <c r="G11" s="165">
        <f t="shared" si="5"/>
        <v>100000</v>
      </c>
      <c r="H11" s="441">
        <v>59956246</v>
      </c>
      <c r="I11" s="441">
        <v>30723577</v>
      </c>
      <c r="J11" s="165">
        <v>4928100</v>
      </c>
      <c r="K11" s="165">
        <v>407000</v>
      </c>
      <c r="L11" s="165">
        <f t="shared" si="0"/>
        <v>550000</v>
      </c>
      <c r="M11" s="441">
        <v>5885100</v>
      </c>
      <c r="N11" s="441">
        <v>4087347</v>
      </c>
      <c r="O11" s="165">
        <f t="shared" si="6"/>
        <v>63662353</v>
      </c>
      <c r="P11" s="165">
        <v>1528993</v>
      </c>
      <c r="Q11" s="165">
        <f t="shared" si="3"/>
        <v>650000</v>
      </c>
      <c r="R11" s="165">
        <f t="shared" si="4"/>
        <v>65841346</v>
      </c>
      <c r="S11" s="165">
        <f t="shared" si="1"/>
        <v>34810924</v>
      </c>
    </row>
    <row r="12" spans="1:19" s="159" customFormat="1" ht="13.5" customHeight="1" x14ac:dyDescent="0.2">
      <c r="A12" s="548"/>
      <c r="B12" s="163"/>
      <c r="C12" s="164" t="s">
        <v>258</v>
      </c>
      <c r="D12" s="164" t="str">
        <f>'2.1.Kiadások (KÖT, ÖNV, Áll.i)'!D14</f>
        <v>K34</v>
      </c>
      <c r="E12" s="165">
        <v>507000</v>
      </c>
      <c r="F12" s="165">
        <v>0</v>
      </c>
      <c r="G12" s="165">
        <f t="shared" si="5"/>
        <v>0</v>
      </c>
      <c r="H12" s="441">
        <v>507000</v>
      </c>
      <c r="I12" s="441">
        <v>72848</v>
      </c>
      <c r="J12" s="165">
        <v>1330000</v>
      </c>
      <c r="K12" s="165">
        <v>0</v>
      </c>
      <c r="L12" s="165">
        <f t="shared" si="0"/>
        <v>0</v>
      </c>
      <c r="M12" s="441">
        <v>1330000</v>
      </c>
      <c r="N12" s="441">
        <v>798597</v>
      </c>
      <c r="O12" s="165">
        <f t="shared" si="6"/>
        <v>1837000</v>
      </c>
      <c r="P12" s="165">
        <v>0</v>
      </c>
      <c r="Q12" s="165">
        <f t="shared" si="3"/>
        <v>0</v>
      </c>
      <c r="R12" s="165">
        <f t="shared" si="4"/>
        <v>1837000</v>
      </c>
      <c r="S12" s="165">
        <f t="shared" si="1"/>
        <v>871445</v>
      </c>
    </row>
    <row r="13" spans="1:19" s="159" customFormat="1" ht="13.5" customHeight="1" x14ac:dyDescent="0.2">
      <c r="A13" s="548"/>
      <c r="B13" s="163"/>
      <c r="C13" s="164" t="s">
        <v>259</v>
      </c>
      <c r="D13" s="164" t="str">
        <f>'2.1.Kiadások (KÖT, ÖNV, Áll.i)'!D15</f>
        <v>K35</v>
      </c>
      <c r="E13" s="165">
        <f>22891939+14396417</f>
        <v>37288356</v>
      </c>
      <c r="F13" s="165">
        <v>0</v>
      </c>
      <c r="G13" s="165">
        <f t="shared" si="5"/>
        <v>0</v>
      </c>
      <c r="H13" s="441">
        <v>37288356</v>
      </c>
      <c r="I13" s="441">
        <v>8855238</v>
      </c>
      <c r="J13" s="165">
        <v>1171340</v>
      </c>
      <c r="K13" s="165">
        <v>0</v>
      </c>
      <c r="L13" s="165">
        <f t="shared" si="0"/>
        <v>-317272</v>
      </c>
      <c r="M13" s="441">
        <v>854068</v>
      </c>
      <c r="N13" s="441">
        <v>604248</v>
      </c>
      <c r="O13" s="165">
        <f t="shared" si="6"/>
        <v>38459696</v>
      </c>
      <c r="P13" s="165">
        <v>0</v>
      </c>
      <c r="Q13" s="165">
        <f t="shared" si="3"/>
        <v>-317272</v>
      </c>
      <c r="R13" s="165">
        <f t="shared" si="4"/>
        <v>38142424</v>
      </c>
      <c r="S13" s="165">
        <f t="shared" si="1"/>
        <v>9459486</v>
      </c>
    </row>
    <row r="14" spans="1:19" s="162" customFormat="1" ht="19.5" customHeight="1" x14ac:dyDescent="0.2">
      <c r="A14" s="548"/>
      <c r="B14" s="600" t="s">
        <v>260</v>
      </c>
      <c r="C14" s="600"/>
      <c r="D14" s="311" t="str">
        <f>'2.1.Kiadások (KÖT, ÖNV, Áll.i)'!D16</f>
        <v>K3</v>
      </c>
      <c r="E14" s="189">
        <f t="shared" ref="E14:N14" si="7">SUM(E9:E13)</f>
        <v>104957017</v>
      </c>
      <c r="F14" s="189">
        <v>1121993</v>
      </c>
      <c r="G14" s="189">
        <f>H14-F14-E14</f>
        <v>100000</v>
      </c>
      <c r="H14" s="463">
        <f t="shared" si="7"/>
        <v>106179010</v>
      </c>
      <c r="I14" s="463">
        <f t="shared" si="7"/>
        <v>44892836</v>
      </c>
      <c r="J14" s="189">
        <f t="shared" si="7"/>
        <v>10020160</v>
      </c>
      <c r="K14" s="189">
        <v>407000</v>
      </c>
      <c r="L14" s="189">
        <f t="shared" si="7"/>
        <v>500000</v>
      </c>
      <c r="M14" s="463">
        <f t="shared" si="7"/>
        <v>10927160</v>
      </c>
      <c r="N14" s="463">
        <f t="shared" si="7"/>
        <v>8107673</v>
      </c>
      <c r="O14" s="172">
        <f>E14+J14</f>
        <v>114977177</v>
      </c>
      <c r="P14" s="172">
        <v>1528993</v>
      </c>
      <c r="Q14" s="172">
        <f t="shared" si="3"/>
        <v>600000</v>
      </c>
      <c r="R14" s="189">
        <f t="shared" si="4"/>
        <v>117106170</v>
      </c>
      <c r="S14" s="189">
        <f t="shared" si="1"/>
        <v>53000509</v>
      </c>
    </row>
    <row r="15" spans="1:19" s="162" customFormat="1" ht="25.5" customHeight="1" x14ac:dyDescent="0.2">
      <c r="A15" s="166" t="s">
        <v>40</v>
      </c>
      <c r="B15" s="600" t="s">
        <v>105</v>
      </c>
      <c r="C15" s="600"/>
      <c r="D15" s="311" t="str">
        <f>'2.1.Kiadások (KÖT, ÖNV, Áll.i)'!D17</f>
        <v>K4</v>
      </c>
      <c r="E15" s="189">
        <v>1400000</v>
      </c>
      <c r="F15" s="189">
        <v>0</v>
      </c>
      <c r="G15" s="189">
        <f t="shared" ref="G15:G16" si="8">H15-F15-E15</f>
        <v>0</v>
      </c>
      <c r="H15" s="463">
        <v>1400000</v>
      </c>
      <c r="I15" s="463">
        <v>575125</v>
      </c>
      <c r="J15" s="189">
        <v>0</v>
      </c>
      <c r="K15" s="189">
        <v>0</v>
      </c>
      <c r="L15" s="189">
        <f t="shared" si="0"/>
        <v>0</v>
      </c>
      <c r="M15" s="463">
        <v>0</v>
      </c>
      <c r="N15" s="463">
        <v>0</v>
      </c>
      <c r="O15" s="189">
        <f t="shared" ref="O15:O30" si="9">E15+J15</f>
        <v>1400000</v>
      </c>
      <c r="P15" s="189">
        <v>0</v>
      </c>
      <c r="Q15" s="189">
        <f t="shared" si="3"/>
        <v>0</v>
      </c>
      <c r="R15" s="189">
        <f t="shared" si="4"/>
        <v>1400000</v>
      </c>
      <c r="S15" s="189">
        <f t="shared" si="1"/>
        <v>575125</v>
      </c>
    </row>
    <row r="16" spans="1:19" s="162" customFormat="1" ht="25.5" customHeight="1" x14ac:dyDescent="0.2">
      <c r="A16" s="166" t="s">
        <v>41</v>
      </c>
      <c r="B16" s="600" t="s">
        <v>261</v>
      </c>
      <c r="C16" s="600"/>
      <c r="D16" s="311" t="str">
        <f>'2.1.Kiadások (KÖT, ÖNV, Áll.i)'!D18</f>
        <v>K502</v>
      </c>
      <c r="E16" s="189">
        <v>5744100</v>
      </c>
      <c r="F16" s="189">
        <v>4350819</v>
      </c>
      <c r="G16" s="189">
        <f t="shared" si="8"/>
        <v>0</v>
      </c>
      <c r="H16" s="463">
        <v>10094919</v>
      </c>
      <c r="I16" s="463">
        <v>10094919</v>
      </c>
      <c r="J16" s="189">
        <v>0</v>
      </c>
      <c r="K16" s="189">
        <v>0</v>
      </c>
      <c r="L16" s="189">
        <f t="shared" si="0"/>
        <v>0</v>
      </c>
      <c r="M16" s="463">
        <v>0</v>
      </c>
      <c r="N16" s="463">
        <v>0</v>
      </c>
      <c r="O16" s="172">
        <f t="shared" si="9"/>
        <v>5744100</v>
      </c>
      <c r="P16" s="172">
        <v>4350819</v>
      </c>
      <c r="Q16" s="172">
        <f t="shared" si="3"/>
        <v>0</v>
      </c>
      <c r="R16" s="189">
        <f t="shared" si="4"/>
        <v>10094919</v>
      </c>
      <c r="S16" s="189">
        <f t="shared" si="1"/>
        <v>10094919</v>
      </c>
    </row>
    <row r="17" spans="1:19" x14ac:dyDescent="0.2">
      <c r="A17" s="568" t="s">
        <v>46</v>
      </c>
      <c r="B17" s="163"/>
      <c r="C17" s="164" t="s">
        <v>262</v>
      </c>
      <c r="D17" s="164" t="str">
        <f>'2.1.Kiadások (KÖT, ÖNV, Áll.i)'!D19</f>
        <v>K506</v>
      </c>
      <c r="E17" s="165">
        <v>247363673</v>
      </c>
      <c r="F17" s="165">
        <v>0</v>
      </c>
      <c r="G17" s="165">
        <f t="shared" ref="G17:G18" si="10">H17-F17-E17</f>
        <v>15000</v>
      </c>
      <c r="H17" s="441">
        <v>247378673</v>
      </c>
      <c r="I17" s="441">
        <v>162840334</v>
      </c>
      <c r="J17" s="165">
        <v>941822</v>
      </c>
      <c r="K17" s="165">
        <v>0</v>
      </c>
      <c r="L17" s="165">
        <f t="shared" si="0"/>
        <v>0</v>
      </c>
      <c r="M17" s="441">
        <v>941822</v>
      </c>
      <c r="N17" s="441">
        <v>0</v>
      </c>
      <c r="O17" s="165">
        <f t="shared" si="9"/>
        <v>248305495</v>
      </c>
      <c r="P17" s="165">
        <v>0</v>
      </c>
      <c r="Q17" s="165">
        <f t="shared" si="3"/>
        <v>15000</v>
      </c>
      <c r="R17" s="165">
        <f t="shared" si="4"/>
        <v>248320495</v>
      </c>
      <c r="S17" s="165">
        <f t="shared" si="1"/>
        <v>162840334</v>
      </c>
    </row>
    <row r="18" spans="1:19" x14ac:dyDescent="0.2">
      <c r="A18" s="602"/>
      <c r="B18" s="163"/>
      <c r="C18" s="164" t="s">
        <v>263</v>
      </c>
      <c r="D18" s="164" t="str">
        <f>'2.1.Kiadások (KÖT, ÖNV, Áll.i)'!D20</f>
        <v>K512</v>
      </c>
      <c r="E18" s="165">
        <v>33629305</v>
      </c>
      <c r="F18" s="165">
        <v>75000</v>
      </c>
      <c r="G18" s="165">
        <f t="shared" si="10"/>
        <v>240000</v>
      </c>
      <c r="H18" s="441">
        <v>33944305</v>
      </c>
      <c r="I18" s="441">
        <v>26696982</v>
      </c>
      <c r="J18" s="165">
        <v>0</v>
      </c>
      <c r="K18" s="165">
        <v>0</v>
      </c>
      <c r="L18" s="165">
        <f t="shared" si="0"/>
        <v>0</v>
      </c>
      <c r="M18" s="460"/>
      <c r="N18" s="460"/>
      <c r="O18" s="165">
        <f t="shared" si="9"/>
        <v>33629305</v>
      </c>
      <c r="P18" s="165">
        <v>75000</v>
      </c>
      <c r="Q18" s="165">
        <f t="shared" si="3"/>
        <v>240000</v>
      </c>
      <c r="R18" s="165">
        <f t="shared" si="4"/>
        <v>33944305</v>
      </c>
      <c r="S18" s="165">
        <f t="shared" si="1"/>
        <v>26696982</v>
      </c>
    </row>
    <row r="19" spans="1:19" ht="25.5" customHeight="1" x14ac:dyDescent="0.2">
      <c r="A19" s="567"/>
      <c r="B19" s="600" t="s">
        <v>264</v>
      </c>
      <c r="C19" s="600"/>
      <c r="D19" s="316" t="s">
        <v>421</v>
      </c>
      <c r="E19" s="189">
        <f>SUM(E17:E18)</f>
        <v>280992978</v>
      </c>
      <c r="F19" s="189">
        <v>75000</v>
      </c>
      <c r="G19" s="189">
        <f>H19-F19-E19</f>
        <v>255000</v>
      </c>
      <c r="H19" s="463">
        <f>SUM(H17:H18)</f>
        <v>281322978</v>
      </c>
      <c r="I19" s="463">
        <f>SUM(I17:I18)</f>
        <v>189537316</v>
      </c>
      <c r="J19" s="189">
        <f t="shared" ref="J19:N19" si="11">SUM(J17:J18)</f>
        <v>941822</v>
      </c>
      <c r="K19" s="189">
        <v>0</v>
      </c>
      <c r="L19" s="189">
        <f t="shared" si="11"/>
        <v>0</v>
      </c>
      <c r="M19" s="463">
        <f>SUM(M17:M18)</f>
        <v>941822</v>
      </c>
      <c r="N19" s="463">
        <f t="shared" si="11"/>
        <v>0</v>
      </c>
      <c r="O19" s="172">
        <f t="shared" si="9"/>
        <v>281934800</v>
      </c>
      <c r="P19" s="172">
        <v>75000</v>
      </c>
      <c r="Q19" s="172">
        <f t="shared" si="3"/>
        <v>255000</v>
      </c>
      <c r="R19" s="189">
        <f t="shared" si="4"/>
        <v>282264800</v>
      </c>
      <c r="S19" s="189">
        <f t="shared" si="1"/>
        <v>189537316</v>
      </c>
    </row>
    <row r="20" spans="1:19" s="160" customFormat="1" ht="25.5" customHeight="1" x14ac:dyDescent="0.2">
      <c r="A20" s="166" t="s">
        <v>48</v>
      </c>
      <c r="B20" s="598" t="s">
        <v>425</v>
      </c>
      <c r="C20" s="599"/>
      <c r="D20" s="320" t="str">
        <f>'2.1.Kiadások (KÖT, ÖNV, Áll.i)'!D22</f>
        <v>K513</v>
      </c>
      <c r="E20" s="198">
        <f>5540754-494000+241672</f>
        <v>5288426</v>
      </c>
      <c r="F20" s="198">
        <v>8518220</v>
      </c>
      <c r="G20" s="198">
        <f>H20-F20-E20</f>
        <v>11341663</v>
      </c>
      <c r="H20" s="464">
        <v>25148309</v>
      </c>
      <c r="I20" s="462"/>
      <c r="J20" s="199">
        <v>0</v>
      </c>
      <c r="K20" s="199">
        <v>0</v>
      </c>
      <c r="L20" s="199">
        <f t="shared" si="0"/>
        <v>0</v>
      </c>
      <c r="M20" s="472"/>
      <c r="N20" s="472"/>
      <c r="O20" s="172">
        <f t="shared" si="9"/>
        <v>5288426</v>
      </c>
      <c r="P20" s="172">
        <v>8518220</v>
      </c>
      <c r="Q20" s="172">
        <f t="shared" si="3"/>
        <v>11341663</v>
      </c>
      <c r="R20" s="189">
        <f t="shared" si="4"/>
        <v>25148309</v>
      </c>
      <c r="S20" s="189">
        <f t="shared" si="1"/>
        <v>0</v>
      </c>
    </row>
    <row r="21" spans="1:19" s="178" customFormat="1" ht="19.5" customHeight="1" x14ac:dyDescent="0.2">
      <c r="A21" s="197" t="s">
        <v>49</v>
      </c>
      <c r="B21" s="600" t="s">
        <v>265</v>
      </c>
      <c r="C21" s="600"/>
      <c r="D21" s="311" t="str">
        <f>'2.1.Kiadások (KÖT, ÖNV, Áll.i)'!D23</f>
        <v>K6</v>
      </c>
      <c r="E21" s="189">
        <f>569009062+250000000-14396417+1</f>
        <v>804612646</v>
      </c>
      <c r="F21" s="189">
        <v>274610</v>
      </c>
      <c r="G21" s="189">
        <f>H21-F21-E21</f>
        <v>16025107</v>
      </c>
      <c r="H21" s="463">
        <v>820912363</v>
      </c>
      <c r="I21" s="463">
        <v>49209338</v>
      </c>
      <c r="J21" s="189">
        <v>0</v>
      </c>
      <c r="K21" s="199">
        <v>0</v>
      </c>
      <c r="L21" s="199">
        <f t="shared" si="0"/>
        <v>0</v>
      </c>
      <c r="M21" s="461"/>
      <c r="N21" s="461"/>
      <c r="O21" s="172">
        <f t="shared" si="9"/>
        <v>804612646</v>
      </c>
      <c r="P21" s="172">
        <v>274610</v>
      </c>
      <c r="Q21" s="172">
        <f t="shared" si="3"/>
        <v>16025107</v>
      </c>
      <c r="R21" s="189">
        <f t="shared" si="4"/>
        <v>820912363</v>
      </c>
      <c r="S21" s="189">
        <f t="shared" si="1"/>
        <v>49209338</v>
      </c>
    </row>
    <row r="22" spans="1:19" s="178" customFormat="1" ht="18.75" customHeight="1" x14ac:dyDescent="0.2">
      <c r="A22" s="197" t="s">
        <v>50</v>
      </c>
      <c r="B22" s="600" t="s">
        <v>151</v>
      </c>
      <c r="C22" s="600"/>
      <c r="D22" s="311" t="str">
        <f>'2.1.Kiadások (KÖT, ÖNV, Áll.i)'!D24</f>
        <v>K7</v>
      </c>
      <c r="E22" s="189">
        <f>123033605-1</f>
        <v>123033604</v>
      </c>
      <c r="F22" s="189">
        <v>0</v>
      </c>
      <c r="G22" s="189">
        <f>H22-F22-E22</f>
        <v>-6800787</v>
      </c>
      <c r="H22" s="463">
        <v>116232817</v>
      </c>
      <c r="I22" s="463">
        <v>4663091</v>
      </c>
      <c r="J22" s="189">
        <v>0</v>
      </c>
      <c r="K22" s="199">
        <v>0</v>
      </c>
      <c r="L22" s="199">
        <f t="shared" si="0"/>
        <v>0</v>
      </c>
      <c r="M22" s="461"/>
      <c r="N22" s="461"/>
      <c r="O22" s="172">
        <f t="shared" si="9"/>
        <v>123033604</v>
      </c>
      <c r="P22" s="172">
        <v>0</v>
      </c>
      <c r="Q22" s="172">
        <f t="shared" si="3"/>
        <v>-6800787</v>
      </c>
      <c r="R22" s="189">
        <f t="shared" si="4"/>
        <v>116232817</v>
      </c>
      <c r="S22" s="189">
        <f t="shared" si="1"/>
        <v>4663091</v>
      </c>
    </row>
    <row r="23" spans="1:19" ht="25.5" x14ac:dyDescent="0.2">
      <c r="A23" s="568" t="s">
        <v>51</v>
      </c>
      <c r="B23" s="163"/>
      <c r="C23" s="164" t="s">
        <v>266</v>
      </c>
      <c r="D23" s="164" t="str">
        <f>'2.1.Kiadások (KÖT, ÖNV, Áll.i)'!D25</f>
        <v>K84</v>
      </c>
      <c r="E23" s="165">
        <v>0</v>
      </c>
      <c r="F23" s="165">
        <v>1214532</v>
      </c>
      <c r="G23" s="165">
        <f t="shared" ref="G23:G25" si="12">H23-F23-E23</f>
        <v>0</v>
      </c>
      <c r="H23" s="441">
        <v>1214532</v>
      </c>
      <c r="I23" s="441">
        <v>1214532</v>
      </c>
      <c r="J23" s="165">
        <v>0</v>
      </c>
      <c r="K23" s="165">
        <v>0</v>
      </c>
      <c r="L23" s="165">
        <f t="shared" si="0"/>
        <v>0</v>
      </c>
      <c r="M23" s="460"/>
      <c r="N23" s="460"/>
      <c r="O23" s="165">
        <f t="shared" si="9"/>
        <v>0</v>
      </c>
      <c r="P23" s="165">
        <v>1214532</v>
      </c>
      <c r="Q23" s="165">
        <f t="shared" si="3"/>
        <v>0</v>
      </c>
      <c r="R23" s="165">
        <f t="shared" si="4"/>
        <v>1214532</v>
      </c>
      <c r="S23" s="165">
        <f t="shared" si="1"/>
        <v>1214532</v>
      </c>
    </row>
    <row r="24" spans="1:19" ht="25.5" x14ac:dyDescent="0.2">
      <c r="A24" s="605"/>
      <c r="B24" s="163"/>
      <c r="C24" s="164" t="s">
        <v>267</v>
      </c>
      <c r="D24" s="164" t="str">
        <f>'2.1.Kiadások (KÖT, ÖNV, Áll.i)'!D26</f>
        <v>K86</v>
      </c>
      <c r="E24" s="165">
        <v>2000000</v>
      </c>
      <c r="F24" s="165">
        <v>0</v>
      </c>
      <c r="G24" s="165">
        <f t="shared" si="12"/>
        <v>0</v>
      </c>
      <c r="H24" s="441">
        <v>2000000</v>
      </c>
      <c r="I24" s="460"/>
      <c r="J24" s="165">
        <v>0</v>
      </c>
      <c r="K24" s="165">
        <v>0</v>
      </c>
      <c r="L24" s="165">
        <f t="shared" si="0"/>
        <v>0</v>
      </c>
      <c r="M24" s="460"/>
      <c r="N24" s="460"/>
      <c r="O24" s="165">
        <f t="shared" si="9"/>
        <v>2000000</v>
      </c>
      <c r="P24" s="165">
        <v>0</v>
      </c>
      <c r="Q24" s="165">
        <f t="shared" si="3"/>
        <v>0</v>
      </c>
      <c r="R24" s="165">
        <f t="shared" si="4"/>
        <v>2000000</v>
      </c>
      <c r="S24" s="165">
        <f t="shared" si="1"/>
        <v>0</v>
      </c>
    </row>
    <row r="25" spans="1:19" x14ac:dyDescent="0.2">
      <c r="A25" s="605"/>
      <c r="B25" s="163"/>
      <c r="C25" s="164" t="s">
        <v>268</v>
      </c>
      <c r="D25" s="164" t="str">
        <f>'2.1.Kiadások (KÖT, ÖNV, Áll.i)'!D27</f>
        <v>K89</v>
      </c>
      <c r="E25" s="165">
        <v>0</v>
      </c>
      <c r="F25" s="165">
        <v>0</v>
      </c>
      <c r="G25" s="165">
        <f t="shared" si="12"/>
        <v>0</v>
      </c>
      <c r="H25" s="460"/>
      <c r="I25" s="460"/>
      <c r="J25" s="165">
        <v>0</v>
      </c>
      <c r="K25" s="165">
        <v>0</v>
      </c>
      <c r="L25" s="165">
        <f t="shared" si="0"/>
        <v>0</v>
      </c>
      <c r="M25" s="460"/>
      <c r="N25" s="460"/>
      <c r="O25" s="165">
        <f t="shared" si="9"/>
        <v>0</v>
      </c>
      <c r="P25" s="165">
        <v>0</v>
      </c>
      <c r="Q25" s="165">
        <f t="shared" si="3"/>
        <v>0</v>
      </c>
      <c r="R25" s="165">
        <f t="shared" si="4"/>
        <v>0</v>
      </c>
      <c r="S25" s="165">
        <f t="shared" si="1"/>
        <v>0</v>
      </c>
    </row>
    <row r="26" spans="1:19" s="162" customFormat="1" ht="25.5" customHeight="1" x14ac:dyDescent="0.2">
      <c r="A26" s="606"/>
      <c r="B26" s="600" t="s">
        <v>269</v>
      </c>
      <c r="C26" s="600"/>
      <c r="D26" s="311" t="str">
        <f>'2.1.Kiadások (KÖT, ÖNV, Áll.i)'!D28</f>
        <v>K8</v>
      </c>
      <c r="E26" s="189">
        <f t="shared" ref="E26:J26" si="13">SUM(E23:E25)</f>
        <v>2000000</v>
      </c>
      <c r="F26" s="189">
        <v>1214532</v>
      </c>
      <c r="G26" s="189">
        <f t="shared" si="13"/>
        <v>0</v>
      </c>
      <c r="H26" s="463">
        <f t="shared" si="13"/>
        <v>3214532</v>
      </c>
      <c r="I26" s="463">
        <f t="shared" si="13"/>
        <v>1214532</v>
      </c>
      <c r="J26" s="189">
        <f t="shared" si="13"/>
        <v>0</v>
      </c>
      <c r="K26" s="189">
        <v>0</v>
      </c>
      <c r="L26" s="189">
        <f t="shared" si="0"/>
        <v>0</v>
      </c>
      <c r="M26" s="461"/>
      <c r="N26" s="461"/>
      <c r="O26" s="172">
        <f t="shared" si="9"/>
        <v>2000000</v>
      </c>
      <c r="P26" s="172">
        <v>1214532</v>
      </c>
      <c r="Q26" s="172">
        <f t="shared" si="3"/>
        <v>0</v>
      </c>
      <c r="R26" s="189">
        <f t="shared" si="4"/>
        <v>3214532</v>
      </c>
      <c r="S26" s="189">
        <f t="shared" si="1"/>
        <v>1214532</v>
      </c>
    </row>
    <row r="27" spans="1:19" s="162" customFormat="1" ht="25.5" customHeight="1" x14ac:dyDescent="0.2">
      <c r="A27" s="610" t="s">
        <v>270</v>
      </c>
      <c r="B27" s="610"/>
      <c r="C27" s="610"/>
      <c r="D27" s="310" t="str">
        <f>'2.1.Kiadások (KÖT, ÖNV, Áll.i)'!D29</f>
        <v>K1-K8</v>
      </c>
      <c r="E27" s="191">
        <f t="shared" ref="E27:S27" si="14">E7+E8+E14+E15+E16+E19+E21+E22+E26+E20</f>
        <v>1388459423</v>
      </c>
      <c r="F27" s="191">
        <v>17260974</v>
      </c>
      <c r="G27" s="191">
        <f t="shared" si="14"/>
        <v>20819259</v>
      </c>
      <c r="H27" s="465">
        <f t="shared" si="14"/>
        <v>1426539656</v>
      </c>
      <c r="I27" s="465">
        <f t="shared" si="14"/>
        <v>336726881</v>
      </c>
      <c r="J27" s="191">
        <f t="shared" si="14"/>
        <v>108468736</v>
      </c>
      <c r="K27" s="191">
        <v>407000</v>
      </c>
      <c r="L27" s="465">
        <f t="shared" si="14"/>
        <v>0</v>
      </c>
      <c r="M27" s="465">
        <f t="shared" si="14"/>
        <v>108875736</v>
      </c>
      <c r="N27" s="465">
        <f t="shared" si="14"/>
        <v>76555822</v>
      </c>
      <c r="O27" s="173">
        <f t="shared" si="14"/>
        <v>1496928159</v>
      </c>
      <c r="P27" s="173">
        <v>17667974</v>
      </c>
      <c r="Q27" s="173">
        <f t="shared" ref="Q27" si="15">Q7+Q8+Q14+Q15+Q16+Q19+Q21+Q22+Q26+Q20</f>
        <v>20819259</v>
      </c>
      <c r="R27" s="191">
        <f t="shared" si="14"/>
        <v>1535415392</v>
      </c>
      <c r="S27" s="191">
        <f t="shared" si="14"/>
        <v>413282703</v>
      </c>
    </row>
    <row r="28" spans="1:19" x14ac:dyDescent="0.2">
      <c r="A28" s="568" t="s">
        <v>23</v>
      </c>
      <c r="B28" s="163"/>
      <c r="C28" s="164" t="s">
        <v>273</v>
      </c>
      <c r="D28" s="164" t="str">
        <f>'2.1.Kiadások (KÖT, ÖNV, Áll.i)'!D30</f>
        <v>K914</v>
      </c>
      <c r="E28" s="165">
        <v>11319727</v>
      </c>
      <c r="F28" s="165">
        <v>0</v>
      </c>
      <c r="G28" s="165">
        <f t="shared" ref="G28:G29" si="16">H28-F28-E28</f>
        <v>0</v>
      </c>
      <c r="H28" s="441">
        <v>11319727</v>
      </c>
      <c r="I28" s="441">
        <v>11319727</v>
      </c>
      <c r="J28" s="165">
        <v>0</v>
      </c>
      <c r="K28" s="165">
        <v>0</v>
      </c>
      <c r="L28" s="165">
        <f t="shared" si="0"/>
        <v>0</v>
      </c>
      <c r="M28" s="441"/>
      <c r="N28" s="441"/>
      <c r="O28" s="165">
        <f t="shared" si="9"/>
        <v>11319727</v>
      </c>
      <c r="P28" s="165">
        <v>0</v>
      </c>
      <c r="Q28" s="165">
        <f t="shared" si="3"/>
        <v>0</v>
      </c>
      <c r="R28" s="165">
        <f>H28+M28</f>
        <v>11319727</v>
      </c>
      <c r="S28" s="165">
        <f>I28+N28</f>
        <v>11319727</v>
      </c>
    </row>
    <row r="29" spans="1:19" x14ac:dyDescent="0.2">
      <c r="A29" s="567"/>
      <c r="B29" s="163"/>
      <c r="C29" s="164" t="s">
        <v>274</v>
      </c>
      <c r="D29" s="164" t="str">
        <f>'2.1.Kiadások (KÖT, ÖNV, Áll.i)'!D31</f>
        <v>K915</v>
      </c>
      <c r="E29" s="165">
        <v>105524914</v>
      </c>
      <c r="F29" s="165">
        <v>0</v>
      </c>
      <c r="G29" s="165">
        <f t="shared" si="16"/>
        <v>0</v>
      </c>
      <c r="H29" s="441">
        <v>105524914</v>
      </c>
      <c r="I29" s="441">
        <v>74698388</v>
      </c>
      <c r="J29" s="165">
        <v>0</v>
      </c>
      <c r="K29" s="165">
        <v>0</v>
      </c>
      <c r="L29" s="165">
        <f t="shared" si="0"/>
        <v>0</v>
      </c>
      <c r="M29" s="441"/>
      <c r="N29" s="441"/>
      <c r="O29" s="165">
        <f t="shared" si="9"/>
        <v>105524914</v>
      </c>
      <c r="P29" s="165">
        <v>0</v>
      </c>
      <c r="Q29" s="165">
        <f t="shared" si="3"/>
        <v>0</v>
      </c>
      <c r="R29" s="165">
        <f>H29+M29</f>
        <v>105524914</v>
      </c>
      <c r="S29" s="165">
        <f>I29+N29</f>
        <v>74698388</v>
      </c>
    </row>
    <row r="30" spans="1:19" s="162" customFormat="1" ht="22.5" customHeight="1" x14ac:dyDescent="0.2">
      <c r="A30" s="607" t="s">
        <v>271</v>
      </c>
      <c r="B30" s="608"/>
      <c r="C30" s="609"/>
      <c r="D30" s="319" t="str">
        <f>'2.1.Kiadások (KÖT, ÖNV, Áll.i)'!D32</f>
        <v>K9</v>
      </c>
      <c r="E30" s="191">
        <f t="shared" ref="E30:N30" si="17">SUM(E28:E29)</f>
        <v>116844641</v>
      </c>
      <c r="F30" s="191">
        <v>0</v>
      </c>
      <c r="G30" s="191">
        <f t="shared" si="17"/>
        <v>0</v>
      </c>
      <c r="H30" s="465">
        <f t="shared" si="17"/>
        <v>116844641</v>
      </c>
      <c r="I30" s="465">
        <f t="shared" si="17"/>
        <v>86018115</v>
      </c>
      <c r="J30" s="191">
        <f t="shared" si="17"/>
        <v>0</v>
      </c>
      <c r="K30" s="191">
        <v>0</v>
      </c>
      <c r="L30" s="191">
        <f t="shared" si="0"/>
        <v>0</v>
      </c>
      <c r="M30" s="465">
        <f t="shared" si="17"/>
        <v>0</v>
      </c>
      <c r="N30" s="465">
        <f t="shared" si="17"/>
        <v>0</v>
      </c>
      <c r="O30" s="173">
        <f t="shared" si="9"/>
        <v>116844641</v>
      </c>
      <c r="P30" s="173">
        <v>0</v>
      </c>
      <c r="Q30" s="173">
        <f>G30+L30</f>
        <v>0</v>
      </c>
      <c r="R30" s="191">
        <f t="shared" ref="R30" si="18">H30+M30</f>
        <v>116844641</v>
      </c>
      <c r="S30" s="191">
        <f>I30+N30</f>
        <v>86018115</v>
      </c>
    </row>
    <row r="31" spans="1:19" s="158" customFormat="1" ht="22.5" customHeight="1" x14ac:dyDescent="0.2">
      <c r="A31" s="570" t="s">
        <v>272</v>
      </c>
      <c r="B31" s="570"/>
      <c r="C31" s="570"/>
      <c r="D31" s="318"/>
      <c r="E31" s="174">
        <f t="shared" ref="E31:S31" si="19">E27+E30</f>
        <v>1505304064</v>
      </c>
      <c r="F31" s="174">
        <v>17260974</v>
      </c>
      <c r="G31" s="174">
        <f t="shared" si="19"/>
        <v>20819259</v>
      </c>
      <c r="H31" s="466">
        <f t="shared" si="19"/>
        <v>1543384297</v>
      </c>
      <c r="I31" s="466">
        <f t="shared" si="19"/>
        <v>422744996</v>
      </c>
      <c r="J31" s="174">
        <f t="shared" si="19"/>
        <v>108468736</v>
      </c>
      <c r="K31" s="174">
        <v>407000</v>
      </c>
      <c r="L31" s="174">
        <f t="shared" si="0"/>
        <v>0</v>
      </c>
      <c r="M31" s="466">
        <f t="shared" si="19"/>
        <v>108875736</v>
      </c>
      <c r="N31" s="466">
        <f t="shared" si="19"/>
        <v>76555822</v>
      </c>
      <c r="O31" s="174">
        <f t="shared" si="19"/>
        <v>1613772800</v>
      </c>
      <c r="P31" s="174">
        <v>17667974</v>
      </c>
      <c r="Q31" s="174">
        <f t="shared" ref="Q31" si="20">Q27+Q30</f>
        <v>20819259</v>
      </c>
      <c r="R31" s="174">
        <f t="shared" si="19"/>
        <v>1652260033</v>
      </c>
      <c r="S31" s="174">
        <f t="shared" si="19"/>
        <v>499300818</v>
      </c>
    </row>
  </sheetData>
  <mergeCells count="23">
    <mergeCell ref="A31:C31"/>
    <mergeCell ref="B26:C26"/>
    <mergeCell ref="B21:C21"/>
    <mergeCell ref="B22:C22"/>
    <mergeCell ref="A23:A26"/>
    <mergeCell ref="A28:A29"/>
    <mergeCell ref="A30:C30"/>
    <mergeCell ref="A27:C27"/>
    <mergeCell ref="A1:O1"/>
    <mergeCell ref="A2:J2"/>
    <mergeCell ref="B20:C20"/>
    <mergeCell ref="A3:C4"/>
    <mergeCell ref="B7:C7"/>
    <mergeCell ref="B8:C8"/>
    <mergeCell ref="A5:A7"/>
    <mergeCell ref="B19:C19"/>
    <mergeCell ref="A17:A19"/>
    <mergeCell ref="B14:C14"/>
    <mergeCell ref="A9:A14"/>
    <mergeCell ref="B15:C15"/>
    <mergeCell ref="B16:C16"/>
    <mergeCell ref="D3:D4"/>
    <mergeCell ref="E3:S3"/>
  </mergeCells>
  <phoneticPr fontId="0" type="noConversion"/>
  <printOptions horizontalCentered="1"/>
  <pageMargins left="0.7" right="0.7" top="0.75" bottom="0.75" header="0.3" footer="0.3"/>
  <pageSetup paperSize="9" scale="59" firstPageNumber="41" orientation="landscape" r:id="rId1"/>
  <headerFooter alignWithMargins="0">
    <oddHeader>&amp;R&amp;"Times New Roman,Normál"2. számú melléklet</oddHeader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topLeftCell="D10" zoomScaleNormal="100" workbookViewId="0">
      <selection activeCell="I38" sqref="I38"/>
    </sheetView>
  </sheetViews>
  <sheetFormatPr defaultRowHeight="12.75" x14ac:dyDescent="0.2"/>
  <cols>
    <col min="1" max="1" width="3.5703125" style="251" bestFit="1" customWidth="1"/>
    <col min="2" max="2" width="2.85546875" style="251" customWidth="1"/>
    <col min="3" max="3" width="51.7109375" style="251" customWidth="1"/>
    <col min="4" max="4" width="7.5703125" style="251" customWidth="1"/>
    <col min="5" max="5" width="12.7109375" style="251" bestFit="1" customWidth="1"/>
    <col min="6" max="7" width="12.7109375" style="251" customWidth="1"/>
    <col min="8" max="10" width="10.85546875" style="251" customWidth="1"/>
    <col min="11" max="11" width="12.7109375" style="251" bestFit="1" customWidth="1"/>
    <col min="12" max="12" width="10.140625" style="251" bestFit="1" customWidth="1"/>
    <col min="13" max="14" width="10.140625" style="251" customWidth="1"/>
    <col min="15" max="17" width="10" style="251" customWidth="1"/>
    <col min="18" max="18" width="10.140625" style="251" bestFit="1" customWidth="1"/>
    <col min="19" max="20" width="7" style="251" customWidth="1"/>
    <col min="21" max="22" width="9.42578125" style="251" customWidth="1"/>
    <col min="23" max="23" width="9.42578125" style="251" bestFit="1" customWidth="1"/>
    <col min="24" max="24" width="15" style="251" customWidth="1"/>
    <col min="25" max="16384" width="9.140625" style="251"/>
  </cols>
  <sheetData>
    <row r="1" spans="1:24" ht="21.75" customHeight="1" x14ac:dyDescent="0.2">
      <c r="A1" s="540" t="s">
        <v>448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</row>
    <row r="2" spans="1:24" ht="21" customHeight="1" x14ac:dyDescent="0.2">
      <c r="A2" s="541" t="s">
        <v>102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295" t="s">
        <v>380</v>
      </c>
    </row>
    <row r="3" spans="1:24" ht="28.5" customHeight="1" x14ac:dyDescent="0.2">
      <c r="A3" s="578" t="s">
        <v>36</v>
      </c>
      <c r="B3" s="579"/>
      <c r="C3" s="580"/>
      <c r="D3" s="587" t="s">
        <v>309</v>
      </c>
      <c r="E3" s="590" t="s">
        <v>369</v>
      </c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</row>
    <row r="4" spans="1:24" ht="20.25" customHeight="1" x14ac:dyDescent="0.2">
      <c r="A4" s="581"/>
      <c r="B4" s="582"/>
      <c r="C4" s="583"/>
      <c r="D4" s="588"/>
      <c r="E4" s="578" t="s">
        <v>310</v>
      </c>
      <c r="F4" s="579"/>
      <c r="G4" s="579"/>
      <c r="H4" s="579"/>
      <c r="I4" s="579"/>
      <c r="J4" s="580"/>
      <c r="K4" s="587" t="s">
        <v>200</v>
      </c>
      <c r="L4" s="578" t="s">
        <v>311</v>
      </c>
      <c r="M4" s="579"/>
      <c r="N4" s="579"/>
      <c r="O4" s="579"/>
      <c r="P4" s="579"/>
      <c r="Q4" s="580"/>
      <c r="R4" s="587" t="s">
        <v>200</v>
      </c>
      <c r="S4" s="595" t="s">
        <v>312</v>
      </c>
      <c r="T4" s="596"/>
      <c r="U4" s="596"/>
      <c r="V4" s="597"/>
      <c r="W4" s="587" t="s">
        <v>200</v>
      </c>
      <c r="X4" s="593" t="s">
        <v>99</v>
      </c>
    </row>
    <row r="5" spans="1:24" ht="21.75" customHeight="1" x14ac:dyDescent="0.2">
      <c r="A5" s="584"/>
      <c r="B5" s="585"/>
      <c r="C5" s="586"/>
      <c r="D5" s="589"/>
      <c r="E5" s="252" t="s">
        <v>201</v>
      </c>
      <c r="F5" s="252" t="s">
        <v>439</v>
      </c>
      <c r="G5" s="252" t="s">
        <v>459</v>
      </c>
      <c r="H5" s="252" t="s">
        <v>278</v>
      </c>
      <c r="I5" s="252" t="s">
        <v>439</v>
      </c>
      <c r="J5" s="252" t="s">
        <v>459</v>
      </c>
      <c r="K5" s="589"/>
      <c r="L5" s="252" t="s">
        <v>201</v>
      </c>
      <c r="M5" s="252" t="s">
        <v>439</v>
      </c>
      <c r="N5" s="252" t="s">
        <v>460</v>
      </c>
      <c r="O5" s="252" t="s">
        <v>278</v>
      </c>
      <c r="P5" s="252" t="s">
        <v>439</v>
      </c>
      <c r="Q5" s="252" t="s">
        <v>459</v>
      </c>
      <c r="R5" s="589"/>
      <c r="S5" s="252" t="s">
        <v>201</v>
      </c>
      <c r="T5" s="252" t="s">
        <v>439</v>
      </c>
      <c r="U5" s="252" t="s">
        <v>278</v>
      </c>
      <c r="V5" s="252" t="s">
        <v>439</v>
      </c>
      <c r="W5" s="589"/>
      <c r="X5" s="594"/>
    </row>
    <row r="6" spans="1:24" ht="16.5" customHeight="1" x14ac:dyDescent="0.2">
      <c r="A6" s="571" t="s">
        <v>37</v>
      </c>
      <c r="B6" s="163"/>
      <c r="C6" s="164" t="s">
        <v>252</v>
      </c>
      <c r="D6" s="164" t="s">
        <v>344</v>
      </c>
      <c r="E6" s="165">
        <f>'2. Kiadások'!E5</f>
        <v>32734051</v>
      </c>
      <c r="F6" s="165">
        <v>1808201</v>
      </c>
      <c r="G6" s="165">
        <v>332500</v>
      </c>
      <c r="H6" s="165">
        <f>'2. Kiadások'!J5</f>
        <v>81710304</v>
      </c>
      <c r="I6" s="165">
        <v>299601</v>
      </c>
      <c r="J6" s="165">
        <v>-500000</v>
      </c>
      <c r="K6" s="165">
        <f>SUM(E6:J6)</f>
        <v>116384657</v>
      </c>
      <c r="L6" s="254">
        <v>0</v>
      </c>
      <c r="M6" s="254"/>
      <c r="N6" s="254"/>
      <c r="O6" s="254">
        <v>0</v>
      </c>
      <c r="P6" s="254"/>
      <c r="Q6" s="254"/>
      <c r="R6" s="165">
        <f>SUM(L6:O6)</f>
        <v>0</v>
      </c>
      <c r="S6" s="254">
        <v>0</v>
      </c>
      <c r="T6" s="254"/>
      <c r="U6" s="254">
        <v>0</v>
      </c>
      <c r="V6" s="254"/>
      <c r="W6" s="165">
        <f>SUM(S6:U6)</f>
        <v>0</v>
      </c>
      <c r="X6" s="165">
        <f>K6+R6+W6</f>
        <v>116384657</v>
      </c>
    </row>
    <row r="7" spans="1:24" ht="16.5" customHeight="1" x14ac:dyDescent="0.2">
      <c r="A7" s="571"/>
      <c r="B7" s="163"/>
      <c r="C7" s="164" t="s">
        <v>253</v>
      </c>
      <c r="D7" s="164" t="s">
        <v>345</v>
      </c>
      <c r="E7" s="165">
        <f>'2. Kiadások'!E6</f>
        <v>18853081</v>
      </c>
      <c r="F7" s="165">
        <v>-63830</v>
      </c>
      <c r="G7" s="165">
        <v>-677256</v>
      </c>
      <c r="H7" s="165">
        <f>'2. Kiadások'!J6</f>
        <v>1100000</v>
      </c>
      <c r="I7" s="165">
        <v>0</v>
      </c>
      <c r="J7" s="165">
        <v>0</v>
      </c>
      <c r="K7" s="165">
        <f>SUM(E7:J7)</f>
        <v>19211995</v>
      </c>
      <c r="L7" s="254">
        <v>0</v>
      </c>
      <c r="M7" s="254"/>
      <c r="N7" s="254"/>
      <c r="O7" s="254">
        <v>0</v>
      </c>
      <c r="P7" s="254"/>
      <c r="Q7" s="254"/>
      <c r="R7" s="165">
        <f>SUM(L7:O7)</f>
        <v>0</v>
      </c>
      <c r="S7" s="254">
        <v>0</v>
      </c>
      <c r="T7" s="254"/>
      <c r="U7" s="254">
        <v>0</v>
      </c>
      <c r="V7" s="254"/>
      <c r="W7" s="165">
        <f>SUM(S7:U7)</f>
        <v>0</v>
      </c>
      <c r="X7" s="165">
        <f>K7+R7+W7</f>
        <v>19211995</v>
      </c>
    </row>
    <row r="8" spans="1:24" s="266" customFormat="1" ht="21.75" customHeight="1" x14ac:dyDescent="0.2">
      <c r="A8" s="571"/>
      <c r="B8" s="576" t="s">
        <v>251</v>
      </c>
      <c r="C8" s="576"/>
      <c r="D8" s="258" t="s">
        <v>346</v>
      </c>
      <c r="E8" s="189">
        <f t="shared" ref="E8:K8" si="0">SUM(E6:E7)</f>
        <v>51587132</v>
      </c>
      <c r="F8" s="189">
        <f t="shared" si="0"/>
        <v>1744371</v>
      </c>
      <c r="G8" s="189">
        <f t="shared" si="0"/>
        <v>-344756</v>
      </c>
      <c r="H8" s="189">
        <f t="shared" si="0"/>
        <v>82810304</v>
      </c>
      <c r="I8" s="189">
        <f t="shared" si="0"/>
        <v>299601</v>
      </c>
      <c r="J8" s="189">
        <f t="shared" si="0"/>
        <v>-500000</v>
      </c>
      <c r="K8" s="189">
        <f t="shared" si="0"/>
        <v>135596652</v>
      </c>
      <c r="L8" s="189">
        <f t="shared" ref="L8:X8" si="1">SUM(L6:L7)</f>
        <v>0</v>
      </c>
      <c r="M8" s="189">
        <f t="shared" si="1"/>
        <v>0</v>
      </c>
      <c r="N8" s="189"/>
      <c r="O8" s="189">
        <f t="shared" si="1"/>
        <v>0</v>
      </c>
      <c r="P8" s="189"/>
      <c r="Q8" s="189"/>
      <c r="R8" s="189">
        <f>SUM(R6:R7)</f>
        <v>0</v>
      </c>
      <c r="S8" s="189">
        <f t="shared" si="1"/>
        <v>0</v>
      </c>
      <c r="T8" s="189"/>
      <c r="U8" s="189">
        <f t="shared" si="1"/>
        <v>0</v>
      </c>
      <c r="V8" s="189"/>
      <c r="W8" s="189">
        <f>SUM(W6:W7)</f>
        <v>0</v>
      </c>
      <c r="X8" s="189">
        <f t="shared" si="1"/>
        <v>135596652</v>
      </c>
    </row>
    <row r="9" spans="1:24" s="266" customFormat="1" ht="22.5" customHeight="1" x14ac:dyDescent="0.2">
      <c r="A9" s="267" t="s">
        <v>38</v>
      </c>
      <c r="B9" s="576" t="s">
        <v>254</v>
      </c>
      <c r="C9" s="576"/>
      <c r="D9" s="258" t="s">
        <v>347</v>
      </c>
      <c r="E9" s="189">
        <f>'2. Kiadások'!E8</f>
        <v>8843520</v>
      </c>
      <c r="F9" s="189">
        <v>-38571</v>
      </c>
      <c r="G9" s="189">
        <v>243032</v>
      </c>
      <c r="H9" s="189">
        <f>'2. Kiadások'!J8</f>
        <v>14696450</v>
      </c>
      <c r="I9" s="189">
        <v>-229601</v>
      </c>
      <c r="J9" s="189">
        <v>0</v>
      </c>
      <c r="K9" s="189">
        <f t="shared" ref="K9" si="2">SUM(E9:H9)</f>
        <v>23744431</v>
      </c>
      <c r="L9" s="189">
        <v>0</v>
      </c>
      <c r="M9" s="189"/>
      <c r="N9" s="189"/>
      <c r="O9" s="189">
        <v>0</v>
      </c>
      <c r="P9" s="189"/>
      <c r="Q9" s="189"/>
      <c r="R9" s="189">
        <f t="shared" ref="R9:R11" si="3">SUM(L9:O9)</f>
        <v>0</v>
      </c>
      <c r="S9" s="189">
        <v>0</v>
      </c>
      <c r="T9" s="189"/>
      <c r="U9" s="189">
        <v>0</v>
      </c>
      <c r="V9" s="189"/>
      <c r="W9" s="189">
        <f t="shared" ref="W9:W15" si="4">SUM(S9:U9)</f>
        <v>0</v>
      </c>
      <c r="X9" s="189">
        <f>K9+R9+W9</f>
        <v>23744431</v>
      </c>
    </row>
    <row r="10" spans="1:24" ht="13.5" customHeight="1" x14ac:dyDescent="0.2">
      <c r="A10" s="571" t="s">
        <v>39</v>
      </c>
      <c r="B10" s="163"/>
      <c r="C10" s="164" t="s">
        <v>255</v>
      </c>
      <c r="D10" s="164" t="s">
        <v>348</v>
      </c>
      <c r="E10" s="165">
        <f>'2. Kiadások'!E9</f>
        <v>5717990</v>
      </c>
      <c r="F10" s="165"/>
      <c r="G10" s="165"/>
      <c r="H10" s="165">
        <f>'2. Kiadások'!J9</f>
        <v>2307880</v>
      </c>
      <c r="I10" s="165"/>
      <c r="J10" s="165">
        <v>207672</v>
      </c>
      <c r="K10" s="165">
        <f>SUM(E10:J10)</f>
        <v>8233542</v>
      </c>
      <c r="L10" s="254">
        <v>0</v>
      </c>
      <c r="M10" s="254"/>
      <c r="N10" s="254"/>
      <c r="O10" s="254">
        <v>0</v>
      </c>
      <c r="P10" s="254"/>
      <c r="Q10" s="254"/>
      <c r="R10" s="165">
        <f t="shared" si="3"/>
        <v>0</v>
      </c>
      <c r="S10" s="254">
        <v>0</v>
      </c>
      <c r="T10" s="254"/>
      <c r="U10" s="254">
        <v>0</v>
      </c>
      <c r="V10" s="254"/>
      <c r="W10" s="165">
        <f t="shared" si="4"/>
        <v>0</v>
      </c>
      <c r="X10" s="165">
        <f t="shared" ref="X10:X15" si="5">K10+R10+W10</f>
        <v>8233542</v>
      </c>
    </row>
    <row r="11" spans="1:24" ht="13.5" customHeight="1" x14ac:dyDescent="0.2">
      <c r="A11" s="571"/>
      <c r="B11" s="163"/>
      <c r="C11" s="164" t="s">
        <v>256</v>
      </c>
      <c r="D11" s="164" t="s">
        <v>349</v>
      </c>
      <c r="E11" s="165">
        <f>'2. Kiadások'!E10</f>
        <v>2709418</v>
      </c>
      <c r="F11" s="165"/>
      <c r="G11" s="165"/>
      <c r="H11" s="165">
        <f>'2. Kiadások'!J10</f>
        <v>282840</v>
      </c>
      <c r="I11" s="165"/>
      <c r="J11" s="165">
        <v>59600</v>
      </c>
      <c r="K11" s="165">
        <f t="shared" ref="K11:K15" si="6">SUM(E11:J11)</f>
        <v>3051858</v>
      </c>
      <c r="L11" s="254">
        <v>0</v>
      </c>
      <c r="M11" s="254"/>
      <c r="N11" s="254"/>
      <c r="O11" s="254">
        <v>0</v>
      </c>
      <c r="P11" s="254"/>
      <c r="Q11" s="254"/>
      <c r="R11" s="165">
        <f t="shared" si="3"/>
        <v>0</v>
      </c>
      <c r="S11" s="254">
        <v>0</v>
      </c>
      <c r="T11" s="254"/>
      <c r="U11" s="254">
        <v>0</v>
      </c>
      <c r="V11" s="254"/>
      <c r="W11" s="165">
        <f t="shared" si="4"/>
        <v>0</v>
      </c>
      <c r="X11" s="165">
        <f t="shared" si="5"/>
        <v>3051858</v>
      </c>
    </row>
    <row r="12" spans="1:24" ht="13.5" customHeight="1" x14ac:dyDescent="0.2">
      <c r="A12" s="571"/>
      <c r="B12" s="163"/>
      <c r="C12" s="164" t="s">
        <v>257</v>
      </c>
      <c r="D12" s="164" t="s">
        <v>350</v>
      </c>
      <c r="E12" s="441">
        <f>'2. Kiadások'!E11-114076</f>
        <v>58620177</v>
      </c>
      <c r="F12" s="165">
        <v>0</v>
      </c>
      <c r="G12" s="165"/>
      <c r="H12" s="165">
        <f>'2. Kiadások'!J11-1700000</f>
        <v>3228100</v>
      </c>
      <c r="I12" s="165"/>
      <c r="J12" s="165"/>
      <c r="K12" s="165">
        <f t="shared" si="6"/>
        <v>61848277</v>
      </c>
      <c r="L12" s="254">
        <v>0</v>
      </c>
      <c r="M12" s="254"/>
      <c r="N12" s="254"/>
      <c r="O12" s="165">
        <v>1700000</v>
      </c>
      <c r="P12" s="165">
        <v>407000</v>
      </c>
      <c r="Q12" s="165">
        <v>550000</v>
      </c>
      <c r="R12" s="165">
        <f>SUM(L12:Q12)</f>
        <v>2657000</v>
      </c>
      <c r="S12" s="254">
        <v>0</v>
      </c>
      <c r="T12" s="254"/>
      <c r="U12" s="254">
        <v>0</v>
      </c>
      <c r="V12" s="254"/>
      <c r="W12" s="165">
        <f t="shared" si="4"/>
        <v>0</v>
      </c>
      <c r="X12" s="165">
        <f t="shared" si="5"/>
        <v>64505277</v>
      </c>
    </row>
    <row r="13" spans="1:24" ht="13.5" customHeight="1" x14ac:dyDescent="0.2">
      <c r="A13" s="571"/>
      <c r="B13" s="163"/>
      <c r="C13" s="164" t="s">
        <v>351</v>
      </c>
      <c r="D13" s="164" t="s">
        <v>352</v>
      </c>
      <c r="E13" s="165">
        <v>0</v>
      </c>
      <c r="F13" s="165"/>
      <c r="G13" s="165"/>
      <c r="H13" s="165">
        <v>0</v>
      </c>
      <c r="I13" s="165"/>
      <c r="J13" s="165"/>
      <c r="K13" s="165">
        <f t="shared" si="6"/>
        <v>0</v>
      </c>
      <c r="L13" s="441">
        <v>114076</v>
      </c>
      <c r="M13" s="165">
        <v>1121993</v>
      </c>
      <c r="N13" s="165">
        <v>100000</v>
      </c>
      <c r="O13" s="254">
        <v>0</v>
      </c>
      <c r="P13" s="254"/>
      <c r="Q13" s="254"/>
      <c r="R13" s="165">
        <f t="shared" ref="R13:R15" si="7">SUM(L13:Q13)</f>
        <v>1336069</v>
      </c>
      <c r="S13" s="254">
        <v>0</v>
      </c>
      <c r="T13" s="254"/>
      <c r="U13" s="254">
        <v>0</v>
      </c>
      <c r="V13" s="254"/>
      <c r="W13" s="165">
        <f t="shared" si="4"/>
        <v>0</v>
      </c>
      <c r="X13" s="165">
        <f t="shared" si="5"/>
        <v>1336069</v>
      </c>
    </row>
    <row r="14" spans="1:24" ht="13.5" customHeight="1" x14ac:dyDescent="0.2">
      <c r="A14" s="571"/>
      <c r="B14" s="163"/>
      <c r="C14" s="164" t="s">
        <v>258</v>
      </c>
      <c r="D14" s="164" t="s">
        <v>353</v>
      </c>
      <c r="E14" s="165">
        <f>'2. Kiadások'!E12</f>
        <v>507000</v>
      </c>
      <c r="F14" s="165"/>
      <c r="G14" s="165"/>
      <c r="H14" s="165">
        <f>'2. Kiadások'!J12</f>
        <v>1330000</v>
      </c>
      <c r="I14" s="165"/>
      <c r="J14" s="165"/>
      <c r="K14" s="165">
        <f t="shared" si="6"/>
        <v>1837000</v>
      </c>
      <c r="L14" s="254">
        <v>0</v>
      </c>
      <c r="M14" s="254"/>
      <c r="N14" s="254"/>
      <c r="O14" s="254">
        <v>0</v>
      </c>
      <c r="P14" s="254"/>
      <c r="Q14" s="254"/>
      <c r="R14" s="165">
        <f t="shared" si="7"/>
        <v>0</v>
      </c>
      <c r="S14" s="254">
        <v>0</v>
      </c>
      <c r="T14" s="254"/>
      <c r="U14" s="254">
        <v>0</v>
      </c>
      <c r="V14" s="254"/>
      <c r="W14" s="165">
        <f t="shared" si="4"/>
        <v>0</v>
      </c>
      <c r="X14" s="165">
        <f t="shared" si="5"/>
        <v>1837000</v>
      </c>
    </row>
    <row r="15" spans="1:24" ht="13.5" customHeight="1" x14ac:dyDescent="0.2">
      <c r="A15" s="571"/>
      <c r="B15" s="163"/>
      <c r="C15" s="164" t="s">
        <v>259</v>
      </c>
      <c r="D15" s="164" t="s">
        <v>354</v>
      </c>
      <c r="E15" s="165">
        <f>'2. Kiadások'!E13</f>
        <v>37288356</v>
      </c>
      <c r="F15" s="165"/>
      <c r="G15" s="165"/>
      <c r="H15" s="165">
        <f>'2. Kiadások'!J13</f>
        <v>1171340</v>
      </c>
      <c r="I15" s="165"/>
      <c r="J15" s="165">
        <v>-317272</v>
      </c>
      <c r="K15" s="165">
        <f t="shared" si="6"/>
        <v>38142424</v>
      </c>
      <c r="L15" s="254">
        <v>0</v>
      </c>
      <c r="M15" s="254"/>
      <c r="N15" s="254"/>
      <c r="O15" s="254">
        <v>0</v>
      </c>
      <c r="P15" s="254"/>
      <c r="Q15" s="254"/>
      <c r="R15" s="165">
        <f t="shared" si="7"/>
        <v>0</v>
      </c>
      <c r="S15" s="254">
        <v>0</v>
      </c>
      <c r="T15" s="254"/>
      <c r="U15" s="254">
        <v>0</v>
      </c>
      <c r="V15" s="254"/>
      <c r="W15" s="165">
        <f t="shared" si="4"/>
        <v>0</v>
      </c>
      <c r="X15" s="165">
        <f t="shared" si="5"/>
        <v>38142424</v>
      </c>
    </row>
    <row r="16" spans="1:24" s="266" customFormat="1" ht="19.5" customHeight="1" x14ac:dyDescent="0.2">
      <c r="A16" s="571"/>
      <c r="B16" s="576" t="s">
        <v>260</v>
      </c>
      <c r="C16" s="576"/>
      <c r="D16" s="258" t="s">
        <v>355</v>
      </c>
      <c r="E16" s="189">
        <f>SUM(E10:E15)</f>
        <v>104842941</v>
      </c>
      <c r="F16" s="189">
        <f>SUM(F10:F15)</f>
        <v>0</v>
      </c>
      <c r="G16" s="189"/>
      <c r="H16" s="189">
        <f>SUM(H10:H15)</f>
        <v>8320160</v>
      </c>
      <c r="I16" s="189">
        <f>SUM(I10:I15)</f>
        <v>0</v>
      </c>
      <c r="J16" s="189">
        <f>SUM(J10:J15)</f>
        <v>-50000</v>
      </c>
      <c r="K16" s="189">
        <f>SUM(K10:K15)</f>
        <v>113113101</v>
      </c>
      <c r="L16" s="189">
        <f t="shared" ref="L16:X16" si="8">SUM(L10:L15)</f>
        <v>114076</v>
      </c>
      <c r="M16" s="189">
        <f t="shared" si="8"/>
        <v>1121993</v>
      </c>
      <c r="N16" s="189">
        <f t="shared" si="8"/>
        <v>100000</v>
      </c>
      <c r="O16" s="189">
        <f t="shared" si="8"/>
        <v>1700000</v>
      </c>
      <c r="P16" s="189">
        <f t="shared" ref="P16" si="9">SUM(P10:P15)</f>
        <v>407000</v>
      </c>
      <c r="Q16" s="189">
        <f t="shared" si="8"/>
        <v>550000</v>
      </c>
      <c r="R16" s="189">
        <f>SUM(R10:R15)</f>
        <v>3993069</v>
      </c>
      <c r="S16" s="189">
        <f t="shared" si="8"/>
        <v>0</v>
      </c>
      <c r="T16" s="189"/>
      <c r="U16" s="189">
        <f t="shared" si="8"/>
        <v>0</v>
      </c>
      <c r="V16" s="189"/>
      <c r="W16" s="189">
        <f>SUM(W10:W15)</f>
        <v>0</v>
      </c>
      <c r="X16" s="189">
        <f t="shared" si="8"/>
        <v>117106170</v>
      </c>
    </row>
    <row r="17" spans="1:24" s="266" customFormat="1" ht="25.5" customHeight="1" x14ac:dyDescent="0.2">
      <c r="A17" s="267" t="s">
        <v>40</v>
      </c>
      <c r="B17" s="576" t="s">
        <v>105</v>
      </c>
      <c r="C17" s="576"/>
      <c r="D17" s="258" t="s">
        <v>356</v>
      </c>
      <c r="E17" s="189">
        <f>'2. Kiadások'!E15</f>
        <v>1400000</v>
      </c>
      <c r="F17" s="189"/>
      <c r="G17" s="189"/>
      <c r="H17" s="189">
        <f>'2. Kiadások'!J15</f>
        <v>0</v>
      </c>
      <c r="I17" s="189"/>
      <c r="J17" s="189"/>
      <c r="K17" s="189">
        <f t="shared" ref="K17:K25" si="10">SUM(E17:J17)</f>
        <v>1400000</v>
      </c>
      <c r="L17" s="263">
        <v>0</v>
      </c>
      <c r="M17" s="263"/>
      <c r="N17" s="263"/>
      <c r="O17" s="263">
        <v>0</v>
      </c>
      <c r="P17" s="263"/>
      <c r="Q17" s="263"/>
      <c r="R17" s="189">
        <f>SUM(L17:Q17)</f>
        <v>0</v>
      </c>
      <c r="S17" s="263">
        <v>0</v>
      </c>
      <c r="T17" s="263"/>
      <c r="U17" s="263">
        <v>0</v>
      </c>
      <c r="V17" s="263"/>
      <c r="W17" s="189">
        <f t="shared" ref="W17:W19" si="11">SUM(S17:U17)</f>
        <v>0</v>
      </c>
      <c r="X17" s="189">
        <f>K17+R17+W17</f>
        <v>1400000</v>
      </c>
    </row>
    <row r="18" spans="1:24" s="266" customFormat="1" ht="25.5" customHeight="1" x14ac:dyDescent="0.2">
      <c r="A18" s="267" t="s">
        <v>41</v>
      </c>
      <c r="B18" s="576" t="s">
        <v>261</v>
      </c>
      <c r="C18" s="576"/>
      <c r="D18" s="258" t="s">
        <v>357</v>
      </c>
      <c r="E18" s="189">
        <f>'2. Kiadások'!E16</f>
        <v>5744100</v>
      </c>
      <c r="F18" s="189">
        <v>4350819</v>
      </c>
      <c r="G18" s="189"/>
      <c r="H18" s="189">
        <f>'2. Kiadások'!J16</f>
        <v>0</v>
      </c>
      <c r="I18" s="189"/>
      <c r="J18" s="189"/>
      <c r="K18" s="189">
        <f t="shared" si="10"/>
        <v>10094919</v>
      </c>
      <c r="L18" s="263">
        <v>0</v>
      </c>
      <c r="M18" s="263"/>
      <c r="N18" s="263"/>
      <c r="O18" s="263">
        <v>0</v>
      </c>
      <c r="P18" s="263"/>
      <c r="Q18" s="263"/>
      <c r="R18" s="189">
        <f>SUM(L18:Q18)</f>
        <v>0</v>
      </c>
      <c r="S18" s="263">
        <v>0</v>
      </c>
      <c r="T18" s="263"/>
      <c r="U18" s="263">
        <v>0</v>
      </c>
      <c r="V18" s="263"/>
      <c r="W18" s="189">
        <f t="shared" si="11"/>
        <v>0</v>
      </c>
      <c r="X18" s="189">
        <f>K18+R18+W18</f>
        <v>10094919</v>
      </c>
    </row>
    <row r="19" spans="1:24" ht="25.5" x14ac:dyDescent="0.2">
      <c r="A19" s="573" t="s">
        <v>46</v>
      </c>
      <c r="B19" s="163"/>
      <c r="C19" s="164" t="s">
        <v>262</v>
      </c>
      <c r="D19" s="164" t="s">
        <v>358</v>
      </c>
      <c r="E19" s="165">
        <f>'2. Kiadások'!E17</f>
        <v>247363673</v>
      </c>
      <c r="F19" s="165"/>
      <c r="G19" s="165">
        <v>15000</v>
      </c>
      <c r="H19" s="165">
        <f>'2. Kiadások'!J17</f>
        <v>941822</v>
      </c>
      <c r="I19" s="165"/>
      <c r="J19" s="165"/>
      <c r="K19" s="165">
        <f t="shared" si="10"/>
        <v>248320495</v>
      </c>
      <c r="L19" s="254">
        <v>0</v>
      </c>
      <c r="M19" s="254"/>
      <c r="N19" s="254"/>
      <c r="O19" s="254">
        <v>0</v>
      </c>
      <c r="P19" s="254"/>
      <c r="Q19" s="254"/>
      <c r="R19" s="165">
        <f>SUM(L19:Q19)</f>
        <v>0</v>
      </c>
      <c r="S19" s="254">
        <v>0</v>
      </c>
      <c r="T19" s="254"/>
      <c r="U19" s="254">
        <v>0</v>
      </c>
      <c r="V19" s="254"/>
      <c r="W19" s="165">
        <f t="shared" si="11"/>
        <v>0</v>
      </c>
      <c r="X19" s="165">
        <f t="shared" ref="X19:X20" si="12">K19+R19+W19</f>
        <v>248320495</v>
      </c>
    </row>
    <row r="20" spans="1:24" ht="25.5" x14ac:dyDescent="0.2">
      <c r="A20" s="614"/>
      <c r="B20" s="163"/>
      <c r="C20" s="164" t="s">
        <v>263</v>
      </c>
      <c r="D20" s="164" t="s">
        <v>359</v>
      </c>
      <c r="E20" s="165">
        <f>'2. Kiadások'!E18-33629305</f>
        <v>0</v>
      </c>
      <c r="F20" s="165">
        <v>75000</v>
      </c>
      <c r="G20" s="165">
        <v>240000</v>
      </c>
      <c r="H20" s="165">
        <f>'2. Kiadások'!J18</f>
        <v>0</v>
      </c>
      <c r="I20" s="165"/>
      <c r="J20" s="165"/>
      <c r="K20" s="165">
        <f t="shared" si="10"/>
        <v>315000</v>
      </c>
      <c r="L20" s="165">
        <v>33629305</v>
      </c>
      <c r="M20" s="165"/>
      <c r="N20" s="165"/>
      <c r="O20" s="165">
        <v>0</v>
      </c>
      <c r="P20" s="165"/>
      <c r="Q20" s="165"/>
      <c r="R20" s="165">
        <f>SUM(L20:Q20)</f>
        <v>33629305</v>
      </c>
      <c r="S20" s="254">
        <v>0</v>
      </c>
      <c r="T20" s="254"/>
      <c r="U20" s="254">
        <v>0</v>
      </c>
      <c r="V20" s="254"/>
      <c r="W20" s="254">
        <v>0</v>
      </c>
      <c r="X20" s="165">
        <f t="shared" si="12"/>
        <v>33944305</v>
      </c>
    </row>
    <row r="21" spans="1:24" ht="25.5" customHeight="1" x14ac:dyDescent="0.2">
      <c r="A21" s="574"/>
      <c r="B21" s="576" t="s">
        <v>264</v>
      </c>
      <c r="C21" s="576"/>
      <c r="D21" s="258" t="s">
        <v>421</v>
      </c>
      <c r="E21" s="189">
        <f>SUM(E19:E20)</f>
        <v>247363673</v>
      </c>
      <c r="F21" s="189">
        <f>SUM(F19:F20)</f>
        <v>75000</v>
      </c>
      <c r="G21" s="189">
        <f>SUM(G19:G20)</f>
        <v>255000</v>
      </c>
      <c r="H21" s="189">
        <f t="shared" ref="H21:J21" si="13">SUM(H19:H20)</f>
        <v>941822</v>
      </c>
      <c r="I21" s="189"/>
      <c r="J21" s="189">
        <f t="shared" si="13"/>
        <v>0</v>
      </c>
      <c r="K21" s="189">
        <f t="shared" si="10"/>
        <v>248635495</v>
      </c>
      <c r="L21" s="189">
        <f t="shared" ref="L21:X21" si="14">SUM(L19:L20)</f>
        <v>33629305</v>
      </c>
      <c r="M21" s="189">
        <f t="shared" si="14"/>
        <v>0</v>
      </c>
      <c r="N21" s="189">
        <f t="shared" si="14"/>
        <v>0</v>
      </c>
      <c r="O21" s="189">
        <f t="shared" si="14"/>
        <v>0</v>
      </c>
      <c r="P21" s="189">
        <f t="shared" ref="P21" si="15">SUM(P19:P20)</f>
        <v>0</v>
      </c>
      <c r="Q21" s="189">
        <f t="shared" si="14"/>
        <v>0</v>
      </c>
      <c r="R21" s="189">
        <f t="shared" ref="R21:R27" si="16">SUM(L21:O21)</f>
        <v>33629305</v>
      </c>
      <c r="S21" s="189">
        <f t="shared" si="14"/>
        <v>0</v>
      </c>
      <c r="T21" s="189"/>
      <c r="U21" s="189">
        <f t="shared" si="14"/>
        <v>0</v>
      </c>
      <c r="V21" s="189"/>
      <c r="W21" s="189">
        <f t="shared" ref="W21:W25" si="17">SUM(S21:U21)</f>
        <v>0</v>
      </c>
      <c r="X21" s="189">
        <f t="shared" si="14"/>
        <v>282264800</v>
      </c>
    </row>
    <row r="22" spans="1:24" s="268" customFormat="1" ht="25.5" customHeight="1" x14ac:dyDescent="0.2">
      <c r="A22" s="267" t="s">
        <v>48</v>
      </c>
      <c r="B22" s="598" t="s">
        <v>425</v>
      </c>
      <c r="C22" s="599"/>
      <c r="D22" s="248" t="s">
        <v>360</v>
      </c>
      <c r="E22" s="198">
        <f>'2. Kiadások'!E20</f>
        <v>5288426</v>
      </c>
      <c r="F22" s="198">
        <v>8518220</v>
      </c>
      <c r="G22" s="198">
        <v>11341663</v>
      </c>
      <c r="H22" s="199">
        <f>'2. Kiadások'!J20</f>
        <v>0</v>
      </c>
      <c r="I22" s="199"/>
      <c r="J22" s="199"/>
      <c r="K22" s="199">
        <f t="shared" si="10"/>
        <v>25148309</v>
      </c>
      <c r="L22" s="264">
        <v>0</v>
      </c>
      <c r="M22" s="264"/>
      <c r="N22" s="264"/>
      <c r="O22" s="264">
        <v>0</v>
      </c>
      <c r="P22" s="264"/>
      <c r="Q22" s="264"/>
      <c r="R22" s="199">
        <f t="shared" si="16"/>
        <v>0</v>
      </c>
      <c r="S22" s="264">
        <v>0</v>
      </c>
      <c r="T22" s="264"/>
      <c r="U22" s="264">
        <v>0</v>
      </c>
      <c r="V22" s="264"/>
      <c r="W22" s="199">
        <f t="shared" si="17"/>
        <v>0</v>
      </c>
      <c r="X22" s="189">
        <f>K22+R22+W22</f>
        <v>25148309</v>
      </c>
    </row>
    <row r="23" spans="1:24" s="178" customFormat="1" ht="19.5" customHeight="1" x14ac:dyDescent="0.2">
      <c r="A23" s="269" t="s">
        <v>49</v>
      </c>
      <c r="B23" s="576" t="s">
        <v>265</v>
      </c>
      <c r="C23" s="576"/>
      <c r="D23" s="258" t="s">
        <v>361</v>
      </c>
      <c r="E23" s="189">
        <f>'2. Kiadások'!E21</f>
        <v>804612646</v>
      </c>
      <c r="F23" s="189">
        <v>274610</v>
      </c>
      <c r="G23" s="189">
        <v>16025107</v>
      </c>
      <c r="H23" s="189">
        <f>'2. Kiadások'!J21</f>
        <v>0</v>
      </c>
      <c r="I23" s="189"/>
      <c r="J23" s="189"/>
      <c r="K23" s="189">
        <f t="shared" si="10"/>
        <v>820912363</v>
      </c>
      <c r="L23" s="263">
        <v>0</v>
      </c>
      <c r="M23" s="263"/>
      <c r="N23" s="263"/>
      <c r="O23" s="263">
        <v>0</v>
      </c>
      <c r="P23" s="263"/>
      <c r="Q23" s="263"/>
      <c r="R23" s="189">
        <f t="shared" si="16"/>
        <v>0</v>
      </c>
      <c r="S23" s="263">
        <v>0</v>
      </c>
      <c r="T23" s="263"/>
      <c r="U23" s="263">
        <v>0</v>
      </c>
      <c r="V23" s="263"/>
      <c r="W23" s="189">
        <f t="shared" si="17"/>
        <v>0</v>
      </c>
      <c r="X23" s="189">
        <f>K23+R23+W23</f>
        <v>820912363</v>
      </c>
    </row>
    <row r="24" spans="1:24" s="178" customFormat="1" ht="18.75" customHeight="1" x14ac:dyDescent="0.2">
      <c r="A24" s="269" t="s">
        <v>50</v>
      </c>
      <c r="B24" s="576" t="s">
        <v>151</v>
      </c>
      <c r="C24" s="576"/>
      <c r="D24" s="258" t="s">
        <v>362</v>
      </c>
      <c r="E24" s="189">
        <f>'2. Kiadások'!E22</f>
        <v>123033604</v>
      </c>
      <c r="F24" s="189">
        <v>0</v>
      </c>
      <c r="G24" s="189">
        <v>-6800787</v>
      </c>
      <c r="H24" s="189">
        <f>'2. Kiadások'!J22</f>
        <v>0</v>
      </c>
      <c r="I24" s="189"/>
      <c r="J24" s="189"/>
      <c r="K24" s="189">
        <f t="shared" si="10"/>
        <v>116232817</v>
      </c>
      <c r="L24" s="263">
        <v>0</v>
      </c>
      <c r="M24" s="263"/>
      <c r="N24" s="263"/>
      <c r="O24" s="263">
        <v>0</v>
      </c>
      <c r="P24" s="263"/>
      <c r="Q24" s="263"/>
      <c r="R24" s="189">
        <f t="shared" si="16"/>
        <v>0</v>
      </c>
      <c r="S24" s="263">
        <v>0</v>
      </c>
      <c r="T24" s="263"/>
      <c r="U24" s="263">
        <v>0</v>
      </c>
      <c r="V24" s="263"/>
      <c r="W24" s="189">
        <f t="shared" si="17"/>
        <v>0</v>
      </c>
      <c r="X24" s="189">
        <f>K24+R24+W24</f>
        <v>116232817</v>
      </c>
    </row>
    <row r="25" spans="1:24" ht="25.5" x14ac:dyDescent="0.2">
      <c r="A25" s="573" t="s">
        <v>51</v>
      </c>
      <c r="B25" s="163"/>
      <c r="C25" s="164" t="s">
        <v>266</v>
      </c>
      <c r="D25" s="164" t="s">
        <v>75</v>
      </c>
      <c r="E25" s="165">
        <f>'2. Kiadások'!E23</f>
        <v>0</v>
      </c>
      <c r="F25" s="165">
        <v>1214532</v>
      </c>
      <c r="G25" s="165"/>
      <c r="H25" s="165">
        <f>'2. Kiadások'!J23</f>
        <v>0</v>
      </c>
      <c r="I25" s="165"/>
      <c r="J25" s="165"/>
      <c r="K25" s="165">
        <f t="shared" si="10"/>
        <v>1214532</v>
      </c>
      <c r="L25" s="254">
        <v>0</v>
      </c>
      <c r="M25" s="254"/>
      <c r="N25" s="254"/>
      <c r="O25" s="254">
        <v>0</v>
      </c>
      <c r="P25" s="254"/>
      <c r="Q25" s="254"/>
      <c r="R25" s="165">
        <f t="shared" si="16"/>
        <v>0</v>
      </c>
      <c r="S25" s="254">
        <v>0</v>
      </c>
      <c r="T25" s="254"/>
      <c r="U25" s="254">
        <v>0</v>
      </c>
      <c r="V25" s="254"/>
      <c r="W25" s="165">
        <f t="shared" si="17"/>
        <v>0</v>
      </c>
      <c r="X25" s="165">
        <f t="shared" ref="X25:X27" si="18">K25+R25+W25</f>
        <v>1214532</v>
      </c>
    </row>
    <row r="26" spans="1:24" ht="25.5" x14ac:dyDescent="0.2">
      <c r="A26" s="614"/>
      <c r="B26" s="163"/>
      <c r="C26" s="164" t="s">
        <v>267</v>
      </c>
      <c r="D26" s="164" t="s">
        <v>76</v>
      </c>
      <c r="E26" s="165">
        <f>'2. Kiadások'!E24-2000000</f>
        <v>0</v>
      </c>
      <c r="F26" s="165"/>
      <c r="G26" s="165"/>
      <c r="H26" s="165">
        <f>'2. Kiadások'!J24</f>
        <v>0</v>
      </c>
      <c r="I26" s="165"/>
      <c r="J26" s="165"/>
      <c r="K26" s="165">
        <f t="shared" ref="K26:K27" si="19">SUM(E26:J26)</f>
        <v>0</v>
      </c>
      <c r="L26" s="165">
        <v>2000000</v>
      </c>
      <c r="M26" s="165">
        <v>0</v>
      </c>
      <c r="N26" s="165"/>
      <c r="O26" s="165">
        <v>0</v>
      </c>
      <c r="P26" s="165"/>
      <c r="Q26" s="165"/>
      <c r="R26" s="165">
        <f t="shared" si="16"/>
        <v>2000000</v>
      </c>
      <c r="S26" s="254">
        <v>0</v>
      </c>
      <c r="T26" s="254"/>
      <c r="U26" s="254">
        <v>0</v>
      </c>
      <c r="V26" s="254"/>
      <c r="W26" s="254">
        <v>0</v>
      </c>
      <c r="X26" s="165">
        <f t="shared" si="18"/>
        <v>2000000</v>
      </c>
    </row>
    <row r="27" spans="1:24" ht="25.5" x14ac:dyDescent="0.2">
      <c r="A27" s="614"/>
      <c r="B27" s="163"/>
      <c r="C27" s="164" t="s">
        <v>268</v>
      </c>
      <c r="D27" s="164" t="s">
        <v>424</v>
      </c>
      <c r="E27" s="165">
        <f>'2. Kiadások'!E25</f>
        <v>0</v>
      </c>
      <c r="F27" s="165"/>
      <c r="G27" s="165"/>
      <c r="H27" s="165">
        <f>'2. Kiadások'!J25</f>
        <v>0</v>
      </c>
      <c r="I27" s="165"/>
      <c r="J27" s="165"/>
      <c r="K27" s="165">
        <f t="shared" si="19"/>
        <v>0</v>
      </c>
      <c r="L27" s="254">
        <v>0</v>
      </c>
      <c r="M27" s="254"/>
      <c r="N27" s="254"/>
      <c r="O27" s="254">
        <v>0</v>
      </c>
      <c r="P27" s="254"/>
      <c r="Q27" s="254"/>
      <c r="R27" s="165">
        <f t="shared" si="16"/>
        <v>0</v>
      </c>
      <c r="S27" s="254">
        <v>0</v>
      </c>
      <c r="T27" s="254"/>
      <c r="U27" s="254">
        <v>0</v>
      </c>
      <c r="V27" s="254"/>
      <c r="W27" s="165">
        <f t="shared" ref="W27" si="20">SUM(S27:U27)</f>
        <v>0</v>
      </c>
      <c r="X27" s="165">
        <f t="shared" si="18"/>
        <v>0</v>
      </c>
    </row>
    <row r="28" spans="1:24" s="266" customFormat="1" ht="25.5" customHeight="1" x14ac:dyDescent="0.2">
      <c r="A28" s="574"/>
      <c r="B28" s="576" t="s">
        <v>269</v>
      </c>
      <c r="C28" s="576"/>
      <c r="D28" s="258" t="s">
        <v>363</v>
      </c>
      <c r="E28" s="189">
        <f t="shared" ref="E28:K28" si="21">SUM(E25:E27)</f>
        <v>0</v>
      </c>
      <c r="F28" s="189">
        <f t="shared" si="21"/>
        <v>1214532</v>
      </c>
      <c r="G28" s="189">
        <f t="shared" si="21"/>
        <v>0</v>
      </c>
      <c r="H28" s="189">
        <f t="shared" si="21"/>
        <v>0</v>
      </c>
      <c r="I28" s="189">
        <f t="shared" si="21"/>
        <v>0</v>
      </c>
      <c r="J28" s="189">
        <f t="shared" si="21"/>
        <v>0</v>
      </c>
      <c r="K28" s="189">
        <f t="shared" si="21"/>
        <v>1214532</v>
      </c>
      <c r="L28" s="189">
        <f t="shared" ref="L28:U28" si="22">SUM(L25:L27)</f>
        <v>2000000</v>
      </c>
      <c r="M28" s="189">
        <f t="shared" si="22"/>
        <v>0</v>
      </c>
      <c r="N28" s="189">
        <f t="shared" si="22"/>
        <v>0</v>
      </c>
      <c r="O28" s="189">
        <f t="shared" si="22"/>
        <v>0</v>
      </c>
      <c r="P28" s="189">
        <f t="shared" ref="P28" si="23">SUM(P25:P27)</f>
        <v>0</v>
      </c>
      <c r="Q28" s="189">
        <f t="shared" si="22"/>
        <v>0</v>
      </c>
      <c r="R28" s="189">
        <f>SUM(R25:R27)</f>
        <v>2000000</v>
      </c>
      <c r="S28" s="189">
        <f t="shared" si="22"/>
        <v>0</v>
      </c>
      <c r="T28" s="189"/>
      <c r="U28" s="189">
        <f t="shared" si="22"/>
        <v>0</v>
      </c>
      <c r="V28" s="189"/>
      <c r="W28" s="189">
        <f>SUM(W25:W27)</f>
        <v>0</v>
      </c>
      <c r="X28" s="189">
        <f>K28+R28+W28</f>
        <v>3214532</v>
      </c>
    </row>
    <row r="29" spans="1:24" s="266" customFormat="1" ht="25.5" customHeight="1" x14ac:dyDescent="0.2">
      <c r="A29" s="569" t="s">
        <v>270</v>
      </c>
      <c r="B29" s="569"/>
      <c r="C29" s="569"/>
      <c r="D29" s="260" t="s">
        <v>364</v>
      </c>
      <c r="E29" s="191">
        <f t="shared" ref="E29:J29" si="24">E8+E9+E16+E17+E18+E21+E23+E24+E28+E22</f>
        <v>1352716042</v>
      </c>
      <c r="F29" s="191">
        <f t="shared" si="24"/>
        <v>16138981</v>
      </c>
      <c r="G29" s="191">
        <f t="shared" si="24"/>
        <v>20719259</v>
      </c>
      <c r="H29" s="191">
        <f t="shared" si="24"/>
        <v>106768736</v>
      </c>
      <c r="I29" s="191">
        <f t="shared" si="24"/>
        <v>70000</v>
      </c>
      <c r="J29" s="191">
        <f t="shared" si="24"/>
        <v>-550000</v>
      </c>
      <c r="K29" s="191">
        <f t="shared" ref="K29:X29" si="25">K8+K9+K16+K17+K18+K21+K23+K24+K28+K22</f>
        <v>1496092619</v>
      </c>
      <c r="L29" s="191">
        <f t="shared" si="25"/>
        <v>35743381</v>
      </c>
      <c r="M29" s="191">
        <f t="shared" si="25"/>
        <v>1121993</v>
      </c>
      <c r="N29" s="191">
        <f t="shared" si="25"/>
        <v>100000</v>
      </c>
      <c r="O29" s="191">
        <f t="shared" si="25"/>
        <v>1700000</v>
      </c>
      <c r="P29" s="191">
        <f t="shared" ref="P29" si="26">P8+P9+P16+P17+P18+P21+P23+P24+P28+P22</f>
        <v>407000</v>
      </c>
      <c r="Q29" s="191">
        <f t="shared" si="25"/>
        <v>550000</v>
      </c>
      <c r="R29" s="191">
        <f t="shared" si="25"/>
        <v>39622374</v>
      </c>
      <c r="S29" s="191">
        <f t="shared" si="25"/>
        <v>0</v>
      </c>
      <c r="T29" s="191"/>
      <c r="U29" s="191">
        <f t="shared" si="25"/>
        <v>0</v>
      </c>
      <c r="V29" s="191"/>
      <c r="W29" s="191">
        <f t="shared" si="25"/>
        <v>0</v>
      </c>
      <c r="X29" s="191">
        <f t="shared" si="25"/>
        <v>1535714993</v>
      </c>
    </row>
    <row r="30" spans="1:24" x14ac:dyDescent="0.2">
      <c r="A30" s="573" t="s">
        <v>23</v>
      </c>
      <c r="B30" s="163"/>
      <c r="C30" s="164" t="s">
        <v>273</v>
      </c>
      <c r="D30" s="164" t="s">
        <v>365</v>
      </c>
      <c r="E30" s="165">
        <f>'2. Kiadások'!E28</f>
        <v>11319727</v>
      </c>
      <c r="F30" s="165"/>
      <c r="G30" s="165"/>
      <c r="H30" s="165">
        <f>'2. Kiadások'!J28</f>
        <v>0</v>
      </c>
      <c r="I30" s="165"/>
      <c r="J30" s="165"/>
      <c r="K30" s="165">
        <f>SUM(E30:H30)</f>
        <v>11319727</v>
      </c>
      <c r="L30" s="254">
        <v>0</v>
      </c>
      <c r="M30" s="254"/>
      <c r="N30" s="254"/>
      <c r="O30" s="254">
        <v>0</v>
      </c>
      <c r="P30" s="254"/>
      <c r="Q30" s="254"/>
      <c r="R30" s="165">
        <f>SUM(L30:O30)</f>
        <v>0</v>
      </c>
      <c r="S30" s="254">
        <v>0</v>
      </c>
      <c r="T30" s="254"/>
      <c r="U30" s="254">
        <v>0</v>
      </c>
      <c r="V30" s="254"/>
      <c r="W30" s="165">
        <f>SUM(S30:U30)</f>
        <v>0</v>
      </c>
      <c r="X30" s="165">
        <f t="shared" ref="X30:X31" si="27">K30+R30+W30</f>
        <v>11319727</v>
      </c>
    </row>
    <row r="31" spans="1:24" x14ac:dyDescent="0.2">
      <c r="A31" s="574"/>
      <c r="B31" s="163"/>
      <c r="C31" s="164" t="s">
        <v>274</v>
      </c>
      <c r="D31" s="164" t="s">
        <v>77</v>
      </c>
      <c r="E31" s="165">
        <f>'2. Kiadások'!E29</f>
        <v>105524914</v>
      </c>
      <c r="F31" s="165"/>
      <c r="G31" s="165"/>
      <c r="H31" s="165">
        <f>'2. Kiadások'!J29</f>
        <v>0</v>
      </c>
      <c r="I31" s="165"/>
      <c r="J31" s="165"/>
      <c r="K31" s="165">
        <f>SUM(E31:H31)</f>
        <v>105524914</v>
      </c>
      <c r="L31" s="254">
        <v>0</v>
      </c>
      <c r="M31" s="254"/>
      <c r="N31" s="254"/>
      <c r="O31" s="254">
        <v>0</v>
      </c>
      <c r="P31" s="254"/>
      <c r="Q31" s="254"/>
      <c r="R31" s="165">
        <f>SUM(L31:O31)</f>
        <v>0</v>
      </c>
      <c r="S31" s="254">
        <v>0</v>
      </c>
      <c r="T31" s="254"/>
      <c r="U31" s="254">
        <v>0</v>
      </c>
      <c r="V31" s="254"/>
      <c r="W31" s="165">
        <f>SUM(S31:U31)</f>
        <v>0</v>
      </c>
      <c r="X31" s="165">
        <f t="shared" si="27"/>
        <v>105524914</v>
      </c>
    </row>
    <row r="32" spans="1:24" s="266" customFormat="1" ht="22.5" customHeight="1" x14ac:dyDescent="0.2">
      <c r="A32" s="611" t="s">
        <v>271</v>
      </c>
      <c r="B32" s="612"/>
      <c r="C32" s="613"/>
      <c r="D32" s="265" t="s">
        <v>366</v>
      </c>
      <c r="E32" s="191">
        <f t="shared" ref="E32:K32" si="28">SUM(E30:E31)</f>
        <v>116844641</v>
      </c>
      <c r="F32" s="191">
        <f t="shared" si="28"/>
        <v>0</v>
      </c>
      <c r="G32" s="191">
        <f t="shared" si="28"/>
        <v>0</v>
      </c>
      <c r="H32" s="191">
        <f t="shared" si="28"/>
        <v>0</v>
      </c>
      <c r="I32" s="191">
        <f t="shared" si="28"/>
        <v>0</v>
      </c>
      <c r="J32" s="191">
        <f t="shared" si="28"/>
        <v>0</v>
      </c>
      <c r="K32" s="191">
        <f t="shared" si="28"/>
        <v>116844641</v>
      </c>
      <c r="L32" s="191">
        <f t="shared" ref="L32:X32" si="29">SUM(L30:L31)</f>
        <v>0</v>
      </c>
      <c r="M32" s="191"/>
      <c r="N32" s="191"/>
      <c r="O32" s="191">
        <f t="shared" si="29"/>
        <v>0</v>
      </c>
      <c r="P32" s="191">
        <f t="shared" ref="P32" si="30">SUM(P30:P31)</f>
        <v>0</v>
      </c>
      <c r="Q32" s="191">
        <f t="shared" si="29"/>
        <v>0</v>
      </c>
      <c r="R32" s="191">
        <f>SUM(R30:R31)</f>
        <v>0</v>
      </c>
      <c r="S32" s="191">
        <f t="shared" si="29"/>
        <v>0</v>
      </c>
      <c r="T32" s="191"/>
      <c r="U32" s="191">
        <f t="shared" si="29"/>
        <v>0</v>
      </c>
      <c r="V32" s="191"/>
      <c r="W32" s="191">
        <f>SUM(W30:W31)</f>
        <v>0</v>
      </c>
      <c r="X32" s="191">
        <f t="shared" si="29"/>
        <v>116844641</v>
      </c>
    </row>
    <row r="33" spans="1:24" s="158" customFormat="1" ht="22.5" customHeight="1" x14ac:dyDescent="0.2">
      <c r="A33" s="570" t="s">
        <v>272</v>
      </c>
      <c r="B33" s="570"/>
      <c r="C33" s="570"/>
      <c r="D33" s="249"/>
      <c r="E33" s="174">
        <f>E29+E32</f>
        <v>1469560683</v>
      </c>
      <c r="F33" s="174">
        <f t="shared" ref="F33:H33" si="31">F29+F32</f>
        <v>16138981</v>
      </c>
      <c r="G33" s="174">
        <f>G29+G32</f>
        <v>20719259</v>
      </c>
      <c r="H33" s="174">
        <f t="shared" si="31"/>
        <v>106768736</v>
      </c>
      <c r="I33" s="174">
        <f>I29+I32</f>
        <v>70000</v>
      </c>
      <c r="J33" s="174">
        <f>J29+J32</f>
        <v>-550000</v>
      </c>
      <c r="K33" s="174">
        <f>K29+K32</f>
        <v>1612937260</v>
      </c>
      <c r="L33" s="174">
        <f t="shared" ref="L33:X33" si="32">L29+L32</f>
        <v>35743381</v>
      </c>
      <c r="M33" s="174">
        <f t="shared" si="32"/>
        <v>1121993</v>
      </c>
      <c r="N33" s="174">
        <f t="shared" si="32"/>
        <v>100000</v>
      </c>
      <c r="O33" s="174">
        <f t="shared" si="32"/>
        <v>1700000</v>
      </c>
      <c r="P33" s="174">
        <f t="shared" ref="P33" si="33">P29+P32</f>
        <v>407000</v>
      </c>
      <c r="Q33" s="174">
        <f t="shared" si="32"/>
        <v>550000</v>
      </c>
      <c r="R33" s="174">
        <f>R29+R32</f>
        <v>39622374</v>
      </c>
      <c r="S33" s="174">
        <f t="shared" si="32"/>
        <v>0</v>
      </c>
      <c r="T33" s="174"/>
      <c r="U33" s="174">
        <f t="shared" si="32"/>
        <v>0</v>
      </c>
      <c r="V33" s="174"/>
      <c r="W33" s="174">
        <f>W29+W32</f>
        <v>0</v>
      </c>
      <c r="X33" s="174">
        <f t="shared" si="32"/>
        <v>1652559634</v>
      </c>
    </row>
  </sheetData>
  <mergeCells count="30">
    <mergeCell ref="X4:X5"/>
    <mergeCell ref="B16:C16"/>
    <mergeCell ref="A3:C5"/>
    <mergeCell ref="D3:D5"/>
    <mergeCell ref="E3:X3"/>
    <mergeCell ref="K4:K5"/>
    <mergeCell ref="R4:R5"/>
    <mergeCell ref="E4:J4"/>
    <mergeCell ref="L4:Q4"/>
    <mergeCell ref="B28:C28"/>
    <mergeCell ref="A29:C29"/>
    <mergeCell ref="A30:A31"/>
    <mergeCell ref="W4:W5"/>
    <mergeCell ref="S4:V4"/>
    <mergeCell ref="A1:X1"/>
    <mergeCell ref="A2:W2"/>
    <mergeCell ref="A32:C32"/>
    <mergeCell ref="A33:C33"/>
    <mergeCell ref="A6:A8"/>
    <mergeCell ref="B8:C8"/>
    <mergeCell ref="B9:C9"/>
    <mergeCell ref="A10:A16"/>
    <mergeCell ref="B18:C18"/>
    <mergeCell ref="A19:A21"/>
    <mergeCell ref="B24:C24"/>
    <mergeCell ref="A25:A28"/>
    <mergeCell ref="B17:C17"/>
    <mergeCell ref="B21:C21"/>
    <mergeCell ref="B22:C22"/>
    <mergeCell ref="B23:C23"/>
  </mergeCells>
  <pageMargins left="0.7" right="0.7" top="0.75" bottom="0.75" header="0.3" footer="0.3"/>
  <pageSetup paperSize="9" scale="48" orientation="landscape" r:id="rId1"/>
  <headerFooter>
    <oddHeader>&amp;R2.1.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topLeftCell="J1" zoomScaleNormal="100" workbookViewId="0">
      <selection activeCell="R14" sqref="R14"/>
    </sheetView>
  </sheetViews>
  <sheetFormatPr defaultRowHeight="12.75" x14ac:dyDescent="0.2"/>
  <cols>
    <col min="1" max="1" width="5.85546875" style="183" customWidth="1"/>
    <col min="2" max="2" width="47.28515625" style="184" customWidth="1"/>
    <col min="3" max="7" width="13" style="184" customWidth="1"/>
    <col min="8" max="8" width="12.28515625" style="184" customWidth="1"/>
    <col min="9" max="9" width="13.28515625" style="184" bestFit="1" customWidth="1"/>
    <col min="10" max="10" width="13.28515625" style="184" customWidth="1"/>
    <col min="11" max="12" width="12.28515625" style="184" customWidth="1"/>
    <col min="13" max="13" width="16.5703125" style="195" bestFit="1" customWidth="1"/>
    <col min="14" max="14" width="47.28515625" style="183" customWidth="1"/>
    <col min="15" max="19" width="14.7109375" style="183" customWidth="1"/>
    <col min="20" max="24" width="13.42578125" style="183" customWidth="1"/>
    <col min="25" max="25" width="16.5703125" style="183" bestFit="1" customWidth="1"/>
    <col min="26" max="26" width="4.140625" style="183" customWidth="1"/>
    <col min="27" max="16384" width="9.140625" style="183"/>
  </cols>
  <sheetData>
    <row r="1" spans="1:26" ht="39.75" customHeight="1" x14ac:dyDescent="0.2">
      <c r="A1" s="181"/>
      <c r="B1" s="89" t="s">
        <v>381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194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615"/>
    </row>
    <row r="2" spans="1:26" ht="14.25" thickBot="1" x14ac:dyDescent="0.25">
      <c r="Y2" s="90" t="s">
        <v>216</v>
      </c>
      <c r="Z2" s="615"/>
    </row>
    <row r="3" spans="1:26" ht="18" customHeight="1" thickBot="1" x14ac:dyDescent="0.25">
      <c r="A3" s="616" t="s">
        <v>100</v>
      </c>
      <c r="B3" s="91" t="s">
        <v>101</v>
      </c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92"/>
      <c r="N3" s="91" t="s">
        <v>102</v>
      </c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615"/>
    </row>
    <row r="4" spans="1:26" s="95" customFormat="1" ht="35.25" customHeight="1" thickBot="1" x14ac:dyDescent="0.25">
      <c r="A4" s="617"/>
      <c r="B4" s="350" t="s">
        <v>36</v>
      </c>
      <c r="C4" s="363" t="s">
        <v>201</v>
      </c>
      <c r="D4" s="428" t="s">
        <v>426</v>
      </c>
      <c r="E4" s="428" t="s">
        <v>442</v>
      </c>
      <c r="F4" s="428" t="s">
        <v>431</v>
      </c>
      <c r="G4" s="428" t="s">
        <v>428</v>
      </c>
      <c r="H4" s="333" t="s">
        <v>89</v>
      </c>
      <c r="I4" s="428" t="s">
        <v>426</v>
      </c>
      <c r="J4" s="428" t="s">
        <v>442</v>
      </c>
      <c r="K4" s="428" t="s">
        <v>431</v>
      </c>
      <c r="L4" s="428" t="s">
        <v>428</v>
      </c>
      <c r="M4" s="94" t="s">
        <v>416</v>
      </c>
      <c r="N4" s="93" t="s">
        <v>36</v>
      </c>
      <c r="O4" s="333" t="s">
        <v>201</v>
      </c>
      <c r="P4" s="428" t="s">
        <v>426</v>
      </c>
      <c r="Q4" s="428" t="s">
        <v>442</v>
      </c>
      <c r="R4" s="428" t="s">
        <v>431</v>
      </c>
      <c r="S4" s="428" t="s">
        <v>428</v>
      </c>
      <c r="T4" s="333" t="s">
        <v>89</v>
      </c>
      <c r="U4" s="428" t="s">
        <v>426</v>
      </c>
      <c r="V4" s="428" t="s">
        <v>442</v>
      </c>
      <c r="W4" s="428" t="s">
        <v>431</v>
      </c>
      <c r="X4" s="428" t="s">
        <v>428</v>
      </c>
      <c r="Y4" s="94" t="s">
        <v>416</v>
      </c>
      <c r="Z4" s="615"/>
    </row>
    <row r="5" spans="1:26" s="100" customFormat="1" ht="12" customHeight="1" thickBot="1" x14ac:dyDescent="0.25">
      <c r="A5" s="96">
        <v>1</v>
      </c>
      <c r="B5" s="351">
        <v>2</v>
      </c>
      <c r="C5" s="96"/>
      <c r="D5" s="344"/>
      <c r="E5" s="344"/>
      <c r="F5" s="344"/>
      <c r="G5" s="344"/>
      <c r="H5" s="334"/>
      <c r="I5" s="334"/>
      <c r="J5" s="334"/>
      <c r="K5" s="334"/>
      <c r="L5" s="334"/>
      <c r="M5" s="98" t="s">
        <v>39</v>
      </c>
      <c r="N5" s="351" t="s">
        <v>40</v>
      </c>
      <c r="O5" s="449"/>
      <c r="P5" s="344"/>
      <c r="Q5" s="344"/>
      <c r="R5" s="344"/>
      <c r="S5" s="344"/>
      <c r="T5" s="344"/>
      <c r="U5" s="344"/>
      <c r="V5" s="344"/>
      <c r="W5" s="344"/>
      <c r="X5" s="334"/>
      <c r="Y5" s="99" t="s">
        <v>41</v>
      </c>
      <c r="Z5" s="615"/>
    </row>
    <row r="6" spans="1:26" ht="12.95" customHeight="1" x14ac:dyDescent="0.2">
      <c r="A6" s="185" t="s">
        <v>37</v>
      </c>
      <c r="B6" s="352" t="s">
        <v>12</v>
      </c>
      <c r="C6" s="367">
        <f>'1. Bevételek'!E24</f>
        <v>181104000</v>
      </c>
      <c r="D6" s="335">
        <v>-12874005</v>
      </c>
      <c r="E6" s="335">
        <f>F6-D6-C6</f>
        <v>179701</v>
      </c>
      <c r="F6" s="477">
        <v>168409696</v>
      </c>
      <c r="G6" s="335">
        <v>147707061</v>
      </c>
      <c r="H6" s="335">
        <f>M6-C6</f>
        <v>0</v>
      </c>
      <c r="I6" s="335"/>
      <c r="J6" s="335"/>
      <c r="K6" s="335"/>
      <c r="L6" s="335"/>
      <c r="M6" s="179">
        <f>'1. Bevételek'!O24</f>
        <v>181104000</v>
      </c>
      <c r="N6" s="352" t="s">
        <v>1</v>
      </c>
      <c r="O6" s="448">
        <f>'2. Kiadások'!E7</f>
        <v>51587132</v>
      </c>
      <c r="P6" s="407">
        <v>1744371</v>
      </c>
      <c r="Q6" s="407">
        <f>R6-P6-O6</f>
        <v>-344756</v>
      </c>
      <c r="R6" s="414">
        <v>52986747</v>
      </c>
      <c r="S6" s="414">
        <v>31640882</v>
      </c>
      <c r="T6" s="407">
        <f>Y6-O6</f>
        <v>82810304</v>
      </c>
      <c r="U6" s="407">
        <v>299601</v>
      </c>
      <c r="V6" s="407">
        <f>W6-U6-T6</f>
        <v>-500000</v>
      </c>
      <c r="W6" s="407">
        <v>82609905</v>
      </c>
      <c r="X6" s="407">
        <v>58036578</v>
      </c>
      <c r="Y6" s="102">
        <f>'2. Kiadások'!O7</f>
        <v>134397436</v>
      </c>
      <c r="Z6" s="615"/>
    </row>
    <row r="7" spans="1:26" ht="12.95" customHeight="1" x14ac:dyDescent="0.2">
      <c r="A7" s="186" t="s">
        <v>38</v>
      </c>
      <c r="B7" s="353" t="s">
        <v>204</v>
      </c>
      <c r="C7" s="103">
        <f>'1. Bevételek'!E33</f>
        <v>17865603</v>
      </c>
      <c r="D7" s="335">
        <v>2859860</v>
      </c>
      <c r="E7" s="335">
        <f t="shared" ref="E7:E10" si="0">F7-D7-C7</f>
        <v>2245011</v>
      </c>
      <c r="F7" s="335">
        <v>22970474</v>
      </c>
      <c r="G7" s="335">
        <v>14984125</v>
      </c>
      <c r="H7" s="335">
        <f t="shared" ref="H7:H10" si="1">M7-C7</f>
        <v>2002000</v>
      </c>
      <c r="I7" s="335">
        <v>407000</v>
      </c>
      <c r="J7" s="335">
        <f>K7-I7-H7</f>
        <v>0</v>
      </c>
      <c r="K7" s="335">
        <v>2409000</v>
      </c>
      <c r="L7" s="335">
        <v>1523731</v>
      </c>
      <c r="M7" s="104">
        <f>'1. Bevételek'!O33</f>
        <v>19867603</v>
      </c>
      <c r="N7" s="353" t="s">
        <v>103</v>
      </c>
      <c r="O7" s="383">
        <f>'2. Kiadások'!E8</f>
        <v>8843520</v>
      </c>
      <c r="P7" s="407">
        <v>-38571</v>
      </c>
      <c r="Q7" s="407">
        <f t="shared" ref="Q7:Q14" si="2">R7-P7-O7</f>
        <v>243032</v>
      </c>
      <c r="R7" s="366">
        <v>9047981</v>
      </c>
      <c r="S7" s="366">
        <v>4898842</v>
      </c>
      <c r="T7" s="372">
        <f t="shared" ref="T7:T11" si="3">Y7-O7</f>
        <v>14696450</v>
      </c>
      <c r="U7" s="407">
        <v>-299601</v>
      </c>
      <c r="V7" s="407">
        <f t="shared" ref="V7:V10" si="4">W7-U7-T7</f>
        <v>0</v>
      </c>
      <c r="W7" s="372">
        <v>14396849</v>
      </c>
      <c r="X7" s="372">
        <v>10411571</v>
      </c>
      <c r="Y7" s="105">
        <f>'2. Kiadások'!O8</f>
        <v>23539970</v>
      </c>
      <c r="Z7" s="615"/>
    </row>
    <row r="8" spans="1:26" ht="12.95" customHeight="1" x14ac:dyDescent="0.2">
      <c r="A8" s="186" t="s">
        <v>39</v>
      </c>
      <c r="B8" s="353" t="s">
        <v>104</v>
      </c>
      <c r="C8" s="103"/>
      <c r="D8" s="335">
        <v>0</v>
      </c>
      <c r="E8" s="335">
        <f t="shared" si="0"/>
        <v>0</v>
      </c>
      <c r="F8" s="476"/>
      <c r="G8" s="476"/>
      <c r="H8" s="335">
        <f t="shared" si="1"/>
        <v>0</v>
      </c>
      <c r="I8" s="335"/>
      <c r="J8" s="335"/>
      <c r="K8" s="335"/>
      <c r="L8" s="335"/>
      <c r="M8" s="104"/>
      <c r="N8" s="353" t="s">
        <v>33</v>
      </c>
      <c r="O8" s="383">
        <f>'2. Kiadások'!E14</f>
        <v>104957017</v>
      </c>
      <c r="P8" s="407">
        <v>1121993</v>
      </c>
      <c r="Q8" s="407">
        <f t="shared" si="2"/>
        <v>100000</v>
      </c>
      <c r="R8" s="366">
        <v>106179010</v>
      </c>
      <c r="S8" s="366">
        <v>44892836</v>
      </c>
      <c r="T8" s="372">
        <f t="shared" si="3"/>
        <v>10020160</v>
      </c>
      <c r="U8" s="407">
        <v>407000</v>
      </c>
      <c r="V8" s="407">
        <f t="shared" si="4"/>
        <v>500000</v>
      </c>
      <c r="W8" s="372">
        <v>10927160</v>
      </c>
      <c r="X8" s="372">
        <v>8107673</v>
      </c>
      <c r="Y8" s="105">
        <f>'2. Kiadások'!O14</f>
        <v>114977177</v>
      </c>
      <c r="Z8" s="615"/>
    </row>
    <row r="9" spans="1:26" ht="12.95" customHeight="1" x14ac:dyDescent="0.2">
      <c r="A9" s="186" t="s">
        <v>40</v>
      </c>
      <c r="B9" s="106" t="s">
        <v>205</v>
      </c>
      <c r="C9" s="103">
        <f>'1. Bevételek'!E10</f>
        <v>282993159</v>
      </c>
      <c r="D9" s="335">
        <v>25386491</v>
      </c>
      <c r="E9" s="335">
        <f t="shared" si="0"/>
        <v>2273282</v>
      </c>
      <c r="F9" s="335">
        <v>310652932</v>
      </c>
      <c r="G9" s="335">
        <v>239767915</v>
      </c>
      <c r="H9" s="335">
        <f t="shared" si="1"/>
        <v>0</v>
      </c>
      <c r="I9" s="335"/>
      <c r="J9" s="335"/>
      <c r="K9" s="335"/>
      <c r="L9" s="335"/>
      <c r="M9" s="104">
        <f>'1. Bevételek'!O10</f>
        <v>282993159</v>
      </c>
      <c r="N9" s="353" t="s">
        <v>105</v>
      </c>
      <c r="O9" s="383">
        <f>'2. Kiadások'!E15</f>
        <v>1400000</v>
      </c>
      <c r="P9" s="407">
        <v>0</v>
      </c>
      <c r="Q9" s="407">
        <f t="shared" si="2"/>
        <v>0</v>
      </c>
      <c r="R9" s="366">
        <v>1400000</v>
      </c>
      <c r="S9" s="366">
        <v>575125</v>
      </c>
      <c r="T9" s="372">
        <f t="shared" si="3"/>
        <v>0</v>
      </c>
      <c r="U9" s="407">
        <v>0</v>
      </c>
      <c r="V9" s="407">
        <f t="shared" si="4"/>
        <v>0</v>
      </c>
      <c r="W9" s="372"/>
      <c r="X9" s="372"/>
      <c r="Y9" s="105">
        <f>'2. Kiadások'!O15</f>
        <v>1400000</v>
      </c>
      <c r="Z9" s="615"/>
    </row>
    <row r="10" spans="1:26" ht="12.95" customHeight="1" x14ac:dyDescent="0.2">
      <c r="A10" s="186" t="s">
        <v>41</v>
      </c>
      <c r="B10" s="353" t="s">
        <v>106</v>
      </c>
      <c r="C10" s="103">
        <f>'1. Bevételek'!E15</f>
        <v>52929148</v>
      </c>
      <c r="D10" s="335">
        <v>1762500</v>
      </c>
      <c r="E10" s="335">
        <f t="shared" si="0"/>
        <v>121276</v>
      </c>
      <c r="F10" s="335">
        <v>54812924</v>
      </c>
      <c r="G10" s="335">
        <v>28134748</v>
      </c>
      <c r="H10" s="335">
        <f t="shared" si="1"/>
        <v>0</v>
      </c>
      <c r="I10" s="335"/>
      <c r="J10" s="335"/>
      <c r="K10" s="335"/>
      <c r="L10" s="335"/>
      <c r="M10" s="104">
        <f>'1. Bevételek'!O15</f>
        <v>52929148</v>
      </c>
      <c r="N10" s="353" t="s">
        <v>107</v>
      </c>
      <c r="O10" s="383">
        <f>'2. Kiadások'!E19</f>
        <v>280992978</v>
      </c>
      <c r="P10" s="407">
        <v>75000</v>
      </c>
      <c r="Q10" s="407">
        <f t="shared" si="2"/>
        <v>255000</v>
      </c>
      <c r="R10" s="366">
        <v>281322978</v>
      </c>
      <c r="S10" s="366">
        <v>189537316</v>
      </c>
      <c r="T10" s="372">
        <f t="shared" si="3"/>
        <v>941822</v>
      </c>
      <c r="U10" s="407">
        <v>0</v>
      </c>
      <c r="V10" s="407">
        <f t="shared" si="4"/>
        <v>0</v>
      </c>
      <c r="W10" s="372">
        <v>941822</v>
      </c>
      <c r="X10" s="372">
        <v>0</v>
      </c>
      <c r="Y10" s="105">
        <f>'2. Kiadások'!O19</f>
        <v>281934800</v>
      </c>
      <c r="Z10" s="615"/>
    </row>
    <row r="11" spans="1:26" ht="12.95" customHeight="1" x14ac:dyDescent="0.2">
      <c r="A11" s="186" t="s">
        <v>46</v>
      </c>
      <c r="B11" s="353" t="s">
        <v>108</v>
      </c>
      <c r="C11" s="103"/>
      <c r="D11" s="338"/>
      <c r="E11" s="338"/>
      <c r="F11" s="338"/>
      <c r="G11" s="338"/>
      <c r="H11" s="338"/>
      <c r="I11" s="338"/>
      <c r="J11" s="338"/>
      <c r="K11" s="338"/>
      <c r="L11" s="338"/>
      <c r="M11" s="107"/>
      <c r="N11" s="353" t="s">
        <v>425</v>
      </c>
      <c r="O11" s="383">
        <f>'2. Kiadások'!E20</f>
        <v>5288426</v>
      </c>
      <c r="P11" s="407">
        <v>8518220</v>
      </c>
      <c r="Q11" s="407">
        <f t="shared" si="2"/>
        <v>11341663</v>
      </c>
      <c r="R11" s="366">
        <v>25148309</v>
      </c>
      <c r="S11" s="490"/>
      <c r="T11" s="372">
        <f t="shared" si="3"/>
        <v>0</v>
      </c>
      <c r="U11" s="407">
        <f t="shared" ref="U11:U15" si="5">W11-T11</f>
        <v>0</v>
      </c>
      <c r="V11" s="407"/>
      <c r="W11" s="372"/>
      <c r="X11" s="372"/>
      <c r="Y11" s="105">
        <f>'2. Kiadások'!O20</f>
        <v>5288426</v>
      </c>
      <c r="Z11" s="615"/>
    </row>
    <row r="12" spans="1:26" ht="12.95" customHeight="1" x14ac:dyDescent="0.2">
      <c r="A12" s="186" t="s">
        <v>48</v>
      </c>
      <c r="B12" s="353" t="s">
        <v>109</v>
      </c>
      <c r="C12" s="103"/>
      <c r="D12" s="336"/>
      <c r="E12" s="336"/>
      <c r="F12" s="336"/>
      <c r="G12" s="336"/>
      <c r="H12" s="336"/>
      <c r="I12" s="336"/>
      <c r="J12" s="336"/>
      <c r="K12" s="336"/>
      <c r="L12" s="336"/>
      <c r="M12" s="104"/>
      <c r="N12" s="353" t="s">
        <v>13</v>
      </c>
      <c r="O12" s="383"/>
      <c r="P12" s="407">
        <v>0</v>
      </c>
      <c r="Q12" s="407">
        <f t="shared" si="2"/>
        <v>0</v>
      </c>
      <c r="R12" s="490"/>
      <c r="S12" s="490"/>
      <c r="T12" s="372"/>
      <c r="U12" s="407">
        <f t="shared" si="5"/>
        <v>0</v>
      </c>
      <c r="V12" s="407"/>
      <c r="W12" s="372"/>
      <c r="X12" s="372"/>
      <c r="Y12" s="105"/>
      <c r="Z12" s="615"/>
    </row>
    <row r="13" spans="1:26" ht="12.95" customHeight="1" x14ac:dyDescent="0.2">
      <c r="A13" s="186" t="s">
        <v>49</v>
      </c>
      <c r="B13" s="353" t="s">
        <v>110</v>
      </c>
      <c r="C13" s="103"/>
      <c r="D13" s="336"/>
      <c r="E13" s="336"/>
      <c r="F13" s="336"/>
      <c r="G13" s="336"/>
      <c r="H13" s="336"/>
      <c r="I13" s="336"/>
      <c r="J13" s="336"/>
      <c r="K13" s="336"/>
      <c r="L13" s="336"/>
      <c r="M13" s="104"/>
      <c r="N13" s="354" t="s">
        <v>290</v>
      </c>
      <c r="O13" s="384"/>
      <c r="P13" s="407">
        <v>0</v>
      </c>
      <c r="Q13" s="407">
        <f t="shared" si="2"/>
        <v>0</v>
      </c>
      <c r="R13" s="491"/>
      <c r="S13" s="491"/>
      <c r="T13" s="223"/>
      <c r="U13" s="407">
        <f t="shared" si="5"/>
        <v>0</v>
      </c>
      <c r="V13" s="407"/>
      <c r="W13" s="223"/>
      <c r="X13" s="223"/>
      <c r="Y13" s="105"/>
      <c r="Z13" s="615"/>
    </row>
    <row r="14" spans="1:26" ht="12.95" customHeight="1" x14ac:dyDescent="0.2">
      <c r="A14" s="186" t="s">
        <v>50</v>
      </c>
      <c r="B14" s="109" t="s">
        <v>111</v>
      </c>
      <c r="C14" s="366"/>
      <c r="D14" s="348"/>
      <c r="E14" s="348"/>
      <c r="F14" s="348"/>
      <c r="G14" s="348"/>
      <c r="H14" s="109"/>
      <c r="I14" s="109"/>
      <c r="J14" s="109"/>
      <c r="K14" s="109"/>
      <c r="L14" s="109"/>
      <c r="M14" s="107"/>
      <c r="N14" s="354" t="s">
        <v>277</v>
      </c>
      <c r="O14" s="384">
        <f>'2. Kiadások'!E16</f>
        <v>5744100</v>
      </c>
      <c r="P14" s="407">
        <v>4350819</v>
      </c>
      <c r="Q14" s="407">
        <f t="shared" si="2"/>
        <v>0</v>
      </c>
      <c r="R14" s="495">
        <v>10094919</v>
      </c>
      <c r="S14" s="495">
        <v>10094919</v>
      </c>
      <c r="T14" s="372">
        <f t="shared" ref="T14" si="6">Y14-O14</f>
        <v>0</v>
      </c>
      <c r="U14" s="407">
        <f t="shared" si="5"/>
        <v>0</v>
      </c>
      <c r="V14" s="407"/>
      <c r="W14" s="372"/>
      <c r="X14" s="372"/>
      <c r="Y14" s="105">
        <f>'2. Kiadások'!O16</f>
        <v>5744100</v>
      </c>
      <c r="Z14" s="615"/>
    </row>
    <row r="15" spans="1:26" ht="12.95" customHeight="1" x14ac:dyDescent="0.2">
      <c r="A15" s="186" t="s">
        <v>51</v>
      </c>
      <c r="B15" s="354" t="s">
        <v>290</v>
      </c>
      <c r="C15" s="108"/>
      <c r="D15" s="339"/>
      <c r="E15" s="339"/>
      <c r="F15" s="339"/>
      <c r="G15" s="339"/>
      <c r="H15" s="339"/>
      <c r="I15" s="339"/>
      <c r="J15" s="339"/>
      <c r="K15" s="339"/>
      <c r="L15" s="339"/>
      <c r="M15" s="104"/>
      <c r="N15" s="354"/>
      <c r="O15" s="384"/>
      <c r="P15" s="223"/>
      <c r="Q15" s="223"/>
      <c r="R15" s="491"/>
      <c r="S15" s="491"/>
      <c r="T15" s="223"/>
      <c r="U15" s="407">
        <f t="shared" si="5"/>
        <v>0</v>
      </c>
      <c r="V15" s="407"/>
      <c r="W15" s="223"/>
      <c r="X15" s="223"/>
      <c r="Y15" s="105"/>
      <c r="Z15" s="615"/>
    </row>
    <row r="16" spans="1:26" ht="12.95" customHeight="1" x14ac:dyDescent="0.2">
      <c r="A16" s="186" t="s">
        <v>23</v>
      </c>
      <c r="B16" s="354"/>
      <c r="C16" s="108"/>
      <c r="D16" s="339"/>
      <c r="E16" s="339"/>
      <c r="F16" s="339"/>
      <c r="G16" s="339"/>
      <c r="H16" s="339"/>
      <c r="I16" s="339"/>
      <c r="J16" s="339"/>
      <c r="K16" s="339"/>
      <c r="L16" s="339"/>
      <c r="M16" s="104"/>
      <c r="N16" s="354"/>
      <c r="O16" s="384"/>
      <c r="P16" s="223"/>
      <c r="Q16" s="223"/>
      <c r="R16" s="491"/>
      <c r="S16" s="491"/>
      <c r="T16" s="223"/>
      <c r="U16" s="223"/>
      <c r="V16" s="223"/>
      <c r="W16" s="223"/>
      <c r="X16" s="223"/>
      <c r="Y16" s="105"/>
      <c r="Z16" s="615"/>
    </row>
    <row r="17" spans="1:26" ht="12.95" customHeight="1" thickBot="1" x14ac:dyDescent="0.25">
      <c r="A17" s="186" t="s">
        <v>24</v>
      </c>
      <c r="B17" s="355"/>
      <c r="C17" s="368"/>
      <c r="D17" s="340"/>
      <c r="E17" s="340"/>
      <c r="F17" s="340"/>
      <c r="G17" s="340"/>
      <c r="H17" s="340"/>
      <c r="I17" s="340"/>
      <c r="J17" s="340"/>
      <c r="K17" s="340"/>
      <c r="L17" s="340"/>
      <c r="M17" s="110"/>
      <c r="N17" s="354"/>
      <c r="O17" s="384"/>
      <c r="P17" s="223"/>
      <c r="Q17" s="223"/>
      <c r="R17" s="491"/>
      <c r="S17" s="491"/>
      <c r="T17" s="223"/>
      <c r="U17" s="223"/>
      <c r="V17" s="223"/>
      <c r="W17" s="223"/>
      <c r="X17" s="223"/>
      <c r="Y17" s="111"/>
      <c r="Z17" s="615"/>
    </row>
    <row r="18" spans="1:26" ht="15.95" customHeight="1" thickBot="1" x14ac:dyDescent="0.25">
      <c r="A18" s="112" t="s">
        <v>28</v>
      </c>
      <c r="B18" s="356" t="s">
        <v>112</v>
      </c>
      <c r="C18" s="364">
        <f>+C6+C7+C8+C9+C10+C12+C13+C14+C15+C16+C17</f>
        <v>534891910</v>
      </c>
      <c r="D18" s="364">
        <f t="shared" ref="D18:G18" si="7">+D6+D7+D8+D9+D10+D12+D13+D14+D15+D16+D17</f>
        <v>17134846</v>
      </c>
      <c r="E18" s="364">
        <f>+E6+E7+E8+E9+E10+E12+E13+E14+E15+E16+E17</f>
        <v>4819270</v>
      </c>
      <c r="F18" s="364">
        <f t="shared" si="7"/>
        <v>556846026</v>
      </c>
      <c r="G18" s="364">
        <f t="shared" si="7"/>
        <v>430593849</v>
      </c>
      <c r="H18" s="361">
        <f>+H6+H7+H8+H9+H10+H12+H13+H14+H15+H16+H17</f>
        <v>2002000</v>
      </c>
      <c r="I18" s="361">
        <v>407000</v>
      </c>
      <c r="J18" s="361">
        <f>+J6+J7+J8+J9+J10+J12+J13+J14+J15+J16+J17</f>
        <v>0</v>
      </c>
      <c r="K18" s="361">
        <f t="shared" ref="K18:L18" si="8">+K6+K7+K8+K9+K10+K12+K13+K14+K15+K16+K17</f>
        <v>2409000</v>
      </c>
      <c r="L18" s="361">
        <f t="shared" si="8"/>
        <v>1523731</v>
      </c>
      <c r="M18" s="114">
        <f>+M6+M7+M8+M9+M10+M12+M13+M14+M15+M16+M17</f>
        <v>536893910</v>
      </c>
      <c r="N18" s="356" t="s">
        <v>113</v>
      </c>
      <c r="O18" s="385">
        <f>SUM(O6:O17)</f>
        <v>458813173</v>
      </c>
      <c r="P18" s="385">
        <v>15771832</v>
      </c>
      <c r="Q18" s="385">
        <f>SUM(Q6:Q17)</f>
        <v>11594939</v>
      </c>
      <c r="R18" s="385">
        <f t="shared" ref="R18:S18" si="9">SUM(R6:R17)</f>
        <v>486179944</v>
      </c>
      <c r="S18" s="385">
        <f t="shared" si="9"/>
        <v>281639920</v>
      </c>
      <c r="T18" s="447">
        <f>SUM(T6:T17)</f>
        <v>108468736</v>
      </c>
      <c r="U18" s="447">
        <f t="shared" ref="U18:X18" si="10">SUM(U6:U17)</f>
        <v>407000</v>
      </c>
      <c r="V18" s="447">
        <f>SUM(V6:V17)</f>
        <v>0</v>
      </c>
      <c r="W18" s="447">
        <f t="shared" si="10"/>
        <v>108875736</v>
      </c>
      <c r="X18" s="447">
        <f t="shared" si="10"/>
        <v>76555822</v>
      </c>
      <c r="Y18" s="115">
        <f>SUM(Y6:Y17)</f>
        <v>567281909</v>
      </c>
      <c r="Z18" s="615"/>
    </row>
    <row r="19" spans="1:26" ht="12.95" customHeight="1" x14ac:dyDescent="0.2">
      <c r="A19" s="116" t="s">
        <v>25</v>
      </c>
      <c r="B19" s="357" t="s">
        <v>114</v>
      </c>
      <c r="C19" s="369">
        <f>+C20+C21+C22+C23</f>
        <v>40765904</v>
      </c>
      <c r="D19" s="369">
        <f t="shared" ref="D19:G19" si="11">+D20+D21+D22+D23</f>
        <v>0</v>
      </c>
      <c r="E19" s="369">
        <f>+E20+E21+E22+E23</f>
        <v>0</v>
      </c>
      <c r="F19" s="369">
        <f t="shared" si="11"/>
        <v>40765904</v>
      </c>
      <c r="G19" s="369">
        <f t="shared" si="11"/>
        <v>40765904</v>
      </c>
      <c r="H19" s="452">
        <f>+H20+H21+H22+H23</f>
        <v>106466736</v>
      </c>
      <c r="I19" s="453">
        <v>0</v>
      </c>
      <c r="J19" s="452">
        <f>+J20+J21+J22+J23</f>
        <v>0</v>
      </c>
      <c r="K19" s="453">
        <f t="shared" ref="K19:L19" si="12">+K20+K21+K22+K23</f>
        <v>106466736</v>
      </c>
      <c r="L19" s="453">
        <f t="shared" si="12"/>
        <v>75640210</v>
      </c>
      <c r="M19" s="180">
        <f>+M20+M21+M22+M23</f>
        <v>147232640</v>
      </c>
      <c r="N19" s="358" t="s">
        <v>115</v>
      </c>
      <c r="O19" s="386"/>
      <c r="P19" s="348"/>
      <c r="Q19" s="348"/>
      <c r="R19" s="492"/>
      <c r="S19" s="492"/>
      <c r="T19" s="375"/>
      <c r="U19" s="443"/>
      <c r="V19" s="443"/>
      <c r="W19" s="443"/>
      <c r="X19" s="443"/>
      <c r="Y19" s="373"/>
      <c r="Z19" s="615"/>
    </row>
    <row r="20" spans="1:26" ht="12.95" customHeight="1" x14ac:dyDescent="0.2">
      <c r="A20" s="119" t="s">
        <v>54</v>
      </c>
      <c r="B20" s="358" t="s">
        <v>116</v>
      </c>
      <c r="C20" s="118">
        <f>M20-H20</f>
        <v>40765904</v>
      </c>
      <c r="D20" s="335">
        <v>0</v>
      </c>
      <c r="E20" s="335">
        <f t="shared" ref="E20" si="13">F20-D20-C20</f>
        <v>0</v>
      </c>
      <c r="F20" s="429">
        <v>40765904</v>
      </c>
      <c r="G20" s="429">
        <v>40765904</v>
      </c>
      <c r="H20" s="372">
        <f>'1. Bevételek'!J45</f>
        <v>941822</v>
      </c>
      <c r="I20" s="336">
        <v>0</v>
      </c>
      <c r="J20" s="336">
        <f>K20-I20-H20</f>
        <v>0</v>
      </c>
      <c r="K20" s="336">
        <v>941822</v>
      </c>
      <c r="L20" s="336">
        <v>941822</v>
      </c>
      <c r="M20" s="120">
        <v>41707726</v>
      </c>
      <c r="N20" s="358" t="s">
        <v>117</v>
      </c>
      <c r="O20" s="387"/>
      <c r="P20" s="349"/>
      <c r="Q20" s="349"/>
      <c r="R20" s="493"/>
      <c r="S20" s="493"/>
      <c r="T20" s="376"/>
      <c r="U20" s="444"/>
      <c r="V20" s="444"/>
      <c r="W20" s="444"/>
      <c r="X20" s="444"/>
      <c r="Y20" s="374"/>
      <c r="Z20" s="615"/>
    </row>
    <row r="21" spans="1:26" ht="12.95" customHeight="1" x14ac:dyDescent="0.2">
      <c r="A21" s="119" t="s">
        <v>65</v>
      </c>
      <c r="B21" s="358" t="s">
        <v>118</v>
      </c>
      <c r="C21" s="118"/>
      <c r="D21" s="343"/>
      <c r="E21" s="343"/>
      <c r="F21" s="343"/>
      <c r="G21" s="343"/>
      <c r="H21" s="343"/>
      <c r="I21" s="343"/>
      <c r="J21" s="343"/>
      <c r="K21" s="343"/>
      <c r="L21" s="343"/>
      <c r="M21" s="120"/>
      <c r="N21" s="358" t="s">
        <v>119</v>
      </c>
      <c r="O21" s="387"/>
      <c r="P21" s="349"/>
      <c r="Q21" s="349"/>
      <c r="R21" s="493"/>
      <c r="S21" s="493"/>
      <c r="T21" s="376"/>
      <c r="U21" s="444"/>
      <c r="V21" s="444"/>
      <c r="W21" s="444"/>
      <c r="X21" s="444"/>
      <c r="Y21" s="374"/>
      <c r="Z21" s="615"/>
    </row>
    <row r="22" spans="1:26" ht="12.95" customHeight="1" x14ac:dyDescent="0.2">
      <c r="A22" s="119" t="s">
        <v>26</v>
      </c>
      <c r="B22" s="358" t="s">
        <v>214</v>
      </c>
      <c r="C22" s="118"/>
      <c r="D22" s="343"/>
      <c r="E22" s="343"/>
      <c r="F22" s="343"/>
      <c r="G22" s="343"/>
      <c r="H22" s="343"/>
      <c r="I22" s="343"/>
      <c r="J22" s="343"/>
      <c r="K22" s="343"/>
      <c r="L22" s="343"/>
      <c r="M22" s="285">
        <v>0</v>
      </c>
      <c r="N22" s="358" t="s">
        <v>120</v>
      </c>
      <c r="O22" s="387"/>
      <c r="P22" s="349"/>
      <c r="Q22" s="349"/>
      <c r="R22" s="493"/>
      <c r="S22" s="493"/>
      <c r="T22" s="376"/>
      <c r="U22" s="444"/>
      <c r="V22" s="444"/>
      <c r="W22" s="444"/>
      <c r="X22" s="444"/>
      <c r="Y22" s="374"/>
      <c r="Z22" s="615"/>
    </row>
    <row r="23" spans="1:26" ht="12.95" customHeight="1" x14ac:dyDescent="0.2">
      <c r="A23" s="119" t="s">
        <v>66</v>
      </c>
      <c r="B23" s="358" t="s">
        <v>121</v>
      </c>
      <c r="C23" s="118">
        <f>'1. Bevételek'!E47</f>
        <v>0</v>
      </c>
      <c r="D23" s="429"/>
      <c r="E23" s="429"/>
      <c r="F23" s="429"/>
      <c r="G23" s="429"/>
      <c r="H23" s="335">
        <f t="shared" ref="H23" si="14">M23-C23</f>
        <v>105524914</v>
      </c>
      <c r="I23" s="335">
        <v>0</v>
      </c>
      <c r="J23" s="335"/>
      <c r="K23" s="335">
        <v>105524914</v>
      </c>
      <c r="L23" s="335">
        <v>74698388</v>
      </c>
      <c r="M23" s="120">
        <f>'1. Bevételek'!J47</f>
        <v>105524914</v>
      </c>
      <c r="N23" s="357" t="s">
        <v>122</v>
      </c>
      <c r="O23" s="386"/>
      <c r="P23" s="348"/>
      <c r="Q23" s="348"/>
      <c r="R23" s="492"/>
      <c r="S23" s="492"/>
      <c r="T23" s="377"/>
      <c r="U23" s="443"/>
      <c r="V23" s="443"/>
      <c r="W23" s="443"/>
      <c r="X23" s="443"/>
      <c r="Y23" s="374"/>
      <c r="Z23" s="615"/>
    </row>
    <row r="24" spans="1:26" ht="12.95" customHeight="1" x14ac:dyDescent="0.2">
      <c r="A24" s="119" t="s">
        <v>52</v>
      </c>
      <c r="B24" s="358" t="s">
        <v>123</v>
      </c>
      <c r="C24" s="370">
        <f>+C25+C26</f>
        <v>0</v>
      </c>
      <c r="D24" s="362"/>
      <c r="E24" s="362"/>
      <c r="F24" s="362"/>
      <c r="G24" s="362"/>
      <c r="H24" s="362">
        <f>+H25+H26</f>
        <v>0</v>
      </c>
      <c r="I24" s="362"/>
      <c r="J24" s="362"/>
      <c r="K24" s="362"/>
      <c r="L24" s="362"/>
      <c r="M24" s="122">
        <f>+M25+M26</f>
        <v>0</v>
      </c>
      <c r="N24" s="358" t="s">
        <v>124</v>
      </c>
      <c r="O24" s="387"/>
      <c r="P24" s="349"/>
      <c r="Q24" s="349"/>
      <c r="R24" s="493"/>
      <c r="S24" s="493"/>
      <c r="T24" s="376"/>
      <c r="U24" s="444"/>
      <c r="V24" s="444"/>
      <c r="W24" s="444"/>
      <c r="X24" s="444"/>
      <c r="Y24" s="374"/>
      <c r="Z24" s="615"/>
    </row>
    <row r="25" spans="1:26" ht="12.95" customHeight="1" x14ac:dyDescent="0.2">
      <c r="A25" s="116" t="s">
        <v>80</v>
      </c>
      <c r="B25" s="357" t="s">
        <v>125</v>
      </c>
      <c r="C25" s="118"/>
      <c r="D25" s="342"/>
      <c r="E25" s="342"/>
      <c r="F25" s="342"/>
      <c r="G25" s="342"/>
      <c r="H25" s="342"/>
      <c r="I25" s="342"/>
      <c r="J25" s="342"/>
      <c r="K25" s="342"/>
      <c r="L25" s="342"/>
      <c r="M25" s="123"/>
      <c r="N25" s="352" t="s">
        <v>126</v>
      </c>
      <c r="O25" s="388">
        <f>'2. Kiadások'!E29</f>
        <v>105524914</v>
      </c>
      <c r="P25" s="338">
        <v>0</v>
      </c>
      <c r="Q25" s="407">
        <f t="shared" ref="Q25" si="15">R25-P25-O25</f>
        <v>0</v>
      </c>
      <c r="R25" s="348">
        <v>105524914</v>
      </c>
      <c r="S25" s="348">
        <v>74698388</v>
      </c>
      <c r="T25" s="378">
        <f>Y25-O25</f>
        <v>0</v>
      </c>
      <c r="U25" s="445"/>
      <c r="V25" s="445"/>
      <c r="W25" s="445"/>
      <c r="X25" s="445"/>
      <c r="Y25" s="373">
        <f>'2. Kiadások'!O29</f>
        <v>105524914</v>
      </c>
      <c r="Z25" s="615"/>
    </row>
    <row r="26" spans="1:26" ht="12.95" customHeight="1" thickBot="1" x14ac:dyDescent="0.25">
      <c r="A26" s="119" t="s">
        <v>127</v>
      </c>
      <c r="B26" s="358" t="s">
        <v>128</v>
      </c>
      <c r="C26" s="371"/>
      <c r="D26" s="430"/>
      <c r="E26" s="430"/>
      <c r="F26" s="430"/>
      <c r="G26" s="430"/>
      <c r="H26" s="343"/>
      <c r="I26" s="343"/>
      <c r="J26" s="343"/>
      <c r="K26" s="343"/>
      <c r="L26" s="343"/>
      <c r="M26" s="120"/>
      <c r="N26" s="354" t="s">
        <v>206</v>
      </c>
      <c r="O26" s="389">
        <f>'2. Kiadások'!E28</f>
        <v>11319727</v>
      </c>
      <c r="P26" s="451">
        <v>0</v>
      </c>
      <c r="Q26" s="489"/>
      <c r="R26" s="496">
        <v>11319727</v>
      </c>
      <c r="S26" s="496">
        <v>11319727</v>
      </c>
      <c r="T26" s="379">
        <f>Y26-O26</f>
        <v>0</v>
      </c>
      <c r="U26" s="446"/>
      <c r="V26" s="446"/>
      <c r="W26" s="446"/>
      <c r="X26" s="446"/>
      <c r="Y26" s="374">
        <f>'2. Kiadások'!O28</f>
        <v>11319727</v>
      </c>
      <c r="Z26" s="615"/>
    </row>
    <row r="27" spans="1:26" ht="15.95" customHeight="1" thickBot="1" x14ac:dyDescent="0.25">
      <c r="A27" s="112" t="s">
        <v>129</v>
      </c>
      <c r="B27" s="356" t="s">
        <v>130</v>
      </c>
      <c r="C27" s="364">
        <f>+C19+C24</f>
        <v>40765904</v>
      </c>
      <c r="D27" s="364">
        <f t="shared" ref="D27:G27" si="16">+D19+D24</f>
        <v>0</v>
      </c>
      <c r="E27" s="364">
        <f>+E19+E24</f>
        <v>0</v>
      </c>
      <c r="F27" s="364">
        <f t="shared" si="16"/>
        <v>40765904</v>
      </c>
      <c r="G27" s="364">
        <f t="shared" si="16"/>
        <v>40765904</v>
      </c>
      <c r="H27" s="361">
        <f>+H19+H24</f>
        <v>106466736</v>
      </c>
      <c r="I27" s="361">
        <v>0</v>
      </c>
      <c r="J27" s="361">
        <f>+J19+J24</f>
        <v>0</v>
      </c>
      <c r="K27" s="361">
        <f t="shared" ref="K27:L27" si="17">+K19+K24</f>
        <v>106466736</v>
      </c>
      <c r="L27" s="361">
        <f t="shared" si="17"/>
        <v>75640210</v>
      </c>
      <c r="M27" s="114">
        <f>+M19+M24</f>
        <v>147232640</v>
      </c>
      <c r="N27" s="356" t="s">
        <v>131</v>
      </c>
      <c r="O27" s="390">
        <f>SUM(O19:O26)</f>
        <v>116844641</v>
      </c>
      <c r="P27" s="390">
        <v>0</v>
      </c>
      <c r="Q27" s="390">
        <f>SUM(Q19:Q26)</f>
        <v>0</v>
      </c>
      <c r="R27" s="390">
        <f t="shared" ref="R27:S27" si="18">SUM(R19:R26)</f>
        <v>116844641</v>
      </c>
      <c r="S27" s="390">
        <f t="shared" si="18"/>
        <v>86018115</v>
      </c>
      <c r="T27" s="115">
        <f>SUM(T19:T26)</f>
        <v>0</v>
      </c>
      <c r="U27" s="115"/>
      <c r="V27" s="115"/>
      <c r="W27" s="115"/>
      <c r="X27" s="115"/>
      <c r="Y27" s="115">
        <f>SUM(Y19:Y26)</f>
        <v>116844641</v>
      </c>
      <c r="Z27" s="615"/>
    </row>
    <row r="28" spans="1:26" ht="18" customHeight="1" thickBot="1" x14ac:dyDescent="0.25">
      <c r="A28" s="112" t="s">
        <v>132</v>
      </c>
      <c r="B28" s="359" t="s">
        <v>133</v>
      </c>
      <c r="C28" s="364">
        <f>+C18+C27</f>
        <v>575657814</v>
      </c>
      <c r="D28" s="364">
        <f t="shared" ref="D28:G28" si="19">+D18+D27</f>
        <v>17134846</v>
      </c>
      <c r="E28" s="364">
        <f>+E18+E27</f>
        <v>4819270</v>
      </c>
      <c r="F28" s="364">
        <f t="shared" si="19"/>
        <v>597611930</v>
      </c>
      <c r="G28" s="364">
        <f t="shared" si="19"/>
        <v>471359753</v>
      </c>
      <c r="H28" s="361">
        <f>+H18+H27</f>
        <v>108468736</v>
      </c>
      <c r="I28" s="361">
        <v>407000</v>
      </c>
      <c r="J28" s="361">
        <f>+J18+J27</f>
        <v>0</v>
      </c>
      <c r="K28" s="361">
        <f t="shared" ref="K28:L28" si="20">+K18+K27</f>
        <v>108875736</v>
      </c>
      <c r="L28" s="361">
        <f t="shared" si="20"/>
        <v>77163941</v>
      </c>
      <c r="M28" s="114">
        <f>+M18+M27</f>
        <v>684126550</v>
      </c>
      <c r="N28" s="359" t="s">
        <v>134</v>
      </c>
      <c r="O28" s="391">
        <f>+O18+O27</f>
        <v>575657814</v>
      </c>
      <c r="P28" s="391">
        <v>15771832</v>
      </c>
      <c r="Q28" s="391">
        <f>+Q18+Q27</f>
        <v>11594939</v>
      </c>
      <c r="R28" s="391">
        <f t="shared" ref="R28:S28" si="21">+R18+R27</f>
        <v>603024585</v>
      </c>
      <c r="S28" s="391">
        <f t="shared" si="21"/>
        <v>367658035</v>
      </c>
      <c r="T28" s="380">
        <f t="shared" ref="T28:Y28" si="22">+T18+T27</f>
        <v>108468736</v>
      </c>
      <c r="U28" s="380">
        <f t="shared" si="22"/>
        <v>407000</v>
      </c>
      <c r="V28" s="380">
        <f t="shared" si="22"/>
        <v>0</v>
      </c>
      <c r="W28" s="380">
        <f t="shared" si="22"/>
        <v>108875736</v>
      </c>
      <c r="X28" s="380">
        <f t="shared" si="22"/>
        <v>76555822</v>
      </c>
      <c r="Y28" s="115">
        <f t="shared" si="22"/>
        <v>684126550</v>
      </c>
      <c r="Z28" s="615"/>
    </row>
    <row r="29" spans="1:26" ht="18" customHeight="1" thickTop="1" thickBot="1" x14ac:dyDescent="0.25">
      <c r="A29" s="112" t="s">
        <v>135</v>
      </c>
      <c r="B29" s="356" t="s">
        <v>136</v>
      </c>
      <c r="C29" s="365"/>
      <c r="D29" s="347"/>
      <c r="E29" s="347"/>
      <c r="F29" s="347"/>
      <c r="G29" s="347"/>
      <c r="H29" s="341"/>
      <c r="I29" s="341"/>
      <c r="J29" s="341"/>
      <c r="K29" s="341"/>
      <c r="L29" s="341"/>
      <c r="M29" s="125"/>
      <c r="N29" s="356" t="s">
        <v>137</v>
      </c>
      <c r="O29" s="381"/>
      <c r="P29" s="381"/>
      <c r="Q29" s="381"/>
      <c r="R29" s="494"/>
      <c r="S29" s="494"/>
      <c r="T29" s="381"/>
      <c r="U29" s="381"/>
      <c r="V29" s="381"/>
      <c r="W29" s="381"/>
      <c r="X29" s="381"/>
      <c r="Y29" s="382"/>
      <c r="Z29" s="615"/>
    </row>
    <row r="30" spans="1:26" ht="14.25" thickTop="1" thickBot="1" x14ac:dyDescent="0.25">
      <c r="A30" s="112" t="s">
        <v>138</v>
      </c>
      <c r="B30" s="360" t="s">
        <v>139</v>
      </c>
      <c r="C30" s="418">
        <f>+C28+C29</f>
        <v>575657814</v>
      </c>
      <c r="D30" s="418">
        <f t="shared" ref="D30:G30" si="23">+D28+D29</f>
        <v>17134846</v>
      </c>
      <c r="E30" s="418">
        <f>+E28+E29</f>
        <v>4819270</v>
      </c>
      <c r="F30" s="418">
        <f t="shared" si="23"/>
        <v>597611930</v>
      </c>
      <c r="G30" s="418">
        <f t="shared" si="23"/>
        <v>471359753</v>
      </c>
      <c r="H30" s="128">
        <f>+H28+H29</f>
        <v>108468736</v>
      </c>
      <c r="I30" s="128">
        <v>407000</v>
      </c>
      <c r="J30" s="128">
        <f>+J28+J29</f>
        <v>0</v>
      </c>
      <c r="K30" s="128">
        <f t="shared" ref="K30:L30" si="24">+K28+K29</f>
        <v>108875736</v>
      </c>
      <c r="L30" s="128">
        <f t="shared" si="24"/>
        <v>77163941</v>
      </c>
      <c r="M30" s="128">
        <f>+M28+M29</f>
        <v>684126550</v>
      </c>
      <c r="N30" s="360" t="s">
        <v>140</v>
      </c>
      <c r="O30" s="419">
        <f>+O28+O29</f>
        <v>575657814</v>
      </c>
      <c r="P30" s="419">
        <v>15771832</v>
      </c>
      <c r="Q30" s="419">
        <f>+Q28+Q29</f>
        <v>11594939</v>
      </c>
      <c r="R30" s="419">
        <f t="shared" ref="R30:S30" si="25">+R28+R29</f>
        <v>603024585</v>
      </c>
      <c r="S30" s="419">
        <f t="shared" si="25"/>
        <v>367658035</v>
      </c>
      <c r="T30" s="128">
        <f t="shared" ref="T30:Y30" si="26">+T28+T29</f>
        <v>108468736</v>
      </c>
      <c r="U30" s="128">
        <f t="shared" si="26"/>
        <v>407000</v>
      </c>
      <c r="V30" s="128">
        <f t="shared" si="26"/>
        <v>0</v>
      </c>
      <c r="W30" s="128">
        <f t="shared" si="26"/>
        <v>108875736</v>
      </c>
      <c r="X30" s="128">
        <f t="shared" si="26"/>
        <v>76555822</v>
      </c>
      <c r="Y30" s="128">
        <f t="shared" si="26"/>
        <v>684126550</v>
      </c>
      <c r="Z30" s="615"/>
    </row>
    <row r="31" spans="1:26" ht="13.5" thickBot="1" x14ac:dyDescent="0.25">
      <c r="A31" s="112" t="s">
        <v>141</v>
      </c>
      <c r="B31" s="360" t="s">
        <v>142</v>
      </c>
      <c r="C31" s="418" t="str">
        <f>IF(C18-O18&lt;0,O18-C18,"-")</f>
        <v>-</v>
      </c>
      <c r="D31" s="418"/>
      <c r="E31" s="418"/>
      <c r="F31" s="418"/>
      <c r="G31" s="418"/>
      <c r="H31" s="418">
        <f>IF(H18-T18&lt;0,T18-H18,"-")</f>
        <v>106466736</v>
      </c>
      <c r="I31" s="418"/>
      <c r="J31" s="418"/>
      <c r="K31" s="418"/>
      <c r="L31" s="418"/>
      <c r="M31" s="418">
        <f>IF(M18-Y18&lt;0,Y18-M18,"-")</f>
        <v>30387999</v>
      </c>
      <c r="N31" s="360" t="s">
        <v>143</v>
      </c>
      <c r="O31" s="420">
        <f>IF(O18-C18&lt;0,C18-O18,"-")</f>
        <v>76078737</v>
      </c>
      <c r="P31" s="420">
        <v>1363014</v>
      </c>
      <c r="Q31" s="420" t="str">
        <f>IF(Q18-E18&lt;0,E18-Q18,"-")</f>
        <v>-</v>
      </c>
      <c r="R31" s="420">
        <f>IF(R18-F18&lt;0,F18-R18,"-")</f>
        <v>70666082</v>
      </c>
      <c r="S31" s="420">
        <f>IF(S18-G18&lt;0,G18-S18,"-")</f>
        <v>148953929</v>
      </c>
      <c r="T31" s="420" t="str">
        <f t="shared" ref="T31" si="27">IF(T18-H18&lt;0,H18-T18,"-")</f>
        <v>-</v>
      </c>
      <c r="U31" s="420" t="str">
        <f t="shared" ref="U31" si="28">IF(U18-I18&lt;0,I18-U18,"-")</f>
        <v>-</v>
      </c>
      <c r="V31" s="420" t="str">
        <f t="shared" ref="V31" si="29">IF(V18-J18&lt;0,J18-V18,"-")</f>
        <v>-</v>
      </c>
      <c r="W31" s="420" t="str">
        <f t="shared" ref="W31" si="30">IF(W18-K18&lt;0,K18-W18,"-")</f>
        <v>-</v>
      </c>
      <c r="X31" s="420" t="str">
        <f t="shared" ref="X31" si="31">IF(X18-L18&lt;0,L18-X18,"-")</f>
        <v>-</v>
      </c>
      <c r="Y31" s="420" t="str">
        <f>IF(Y18-M18&lt;0,M18-Y18,"-")</f>
        <v>-</v>
      </c>
      <c r="Z31" s="615"/>
    </row>
    <row r="32" spans="1:26" ht="13.5" thickBot="1" x14ac:dyDescent="0.25">
      <c r="A32" s="112" t="s">
        <v>144</v>
      </c>
      <c r="B32" s="360" t="s">
        <v>145</v>
      </c>
      <c r="C32" s="128" t="str">
        <f>IF(C18+C19-O28&lt;0,O28-(C18+C19),"-")</f>
        <v>-</v>
      </c>
      <c r="D32" s="128"/>
      <c r="E32" s="128"/>
      <c r="F32" s="128"/>
      <c r="G32" s="128"/>
      <c r="H32" s="128" t="str">
        <f>IF(H18+H19-T28&lt;0,T28-(H18+H19),"-")</f>
        <v>-</v>
      </c>
      <c r="I32" s="128"/>
      <c r="J32" s="128"/>
      <c r="K32" s="128"/>
      <c r="L32" s="128"/>
      <c r="M32" s="128" t="str">
        <f>IF(M18+M19-Y28&lt;0,Y28-(M18+M19),"-")</f>
        <v>-</v>
      </c>
      <c r="N32" s="360" t="s">
        <v>146</v>
      </c>
      <c r="O32" s="420" t="str">
        <f>IF(O18+O19-Z28&lt;0,Z28-(O18+O19),"-")</f>
        <v>-</v>
      </c>
      <c r="P32" s="128"/>
      <c r="Q32" s="128"/>
      <c r="R32" s="128"/>
      <c r="S32" s="128"/>
      <c r="T32" s="128" t="str">
        <f>IF(T18+T19-H28&lt;0,H28-(T18+T19),"-")</f>
        <v>-</v>
      </c>
      <c r="U32" s="128"/>
      <c r="V32" s="128"/>
      <c r="W32" s="128"/>
      <c r="X32" s="128"/>
      <c r="Y32" s="128" t="str">
        <f>IF(Y18+Y19-H28&lt;0,M28-(Y18+Y19),"-")</f>
        <v>-</v>
      </c>
      <c r="Z32" s="615"/>
    </row>
  </sheetData>
  <mergeCells count="2">
    <mergeCell ref="Z1:Z32"/>
    <mergeCell ref="A3:A4"/>
  </mergeCells>
  <phoneticPr fontId="7" type="noConversion"/>
  <pageMargins left="0.25" right="0.25" top="0.75" bottom="0.75" header="0.3" footer="0.3"/>
  <pageSetup paperSize="9" scale="35" orientation="landscape" r:id="rId1"/>
  <headerFooter alignWithMargins="0">
    <oddHeader>&amp;R3.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opLeftCell="D10" workbookViewId="0">
      <selection activeCell="N8" sqref="N8"/>
    </sheetView>
  </sheetViews>
  <sheetFormatPr defaultRowHeight="12.75" x14ac:dyDescent="0.2"/>
  <cols>
    <col min="1" max="1" width="5.85546875" style="183" customWidth="1"/>
    <col min="2" max="2" width="44.42578125" style="184" customWidth="1"/>
    <col min="3" max="7" width="13.85546875" style="184" customWidth="1"/>
    <col min="8" max="8" width="12.5703125" style="184" bestFit="1" customWidth="1"/>
    <col min="9" max="9" width="14" style="195" customWidth="1"/>
    <col min="10" max="10" width="41.42578125" style="183" customWidth="1"/>
    <col min="11" max="15" width="13.42578125" style="183" customWidth="1"/>
    <col min="16" max="16" width="10" style="183" customWidth="1"/>
    <col min="17" max="17" width="13.140625" style="183" customWidth="1"/>
    <col min="18" max="18" width="4.140625" style="183" customWidth="1"/>
    <col min="19" max="19" width="11.7109375" style="183" bestFit="1" customWidth="1"/>
    <col min="20" max="16384" width="9.140625" style="183"/>
  </cols>
  <sheetData>
    <row r="1" spans="1:18" ht="15.75" x14ac:dyDescent="0.2">
      <c r="A1" s="181"/>
      <c r="B1" s="89" t="s">
        <v>382</v>
      </c>
      <c r="C1" s="89"/>
      <c r="D1" s="89"/>
      <c r="E1" s="89"/>
      <c r="F1" s="89"/>
      <c r="G1" s="89"/>
      <c r="H1" s="89"/>
      <c r="I1" s="194"/>
      <c r="J1" s="182"/>
      <c r="K1" s="182"/>
      <c r="L1" s="182"/>
      <c r="M1" s="182"/>
      <c r="N1" s="182"/>
      <c r="O1" s="182"/>
      <c r="P1" s="182"/>
      <c r="Q1" s="182"/>
      <c r="R1" s="615"/>
    </row>
    <row r="2" spans="1:18" ht="14.25" thickBot="1" x14ac:dyDescent="0.25">
      <c r="Q2" s="90" t="s">
        <v>216</v>
      </c>
      <c r="R2" s="615"/>
    </row>
    <row r="3" spans="1:18" ht="13.5" thickBot="1" x14ac:dyDescent="0.25">
      <c r="A3" s="618" t="s">
        <v>100</v>
      </c>
      <c r="B3" s="91" t="s">
        <v>101</v>
      </c>
      <c r="C3" s="332"/>
      <c r="D3" s="332"/>
      <c r="E3" s="332"/>
      <c r="F3" s="332"/>
      <c r="G3" s="332"/>
      <c r="H3" s="332"/>
      <c r="I3" s="92"/>
      <c r="J3" s="91" t="s">
        <v>102</v>
      </c>
      <c r="K3" s="283"/>
      <c r="L3" s="283"/>
      <c r="M3" s="283"/>
      <c r="N3" s="283"/>
      <c r="O3" s="283"/>
      <c r="P3" s="283"/>
      <c r="Q3" s="283"/>
      <c r="R3" s="615"/>
    </row>
    <row r="4" spans="1:18" s="95" customFormat="1" ht="36.75" thickBot="1" x14ac:dyDescent="0.25">
      <c r="A4" s="619"/>
      <c r="B4" s="93" t="s">
        <v>36</v>
      </c>
      <c r="C4" s="363" t="s">
        <v>201</v>
      </c>
      <c r="D4" s="428" t="s">
        <v>426</v>
      </c>
      <c r="E4" s="428" t="s">
        <v>442</v>
      </c>
      <c r="F4" s="428" t="s">
        <v>427</v>
      </c>
      <c r="G4" s="428" t="s">
        <v>428</v>
      </c>
      <c r="H4" s="454" t="s">
        <v>89</v>
      </c>
      <c r="I4" s="94" t="s">
        <v>416</v>
      </c>
      <c r="J4" s="93" t="s">
        <v>36</v>
      </c>
      <c r="K4" s="363" t="s">
        <v>201</v>
      </c>
      <c r="L4" s="428" t="s">
        <v>426</v>
      </c>
      <c r="M4" s="428" t="s">
        <v>442</v>
      </c>
      <c r="N4" s="428" t="s">
        <v>427</v>
      </c>
      <c r="O4" s="428" t="s">
        <v>428</v>
      </c>
      <c r="P4" s="454" t="s">
        <v>89</v>
      </c>
      <c r="Q4" s="94" t="s">
        <v>416</v>
      </c>
      <c r="R4" s="615"/>
    </row>
    <row r="5" spans="1:18" s="95" customFormat="1" ht="13.5" thickBot="1" x14ac:dyDescent="0.25">
      <c r="A5" s="96">
        <v>1</v>
      </c>
      <c r="B5" s="97">
        <v>2</v>
      </c>
      <c r="C5" s="334"/>
      <c r="D5" s="334"/>
      <c r="E5" s="334"/>
      <c r="F5" s="334"/>
      <c r="G5" s="334"/>
      <c r="H5" s="334"/>
      <c r="I5" s="98">
        <v>3</v>
      </c>
      <c r="J5" s="97">
        <v>4</v>
      </c>
      <c r="K5" s="344"/>
      <c r="L5" s="344"/>
      <c r="M5" s="344"/>
      <c r="N5" s="344"/>
      <c r="O5" s="344"/>
      <c r="P5" s="344"/>
      <c r="Q5" s="99">
        <v>5</v>
      </c>
      <c r="R5" s="615"/>
    </row>
    <row r="6" spans="1:18" ht="12.95" customHeight="1" x14ac:dyDescent="0.2">
      <c r="A6" s="185" t="s">
        <v>37</v>
      </c>
      <c r="B6" s="101" t="s">
        <v>147</v>
      </c>
      <c r="C6" s="402">
        <f>'1. Bevételek'!E34</f>
        <v>2372880</v>
      </c>
      <c r="D6" s="335"/>
      <c r="E6" s="335">
        <f>F6-D6-C6</f>
        <v>0</v>
      </c>
      <c r="F6" s="335">
        <v>2372880</v>
      </c>
      <c r="G6" s="335">
        <v>1779660</v>
      </c>
      <c r="H6" s="335">
        <f>I6-C6</f>
        <v>0</v>
      </c>
      <c r="I6" s="179">
        <f>'1. Bevételek'!O34</f>
        <v>2372880</v>
      </c>
      <c r="J6" s="101" t="s">
        <v>148</v>
      </c>
      <c r="K6" s="406">
        <f>'2. Kiadások'!E21</f>
        <v>804612646</v>
      </c>
      <c r="L6" s="345">
        <v>274610</v>
      </c>
      <c r="M6" s="345">
        <f>N6-L6-K6</f>
        <v>16025107</v>
      </c>
      <c r="N6" s="503">
        <v>820912363</v>
      </c>
      <c r="O6" s="503">
        <v>49209338</v>
      </c>
      <c r="P6" s="345">
        <f>Q6-K6</f>
        <v>0</v>
      </c>
      <c r="Q6" s="102">
        <f>'2. Kiadások'!O21</f>
        <v>804612646</v>
      </c>
      <c r="R6" s="615"/>
    </row>
    <row r="7" spans="1:18" ht="12.95" customHeight="1" x14ac:dyDescent="0.2">
      <c r="A7" s="185" t="s">
        <v>38</v>
      </c>
      <c r="B7" s="81" t="s">
        <v>149</v>
      </c>
      <c r="C7" s="403"/>
      <c r="D7" s="392"/>
      <c r="E7" s="392"/>
      <c r="F7" s="478"/>
      <c r="G7" s="478"/>
      <c r="H7" s="392"/>
      <c r="I7" s="179"/>
      <c r="J7" s="101"/>
      <c r="K7" s="407"/>
      <c r="L7" s="345">
        <v>0</v>
      </c>
      <c r="M7" s="345"/>
      <c r="N7" s="497"/>
      <c r="O7" s="497"/>
      <c r="P7" s="345"/>
      <c r="Q7" s="102"/>
      <c r="R7" s="615"/>
    </row>
    <row r="8" spans="1:18" ht="25.5" customHeight="1" x14ac:dyDescent="0.2">
      <c r="A8" s="185" t="s">
        <v>39</v>
      </c>
      <c r="B8" s="103" t="s">
        <v>150</v>
      </c>
      <c r="C8" s="336"/>
      <c r="D8" s="336"/>
      <c r="E8" s="336"/>
      <c r="F8" s="479"/>
      <c r="G8" s="479"/>
      <c r="H8" s="336"/>
      <c r="I8" s="104">
        <v>0</v>
      </c>
      <c r="J8" s="103" t="s">
        <v>151</v>
      </c>
      <c r="K8" s="372">
        <f>'2. Kiadások'!E22</f>
        <v>123033604</v>
      </c>
      <c r="L8" s="345">
        <v>0</v>
      </c>
      <c r="M8" s="345">
        <f>N8-L8-K8</f>
        <v>-6800787</v>
      </c>
      <c r="N8" s="503">
        <v>116232817</v>
      </c>
      <c r="O8" s="503">
        <v>4663091</v>
      </c>
      <c r="P8" s="345">
        <f>Q8-K8</f>
        <v>0</v>
      </c>
      <c r="Q8" s="105">
        <f>'2. Kiadások'!O22</f>
        <v>123033604</v>
      </c>
      <c r="R8" s="615"/>
    </row>
    <row r="9" spans="1:18" ht="12.95" customHeight="1" x14ac:dyDescent="0.2">
      <c r="A9" s="185" t="s">
        <v>40</v>
      </c>
      <c r="B9" s="103" t="s">
        <v>152</v>
      </c>
      <c r="C9" s="336"/>
      <c r="D9" s="336"/>
      <c r="E9" s="336"/>
      <c r="F9" s="479"/>
      <c r="G9" s="479"/>
      <c r="H9" s="336"/>
      <c r="I9" s="104"/>
      <c r="J9" s="103" t="s">
        <v>153</v>
      </c>
      <c r="K9" s="372"/>
      <c r="L9" s="345">
        <v>0</v>
      </c>
      <c r="M9" s="345"/>
      <c r="N9" s="493"/>
      <c r="O9" s="493"/>
      <c r="P9" s="338"/>
      <c r="Q9" s="105">
        <v>0</v>
      </c>
      <c r="R9" s="615"/>
    </row>
    <row r="10" spans="1:18" ht="21.75" customHeight="1" x14ac:dyDescent="0.2">
      <c r="A10" s="185" t="s">
        <v>41</v>
      </c>
      <c r="B10" s="103" t="s">
        <v>154</v>
      </c>
      <c r="C10" s="336"/>
      <c r="D10" s="336"/>
      <c r="E10" s="336"/>
      <c r="F10" s="479"/>
      <c r="G10" s="479"/>
      <c r="H10" s="336"/>
      <c r="I10" s="104"/>
      <c r="J10" s="103" t="s">
        <v>441</v>
      </c>
      <c r="K10" s="372"/>
      <c r="L10" s="345">
        <v>1214532</v>
      </c>
      <c r="M10" s="345">
        <f>N10-L10-K10</f>
        <v>0</v>
      </c>
      <c r="N10" s="504">
        <v>1214532</v>
      </c>
      <c r="O10" s="504">
        <v>1214532</v>
      </c>
      <c r="P10" s="338"/>
      <c r="Q10" s="105">
        <v>0</v>
      </c>
      <c r="R10" s="615"/>
    </row>
    <row r="11" spans="1:18" ht="20.25" customHeight="1" x14ac:dyDescent="0.2">
      <c r="A11" s="185" t="s">
        <v>46</v>
      </c>
      <c r="B11" s="103" t="s">
        <v>155</v>
      </c>
      <c r="C11" s="336"/>
      <c r="D11" s="336"/>
      <c r="E11" s="336"/>
      <c r="F11" s="479"/>
      <c r="G11" s="479"/>
      <c r="H11" s="336"/>
      <c r="I11" s="104"/>
      <c r="J11" s="103" t="s">
        <v>156</v>
      </c>
      <c r="K11" s="372"/>
      <c r="L11" s="345">
        <v>0</v>
      </c>
      <c r="M11" s="345"/>
      <c r="N11" s="493"/>
      <c r="O11" s="493"/>
      <c r="P11" s="338"/>
      <c r="Q11" s="105">
        <v>0</v>
      </c>
      <c r="R11" s="615"/>
    </row>
    <row r="12" spans="1:18" ht="12.95" customHeight="1" x14ac:dyDescent="0.2">
      <c r="A12" s="185" t="s">
        <v>48</v>
      </c>
      <c r="B12" s="103" t="s">
        <v>157</v>
      </c>
      <c r="C12" s="336"/>
      <c r="D12" s="338"/>
      <c r="E12" s="338"/>
      <c r="F12" s="480"/>
      <c r="G12" s="480"/>
      <c r="H12" s="338"/>
      <c r="I12" s="107"/>
      <c r="J12" s="129" t="s">
        <v>158</v>
      </c>
      <c r="K12" s="408"/>
      <c r="L12" s="345">
        <v>0</v>
      </c>
      <c r="M12" s="345"/>
      <c r="N12" s="498"/>
      <c r="O12" s="498"/>
      <c r="P12" s="397"/>
      <c r="Q12" s="105"/>
      <c r="R12" s="615"/>
    </row>
    <row r="13" spans="1:18" ht="12.95" customHeight="1" x14ac:dyDescent="0.2">
      <c r="A13" s="185" t="s">
        <v>49</v>
      </c>
      <c r="B13" s="103" t="s">
        <v>159</v>
      </c>
      <c r="C13" s="336"/>
      <c r="D13" s="336"/>
      <c r="E13" s="336"/>
      <c r="F13" s="479"/>
      <c r="G13" s="479"/>
      <c r="H13" s="336"/>
      <c r="I13" s="104"/>
      <c r="J13" s="129" t="s">
        <v>160</v>
      </c>
      <c r="K13" s="408"/>
      <c r="L13" s="345">
        <v>0</v>
      </c>
      <c r="M13" s="345"/>
      <c r="N13" s="498"/>
      <c r="O13" s="498"/>
      <c r="P13" s="397"/>
      <c r="Q13" s="105"/>
      <c r="R13" s="615"/>
    </row>
    <row r="14" spans="1:18" ht="12.95" customHeight="1" x14ac:dyDescent="0.2">
      <c r="A14" s="185" t="s">
        <v>50</v>
      </c>
      <c r="B14" s="103" t="s">
        <v>161</v>
      </c>
      <c r="C14" s="336"/>
      <c r="D14" s="336">
        <v>126128</v>
      </c>
      <c r="E14" s="335">
        <f>F14-D14-C14</f>
        <v>0</v>
      </c>
      <c r="F14" s="336">
        <v>126128</v>
      </c>
      <c r="G14" s="336">
        <v>126128</v>
      </c>
      <c r="H14" s="336"/>
      <c r="I14" s="104"/>
      <c r="J14" s="130" t="s">
        <v>162</v>
      </c>
      <c r="K14" s="409"/>
      <c r="L14" s="345">
        <v>0</v>
      </c>
      <c r="M14" s="345"/>
      <c r="N14" s="498"/>
      <c r="O14" s="498"/>
      <c r="P14" s="398"/>
      <c r="Q14" s="105"/>
      <c r="R14" s="615"/>
    </row>
    <row r="15" spans="1:18" ht="12.95" customHeight="1" x14ac:dyDescent="0.2">
      <c r="A15" s="185" t="s">
        <v>51</v>
      </c>
      <c r="B15" s="131" t="s">
        <v>163</v>
      </c>
      <c r="C15" s="404"/>
      <c r="D15" s="336">
        <v>0</v>
      </c>
      <c r="E15" s="338"/>
      <c r="F15" s="393"/>
      <c r="G15" s="393"/>
      <c r="H15" s="393"/>
      <c r="I15" s="107"/>
      <c r="J15" s="129" t="s">
        <v>164</v>
      </c>
      <c r="K15" s="408"/>
      <c r="L15" s="345">
        <v>0</v>
      </c>
      <c r="M15" s="345"/>
      <c r="N15" s="498"/>
      <c r="O15" s="498"/>
      <c r="P15" s="397"/>
      <c r="Q15" s="105"/>
      <c r="R15" s="615"/>
    </row>
    <row r="16" spans="1:18" ht="22.5" customHeight="1" x14ac:dyDescent="0.2">
      <c r="A16" s="185" t="s">
        <v>23</v>
      </c>
      <c r="B16" s="103" t="s">
        <v>165</v>
      </c>
      <c r="C16" s="336">
        <f>'1. Bevételek'!E37</f>
        <v>110732349</v>
      </c>
      <c r="D16" s="336">
        <v>0</v>
      </c>
      <c r="E16" s="335">
        <f>F16-D16-C16</f>
        <v>15999989</v>
      </c>
      <c r="F16" s="335">
        <v>126732338</v>
      </c>
      <c r="G16" s="335">
        <v>17183439</v>
      </c>
      <c r="H16" s="335">
        <f>I16-C16</f>
        <v>0</v>
      </c>
      <c r="I16" s="107">
        <f>'1. Bevételek'!O37</f>
        <v>110732349</v>
      </c>
      <c r="J16" s="129" t="s">
        <v>166</v>
      </c>
      <c r="K16" s="408"/>
      <c r="L16" s="345">
        <v>0</v>
      </c>
      <c r="M16" s="345"/>
      <c r="N16" s="498"/>
      <c r="O16" s="498"/>
      <c r="P16" s="397"/>
      <c r="Q16" s="105"/>
      <c r="R16" s="615"/>
    </row>
    <row r="17" spans="1:18" ht="12.95" customHeight="1" x14ac:dyDescent="0.2">
      <c r="A17" s="185" t="s">
        <v>24</v>
      </c>
      <c r="B17" s="103" t="s">
        <v>167</v>
      </c>
      <c r="C17" s="336">
        <f>'1. Bevételek'!E36</f>
        <v>707620</v>
      </c>
      <c r="D17" s="336">
        <v>0</v>
      </c>
      <c r="E17" s="336"/>
      <c r="F17" s="336">
        <v>707620</v>
      </c>
      <c r="G17" s="335">
        <v>333100</v>
      </c>
      <c r="H17" s="335">
        <f>I17-C17</f>
        <v>0</v>
      </c>
      <c r="I17" s="105">
        <f>'1. Bevételek'!O36</f>
        <v>707620</v>
      </c>
      <c r="J17" s="103" t="s">
        <v>425</v>
      </c>
      <c r="K17" s="372"/>
      <c r="L17" s="345">
        <v>0</v>
      </c>
      <c r="M17" s="345"/>
      <c r="N17" s="493"/>
      <c r="O17" s="493"/>
      <c r="P17" s="338"/>
      <c r="Q17" s="105">
        <v>0</v>
      </c>
      <c r="R17" s="615"/>
    </row>
    <row r="18" spans="1:18" ht="12.95" customHeight="1" thickBot="1" x14ac:dyDescent="0.25">
      <c r="A18" s="185" t="s">
        <v>28</v>
      </c>
      <c r="B18" s="132" t="s">
        <v>168</v>
      </c>
      <c r="C18" s="405"/>
      <c r="D18" s="337"/>
      <c r="E18" s="337"/>
      <c r="F18" s="481"/>
      <c r="G18" s="481"/>
      <c r="H18" s="337"/>
      <c r="I18" s="133">
        <v>0</v>
      </c>
      <c r="J18" s="132" t="s">
        <v>13</v>
      </c>
      <c r="K18" s="410">
        <f>'2. Kiadások'!E24</f>
        <v>2000000</v>
      </c>
      <c r="L18" s="345">
        <v>0</v>
      </c>
      <c r="M18" s="345">
        <f>N18-L18-K18</f>
        <v>0</v>
      </c>
      <c r="N18" s="505">
        <v>2000000</v>
      </c>
      <c r="O18" s="505">
        <v>0</v>
      </c>
      <c r="P18" s="345">
        <f>Q18-K18</f>
        <v>0</v>
      </c>
      <c r="Q18" s="187">
        <f>'2. Kiadások'!O24</f>
        <v>2000000</v>
      </c>
      <c r="R18" s="615"/>
    </row>
    <row r="19" spans="1:18" ht="15.95" customHeight="1" thickBot="1" x14ac:dyDescent="0.25">
      <c r="A19" s="112" t="s">
        <v>28</v>
      </c>
      <c r="B19" s="113" t="s">
        <v>169</v>
      </c>
      <c r="C19" s="114">
        <f>C6+C7+C8+C9+C10+C11+C12+C13+C14+C16+C17+C18</f>
        <v>113812849</v>
      </c>
      <c r="D19" s="114">
        <v>126128</v>
      </c>
      <c r="E19" s="114">
        <f>E6+E7+E8+E9+E10+E11+E12+E13+E14+E16+E17+E18</f>
        <v>15999989</v>
      </c>
      <c r="F19" s="114">
        <f t="shared" ref="F19:G19" si="0">F6+F7+F8+F9+F10+F11+F12+F13+F14+F16+F17+F18</f>
        <v>129938966</v>
      </c>
      <c r="G19" s="114">
        <f t="shared" si="0"/>
        <v>19422327</v>
      </c>
      <c r="H19" s="114">
        <f>H6+H7+H8+H9+H10+H11+H12+H13+H14+H16+H17+H18</f>
        <v>0</v>
      </c>
      <c r="I19" s="114">
        <f>I6+I7+I8+I9+I10+I11+I12+I13+I14+I16+I17+I18</f>
        <v>113812849</v>
      </c>
      <c r="J19" s="113" t="s">
        <v>11</v>
      </c>
      <c r="K19" s="115">
        <f>+K6+K8+K9+K17+K18+K10</f>
        <v>929646250</v>
      </c>
      <c r="L19" s="115">
        <v>1489142</v>
      </c>
      <c r="M19" s="115">
        <f>+M6+M8+M9+M17+M18+M10</f>
        <v>9224320</v>
      </c>
      <c r="N19" s="506">
        <f t="shared" ref="N19:O19" si="1">+N6+N8+N9+N17+N18+N10</f>
        <v>940359712</v>
      </c>
      <c r="O19" s="506">
        <f t="shared" si="1"/>
        <v>55086961</v>
      </c>
      <c r="P19" s="115">
        <f>+P6+P8+P9+P17+P18</f>
        <v>0</v>
      </c>
      <c r="Q19" s="115">
        <f>+Q6+Q8+Q9+Q17+Q18</f>
        <v>929646250</v>
      </c>
      <c r="R19" s="615"/>
    </row>
    <row r="20" spans="1:18" ht="12.95" customHeight="1" x14ac:dyDescent="0.2">
      <c r="A20" s="134" t="s">
        <v>25</v>
      </c>
      <c r="B20" s="135" t="s">
        <v>170</v>
      </c>
      <c r="C20" s="136">
        <f>+C21+C22+C23+C24+C25</f>
        <v>165833401</v>
      </c>
      <c r="D20" s="136">
        <v>0</v>
      </c>
      <c r="E20" s="136"/>
      <c r="F20" s="136">
        <f t="shared" ref="F20:G20" si="2">+F21+F22+F23+F24+F25</f>
        <v>165833401</v>
      </c>
      <c r="G20" s="136">
        <f t="shared" si="2"/>
        <v>100833401</v>
      </c>
      <c r="H20" s="136">
        <f>+H21+H22+H23+H24+H25</f>
        <v>0</v>
      </c>
      <c r="I20" s="136">
        <f>+I21+I22+I23+I24+I25</f>
        <v>165833401</v>
      </c>
      <c r="J20" s="118" t="s">
        <v>115</v>
      </c>
      <c r="K20" s="412"/>
      <c r="L20" s="399"/>
      <c r="M20" s="399"/>
      <c r="N20" s="497"/>
      <c r="O20" s="497"/>
      <c r="P20" s="399"/>
      <c r="Q20" s="137"/>
      <c r="R20" s="615"/>
    </row>
    <row r="21" spans="1:18" ht="18" customHeight="1" x14ac:dyDescent="0.2">
      <c r="A21" s="186" t="s">
        <v>54</v>
      </c>
      <c r="B21" s="138" t="s">
        <v>171</v>
      </c>
      <c r="C21" s="394">
        <f>I21</f>
        <v>100833401</v>
      </c>
      <c r="D21" s="336">
        <v>0</v>
      </c>
      <c r="E21" s="335">
        <f t="shared" ref="E21:E27" si="3">F21-D21-C21</f>
        <v>0</v>
      </c>
      <c r="F21" s="394">
        <v>100833401</v>
      </c>
      <c r="G21" s="394">
        <v>100833401</v>
      </c>
      <c r="H21" s="394"/>
      <c r="I21" s="120">
        <v>100833401</v>
      </c>
      <c r="J21" s="118" t="s">
        <v>172</v>
      </c>
      <c r="K21" s="366"/>
      <c r="L21" s="349"/>
      <c r="M21" s="349"/>
      <c r="N21" s="493"/>
      <c r="O21" s="493"/>
      <c r="P21" s="349"/>
      <c r="Q21" s="121"/>
      <c r="R21" s="615"/>
    </row>
    <row r="22" spans="1:18" ht="12.95" customHeight="1" x14ac:dyDescent="0.2">
      <c r="A22" s="134" t="s">
        <v>65</v>
      </c>
      <c r="B22" s="138" t="s">
        <v>173</v>
      </c>
      <c r="C22" s="394"/>
      <c r="D22" s="394"/>
      <c r="E22" s="335">
        <f t="shared" si="3"/>
        <v>0</v>
      </c>
      <c r="F22" s="482"/>
      <c r="G22" s="482"/>
      <c r="H22" s="394"/>
      <c r="I22" s="120"/>
      <c r="J22" s="118" t="s">
        <v>119</v>
      </c>
      <c r="K22" s="366"/>
      <c r="L22" s="349"/>
      <c r="M22" s="349"/>
      <c r="N22" s="493"/>
      <c r="O22" s="493"/>
      <c r="P22" s="349"/>
      <c r="Q22" s="121"/>
      <c r="R22" s="615"/>
    </row>
    <row r="23" spans="1:18" ht="12.95" customHeight="1" x14ac:dyDescent="0.2">
      <c r="A23" s="186" t="s">
        <v>26</v>
      </c>
      <c r="B23" s="138" t="s">
        <v>174</v>
      </c>
      <c r="C23" s="394"/>
      <c r="D23" s="394"/>
      <c r="E23" s="335">
        <f t="shared" si="3"/>
        <v>0</v>
      </c>
      <c r="F23" s="482"/>
      <c r="G23" s="482"/>
      <c r="H23" s="394"/>
      <c r="I23" s="120"/>
      <c r="J23" s="118" t="s">
        <v>120</v>
      </c>
      <c r="K23" s="366"/>
      <c r="L23" s="349"/>
      <c r="M23" s="349"/>
      <c r="N23" s="493"/>
      <c r="O23" s="493"/>
      <c r="P23" s="349"/>
      <c r="Q23" s="121"/>
      <c r="R23" s="615"/>
    </row>
    <row r="24" spans="1:18" ht="12.95" customHeight="1" x14ac:dyDescent="0.2">
      <c r="A24" s="134" t="s">
        <v>66</v>
      </c>
      <c r="B24" s="138" t="s">
        <v>175</v>
      </c>
      <c r="C24" s="394">
        <f>'1. Bevételek'!E43</f>
        <v>65000000</v>
      </c>
      <c r="D24" s="336">
        <v>0</v>
      </c>
      <c r="E24" s="335">
        <f t="shared" si="3"/>
        <v>0</v>
      </c>
      <c r="F24" s="394">
        <v>65000000</v>
      </c>
      <c r="G24" s="482">
        <v>0</v>
      </c>
      <c r="H24" s="120">
        <f>'1. Bevételek'!J43</f>
        <v>0</v>
      </c>
      <c r="I24" s="120">
        <f>'1. Bevételek'!O43</f>
        <v>65000000</v>
      </c>
      <c r="J24" s="117" t="s">
        <v>14</v>
      </c>
      <c r="K24" s="413"/>
      <c r="L24" s="348"/>
      <c r="M24" s="348"/>
      <c r="N24" s="492"/>
      <c r="O24" s="492"/>
      <c r="P24" s="348"/>
      <c r="Q24" s="121"/>
      <c r="R24" s="615"/>
    </row>
    <row r="25" spans="1:18" ht="12.95" customHeight="1" x14ac:dyDescent="0.2">
      <c r="A25" s="186" t="s">
        <v>52</v>
      </c>
      <c r="B25" s="139" t="s">
        <v>176</v>
      </c>
      <c r="C25" s="139"/>
      <c r="D25" s="139"/>
      <c r="E25" s="335">
        <f t="shared" si="3"/>
        <v>0</v>
      </c>
      <c r="F25" s="483"/>
      <c r="G25" s="483"/>
      <c r="H25" s="139"/>
      <c r="I25" s="120"/>
      <c r="J25" s="118" t="s">
        <v>177</v>
      </c>
      <c r="K25" s="366"/>
      <c r="L25" s="349"/>
      <c r="M25" s="349"/>
      <c r="N25" s="493"/>
      <c r="O25" s="493"/>
      <c r="P25" s="349"/>
      <c r="Q25" s="121"/>
      <c r="R25" s="615"/>
    </row>
    <row r="26" spans="1:18" ht="12.95" customHeight="1" x14ac:dyDescent="0.2">
      <c r="A26" s="134" t="s">
        <v>80</v>
      </c>
      <c r="B26" s="140" t="s">
        <v>178</v>
      </c>
      <c r="C26" s="122">
        <f>+C27+C28+C29+C30+C31</f>
        <v>650000000</v>
      </c>
      <c r="D26" s="122">
        <v>0</v>
      </c>
      <c r="E26" s="335">
        <f t="shared" si="3"/>
        <v>0</v>
      </c>
      <c r="F26" s="122">
        <f t="shared" ref="F26:G26" si="4">+F27+F28+F29+F30+F31</f>
        <v>650000000</v>
      </c>
      <c r="G26" s="484">
        <f t="shared" si="4"/>
        <v>0</v>
      </c>
      <c r="H26" s="140"/>
      <c r="I26" s="122">
        <f>+I27+I28+I29+I30+I31</f>
        <v>650000000</v>
      </c>
      <c r="J26" s="141" t="s">
        <v>179</v>
      </c>
      <c r="K26" s="414"/>
      <c r="L26" s="399"/>
      <c r="M26" s="399"/>
      <c r="N26" s="497"/>
      <c r="O26" s="497"/>
      <c r="P26" s="399"/>
      <c r="Q26" s="121"/>
      <c r="R26" s="615"/>
    </row>
    <row r="27" spans="1:18" ht="12.95" customHeight="1" x14ac:dyDescent="0.2">
      <c r="A27" s="186" t="s">
        <v>127</v>
      </c>
      <c r="B27" s="139" t="s">
        <v>180</v>
      </c>
      <c r="C27" s="139">
        <f>'1. Bevételek'!E41</f>
        <v>650000000</v>
      </c>
      <c r="D27" s="336">
        <v>0</v>
      </c>
      <c r="E27" s="335">
        <f t="shared" si="3"/>
        <v>0</v>
      </c>
      <c r="F27" s="139">
        <v>650000000</v>
      </c>
      <c r="G27" s="483"/>
      <c r="H27" s="139"/>
      <c r="I27" s="120">
        <v>650000000</v>
      </c>
      <c r="J27" s="141" t="s">
        <v>181</v>
      </c>
      <c r="K27" s="414"/>
      <c r="L27" s="399"/>
      <c r="M27" s="399"/>
      <c r="N27" s="497"/>
      <c r="O27" s="497"/>
      <c r="P27" s="399"/>
      <c r="Q27" s="121"/>
      <c r="R27" s="615"/>
    </row>
    <row r="28" spans="1:18" ht="12.95" customHeight="1" x14ac:dyDescent="0.2">
      <c r="A28" s="134" t="s">
        <v>129</v>
      </c>
      <c r="B28" s="139" t="s">
        <v>182</v>
      </c>
      <c r="C28" s="139"/>
      <c r="D28" s="139"/>
      <c r="E28" s="139"/>
      <c r="F28" s="483"/>
      <c r="G28" s="483"/>
      <c r="H28" s="139"/>
      <c r="I28" s="120"/>
      <c r="J28" s="142"/>
      <c r="K28" s="415"/>
      <c r="L28" s="400"/>
      <c r="M28" s="400"/>
      <c r="N28" s="499"/>
      <c r="O28" s="499"/>
      <c r="P28" s="400"/>
      <c r="Q28" s="121"/>
      <c r="R28" s="615"/>
    </row>
    <row r="29" spans="1:18" ht="12.95" customHeight="1" x14ac:dyDescent="0.2">
      <c r="A29" s="186" t="s">
        <v>132</v>
      </c>
      <c r="B29" s="138" t="s">
        <v>183</v>
      </c>
      <c r="C29" s="394"/>
      <c r="D29" s="394"/>
      <c r="E29" s="394"/>
      <c r="F29" s="482"/>
      <c r="G29" s="482"/>
      <c r="H29" s="394"/>
      <c r="I29" s="120"/>
      <c r="J29" s="143"/>
      <c r="K29" s="416"/>
      <c r="L29" s="401"/>
      <c r="M29" s="401"/>
      <c r="N29" s="499"/>
      <c r="O29" s="499"/>
      <c r="P29" s="401"/>
      <c r="Q29" s="121"/>
      <c r="R29" s="615"/>
    </row>
    <row r="30" spans="1:18" ht="12.95" customHeight="1" x14ac:dyDescent="0.2">
      <c r="A30" s="134" t="s">
        <v>135</v>
      </c>
      <c r="B30" s="144" t="s">
        <v>184</v>
      </c>
      <c r="C30" s="395"/>
      <c r="D30" s="395"/>
      <c r="E30" s="395"/>
      <c r="F30" s="485"/>
      <c r="G30" s="485"/>
      <c r="H30" s="395"/>
      <c r="I30" s="120"/>
      <c r="J30" s="108"/>
      <c r="K30" s="223"/>
      <c r="L30" s="346"/>
      <c r="M30" s="346"/>
      <c r="N30" s="500"/>
      <c r="O30" s="500"/>
      <c r="P30" s="346"/>
      <c r="Q30" s="121"/>
      <c r="R30" s="615"/>
    </row>
    <row r="31" spans="1:18" ht="12.95" customHeight="1" thickBot="1" x14ac:dyDescent="0.25">
      <c r="A31" s="186" t="s">
        <v>138</v>
      </c>
      <c r="B31" s="145" t="s">
        <v>185</v>
      </c>
      <c r="C31" s="396"/>
      <c r="D31" s="396"/>
      <c r="E31" s="396"/>
      <c r="F31" s="486"/>
      <c r="G31" s="486"/>
      <c r="H31" s="396"/>
      <c r="I31" s="120"/>
      <c r="J31" s="143"/>
      <c r="K31" s="417"/>
      <c r="L31" s="450"/>
      <c r="M31" s="450"/>
      <c r="N31" s="501"/>
      <c r="O31" s="501"/>
      <c r="P31" s="401"/>
      <c r="Q31" s="121"/>
      <c r="R31" s="615"/>
    </row>
    <row r="32" spans="1:18" ht="21.75" customHeight="1" thickBot="1" x14ac:dyDescent="0.25">
      <c r="A32" s="112" t="s">
        <v>141</v>
      </c>
      <c r="B32" s="113" t="s">
        <v>186</v>
      </c>
      <c r="C32" s="114">
        <f>+C20+C26</f>
        <v>815833401</v>
      </c>
      <c r="D32" s="114">
        <v>0</v>
      </c>
      <c r="E32" s="114">
        <f>+E20+E26</f>
        <v>0</v>
      </c>
      <c r="F32" s="114">
        <f t="shared" ref="F32:G32" si="5">+F20+F26</f>
        <v>815833401</v>
      </c>
      <c r="G32" s="114">
        <f t="shared" si="5"/>
        <v>100833401</v>
      </c>
      <c r="H32" s="114">
        <f>+H20+H26</f>
        <v>0</v>
      </c>
      <c r="I32" s="114">
        <f>+I20+I26</f>
        <v>815833401</v>
      </c>
      <c r="J32" s="113" t="s">
        <v>187</v>
      </c>
      <c r="K32" s="411"/>
      <c r="L32" s="347"/>
      <c r="M32" s="347"/>
      <c r="N32" s="502"/>
      <c r="O32" s="502"/>
      <c r="P32" s="347"/>
      <c r="Q32" s="115">
        <v>0</v>
      </c>
      <c r="R32" s="615"/>
    </row>
    <row r="33" spans="1:18" ht="23.25" customHeight="1" thickBot="1" x14ac:dyDescent="0.25">
      <c r="A33" s="112" t="s">
        <v>144</v>
      </c>
      <c r="B33" s="124" t="s">
        <v>188</v>
      </c>
      <c r="C33" s="114">
        <f>+C19+C32</f>
        <v>929646250</v>
      </c>
      <c r="D33" s="114">
        <v>126128</v>
      </c>
      <c r="E33" s="114">
        <f>+E19+E32</f>
        <v>15999989</v>
      </c>
      <c r="F33" s="114">
        <f t="shared" ref="F33:G33" si="6">+F19+F32</f>
        <v>945772367</v>
      </c>
      <c r="G33" s="114">
        <f t="shared" si="6"/>
        <v>120255728</v>
      </c>
      <c r="H33" s="114">
        <f>+H19+H32</f>
        <v>0</v>
      </c>
      <c r="I33" s="114">
        <f>+I19+I32</f>
        <v>929646250</v>
      </c>
      <c r="J33" s="124" t="s">
        <v>189</v>
      </c>
      <c r="K33" s="115">
        <f>+K19+K32</f>
        <v>929646250</v>
      </c>
      <c r="L33" s="115">
        <v>1489142</v>
      </c>
      <c r="M33" s="115">
        <f>+M19+M32</f>
        <v>9224320</v>
      </c>
      <c r="N33" s="506">
        <f t="shared" ref="N33:P33" si="7">+N19+N32</f>
        <v>940359712</v>
      </c>
      <c r="O33" s="506">
        <f t="shared" si="7"/>
        <v>55086961</v>
      </c>
      <c r="P33" s="115">
        <f t="shared" si="7"/>
        <v>0</v>
      </c>
      <c r="Q33" s="115">
        <f>+Q19+Q32</f>
        <v>929646250</v>
      </c>
      <c r="R33" s="615"/>
    </row>
    <row r="34" spans="1:18" ht="18" customHeight="1" thickBot="1" x14ac:dyDescent="0.25">
      <c r="A34" s="112" t="s">
        <v>190</v>
      </c>
      <c r="B34" s="113" t="s">
        <v>136</v>
      </c>
      <c r="C34" s="341"/>
      <c r="D34" s="341"/>
      <c r="E34" s="341"/>
      <c r="F34" s="487"/>
      <c r="G34" s="487"/>
      <c r="H34" s="341"/>
      <c r="I34" s="125" t="s">
        <v>191</v>
      </c>
      <c r="J34" s="113" t="s">
        <v>137</v>
      </c>
      <c r="K34" s="411"/>
      <c r="L34" s="347"/>
      <c r="M34" s="347"/>
      <c r="N34" s="502"/>
      <c r="O34" s="502"/>
      <c r="P34" s="347"/>
      <c r="Q34" s="126"/>
      <c r="R34" s="615"/>
    </row>
    <row r="35" spans="1:18" ht="13.5" thickBot="1" x14ac:dyDescent="0.25">
      <c r="A35" s="112" t="s">
        <v>192</v>
      </c>
      <c r="B35" s="127" t="s">
        <v>193</v>
      </c>
      <c r="C35" s="128">
        <f>SUM(C33:C34)</f>
        <v>929646250</v>
      </c>
      <c r="D35" s="128">
        <v>126128</v>
      </c>
      <c r="E35" s="128">
        <f>SUM(E33:E34)</f>
        <v>15999989</v>
      </c>
      <c r="F35" s="128">
        <f t="shared" ref="F35:G35" si="8">SUM(F33:F34)</f>
        <v>945772367</v>
      </c>
      <c r="G35" s="128">
        <f t="shared" si="8"/>
        <v>120255728</v>
      </c>
      <c r="H35" s="114">
        <f>+H21+H34</f>
        <v>0</v>
      </c>
      <c r="I35" s="128">
        <f>SUM(I33:I34)</f>
        <v>929646250</v>
      </c>
      <c r="J35" s="127" t="s">
        <v>194</v>
      </c>
      <c r="K35" s="128">
        <f>+K33+K34</f>
        <v>929646250</v>
      </c>
      <c r="L35" s="128">
        <v>1489142</v>
      </c>
      <c r="M35" s="128">
        <f>+M33+M34</f>
        <v>9224320</v>
      </c>
      <c r="N35" s="507">
        <f t="shared" ref="N35:P35" si="9">+N33+N34</f>
        <v>940359712</v>
      </c>
      <c r="O35" s="507">
        <f t="shared" si="9"/>
        <v>55086961</v>
      </c>
      <c r="P35" s="128">
        <f t="shared" si="9"/>
        <v>0</v>
      </c>
      <c r="Q35" s="128">
        <f>+Q33+Q34</f>
        <v>929646250</v>
      </c>
      <c r="R35" s="615"/>
    </row>
    <row r="36" spans="1:18" ht="13.5" thickBot="1" x14ac:dyDescent="0.25">
      <c r="A36" s="112" t="s">
        <v>195</v>
      </c>
      <c r="B36" s="127" t="s">
        <v>142</v>
      </c>
      <c r="C36" s="128">
        <f>IF(C19-K19&lt;0,K19-C19,"-")</f>
        <v>815833401</v>
      </c>
      <c r="D36" s="128"/>
      <c r="E36" s="128"/>
      <c r="F36" s="488"/>
      <c r="G36" s="488"/>
      <c r="H36" s="128" t="str">
        <f>IF(H19-P19&lt;0,P19-H19,"-")</f>
        <v>-</v>
      </c>
      <c r="I36" s="128">
        <f>IF(I19-Q19&lt;0,Q19-I19,"-")</f>
        <v>815833401</v>
      </c>
      <c r="J36" s="127" t="s">
        <v>143</v>
      </c>
      <c r="K36" s="128" t="str">
        <f>IF(K19-R19&lt;0,R19-K19,"-")</f>
        <v>-</v>
      </c>
      <c r="L36" s="128"/>
      <c r="M36" s="128"/>
      <c r="N36" s="488"/>
      <c r="O36" s="488"/>
      <c r="P36" s="128" t="str">
        <f>IF(P19-S19&lt;0,S19-P19,"-")</f>
        <v>-</v>
      </c>
      <c r="Q36" s="128" t="str">
        <f>IF(Q19-T19&lt;0,T19-Q19,"-")</f>
        <v>-</v>
      </c>
      <c r="R36" s="615"/>
    </row>
    <row r="37" spans="1:18" ht="13.5" thickBot="1" x14ac:dyDescent="0.25">
      <c r="A37" s="112" t="s">
        <v>196</v>
      </c>
      <c r="B37" s="127" t="s">
        <v>145</v>
      </c>
      <c r="C37" s="128">
        <f>IF(C19+C20-K33&lt;0,K33-(C19+C20),"-")</f>
        <v>650000000</v>
      </c>
      <c r="D37" s="128"/>
      <c r="E37" s="128"/>
      <c r="F37" s="128"/>
      <c r="G37" s="128"/>
      <c r="H37" s="128" t="str">
        <f>IF(H19+H20-P33&lt;0,P33-(H19+H20),"-")</f>
        <v>-</v>
      </c>
      <c r="I37" s="128">
        <f>IF(I19+I20-Q33&lt;0,Q33-(I19+I20),"-")</f>
        <v>650000000</v>
      </c>
      <c r="J37" s="127" t="s">
        <v>146</v>
      </c>
      <c r="K37" s="128" t="str">
        <f>IF(K19+K20-R33&lt;0,R33-(K19+K20),"-")</f>
        <v>-</v>
      </c>
      <c r="L37" s="128"/>
      <c r="M37" s="128"/>
      <c r="N37" s="128"/>
      <c r="O37" s="128"/>
      <c r="P37" s="128" t="str">
        <f>IF(P19+P20-S33&lt;0,S33-(P19+P20),"-")</f>
        <v>-</v>
      </c>
      <c r="Q37" s="128" t="str">
        <f>IF(Q19+Q20-T33&lt;0,T33-(Q19+Q20),"-")</f>
        <v>-</v>
      </c>
      <c r="R37" s="615"/>
    </row>
  </sheetData>
  <mergeCells count="2">
    <mergeCell ref="R1:R37"/>
    <mergeCell ref="A3:A4"/>
  </mergeCells>
  <phoneticPr fontId="7" type="noConversion"/>
  <pageMargins left="0.25" right="0.25" top="0.75" bottom="0.75" header="0.3" footer="0.3"/>
  <pageSetup paperSize="9" scale="50" orientation="landscape" r:id="rId1"/>
  <headerFooter alignWithMargins="0">
    <oddHeader>&amp;R4.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J60"/>
  <sheetViews>
    <sheetView topLeftCell="A43" workbookViewId="0">
      <selection activeCell="M15" sqref="M15"/>
    </sheetView>
  </sheetViews>
  <sheetFormatPr defaultRowHeight="15" customHeight="1" x14ac:dyDescent="0.2"/>
  <cols>
    <col min="1" max="1" width="3" style="2" customWidth="1"/>
    <col min="2" max="2" width="44.7109375" style="2" bestFit="1" customWidth="1"/>
    <col min="3" max="3" width="5.28515625" style="20" bestFit="1" customWidth="1"/>
    <col min="4" max="4" width="10.85546875" style="20" bestFit="1" customWidth="1"/>
    <col min="5" max="5" width="7.5703125" style="20" bestFit="1" customWidth="1"/>
    <col min="6" max="6" width="8.140625" style="20" bestFit="1" customWidth="1"/>
    <col min="7" max="8" width="10.85546875" style="20" bestFit="1" customWidth="1"/>
    <col min="9" max="9" width="11.5703125" style="11" bestFit="1" customWidth="1"/>
    <col min="10" max="10" width="11.140625" style="11" bestFit="1" customWidth="1"/>
    <col min="11" max="16384" width="9.140625" style="2"/>
  </cols>
  <sheetData>
    <row r="1" spans="1:10" ht="21" customHeight="1" x14ac:dyDescent="0.2">
      <c r="A1" s="540" t="s">
        <v>448</v>
      </c>
      <c r="B1" s="540"/>
      <c r="C1" s="540"/>
      <c r="D1" s="540"/>
      <c r="E1" s="540"/>
      <c r="F1" s="540"/>
      <c r="G1" s="540"/>
      <c r="H1" s="540"/>
      <c r="I1" s="540"/>
      <c r="J1" s="540"/>
    </row>
    <row r="2" spans="1:10" ht="18.75" customHeight="1" x14ac:dyDescent="0.2">
      <c r="A2" s="540" t="s">
        <v>43</v>
      </c>
      <c r="B2" s="540"/>
      <c r="C2" s="540"/>
      <c r="D2" s="540"/>
      <c r="E2" s="540"/>
      <c r="F2" s="540"/>
      <c r="G2" s="540"/>
      <c r="H2" s="540"/>
      <c r="I2" s="540"/>
      <c r="J2" s="296" t="s">
        <v>380</v>
      </c>
    </row>
    <row r="3" spans="1:10" ht="15" customHeight="1" thickBot="1" x14ac:dyDescent="0.25">
      <c r="J3" s="18"/>
    </row>
    <row r="4" spans="1:10" ht="15" customHeight="1" thickBot="1" x14ac:dyDescent="0.25">
      <c r="A4" s="624" t="s">
        <v>36</v>
      </c>
      <c r="B4" s="625"/>
      <c r="C4" s="636" t="s">
        <v>35</v>
      </c>
      <c r="D4" s="638" t="s">
        <v>374</v>
      </c>
      <c r="E4" s="639"/>
      <c r="F4" s="639"/>
      <c r="G4" s="639"/>
      <c r="H4" s="639"/>
      <c r="I4" s="639"/>
      <c r="J4" s="640"/>
    </row>
    <row r="5" spans="1:10" ht="25.5" customHeight="1" thickBot="1" x14ac:dyDescent="0.25">
      <c r="A5" s="626"/>
      <c r="B5" s="627"/>
      <c r="C5" s="637"/>
      <c r="D5" s="299" t="s">
        <v>201</v>
      </c>
      <c r="E5" s="299" t="s">
        <v>432</v>
      </c>
      <c r="F5" s="299" t="s">
        <v>442</v>
      </c>
      <c r="G5" s="299" t="s">
        <v>431</v>
      </c>
      <c r="H5" s="299" t="s">
        <v>428</v>
      </c>
      <c r="I5" s="300" t="s">
        <v>89</v>
      </c>
      <c r="J5" s="150" t="s">
        <v>200</v>
      </c>
    </row>
    <row r="6" spans="1:10" ht="21" customHeight="1" x14ac:dyDescent="0.2">
      <c r="A6" s="58" t="s">
        <v>20</v>
      </c>
      <c r="B6" s="36"/>
      <c r="C6" s="36"/>
      <c r="D6" s="36"/>
      <c r="E6" s="36"/>
      <c r="F6" s="36"/>
      <c r="G6" s="36"/>
      <c r="H6" s="36"/>
      <c r="I6" s="301"/>
      <c r="J6" s="151"/>
    </row>
    <row r="7" spans="1:10" s="13" customFormat="1" ht="18" customHeight="1" x14ac:dyDescent="0.2">
      <c r="A7" s="59" t="s">
        <v>17</v>
      </c>
      <c r="B7" s="60"/>
      <c r="C7" s="60"/>
      <c r="D7" s="302"/>
      <c r="E7" s="431"/>
      <c r="F7" s="431"/>
      <c r="G7" s="431"/>
      <c r="H7" s="431"/>
      <c r="I7" s="156"/>
      <c r="J7" s="152"/>
    </row>
    <row r="8" spans="1:10" ht="25.5" x14ac:dyDescent="0.2">
      <c r="A8" s="64" t="s">
        <v>37</v>
      </c>
      <c r="B8" s="65" t="s">
        <v>73</v>
      </c>
      <c r="C8" s="66" t="s">
        <v>77</v>
      </c>
      <c r="D8" s="508">
        <f t="shared" ref="D8:J8" si="0">SUM(D9:D10)</f>
        <v>105524914</v>
      </c>
      <c r="E8" s="508">
        <f t="shared" si="0"/>
        <v>0</v>
      </c>
      <c r="F8" s="508">
        <f t="shared" si="0"/>
        <v>0</v>
      </c>
      <c r="G8" s="508">
        <f t="shared" si="0"/>
        <v>105524914</v>
      </c>
      <c r="H8" s="508">
        <f t="shared" si="0"/>
        <v>74698388</v>
      </c>
      <c r="I8" s="67">
        <f t="shared" si="0"/>
        <v>0</v>
      </c>
      <c r="J8" s="67">
        <f t="shared" si="0"/>
        <v>285748216</v>
      </c>
    </row>
    <row r="9" spans="1:10" ht="25.5" x14ac:dyDescent="0.2">
      <c r="A9" s="28" t="s">
        <v>37</v>
      </c>
      <c r="B9" s="14" t="s">
        <v>78</v>
      </c>
      <c r="C9" s="42"/>
      <c r="D9" s="521">
        <v>105524914</v>
      </c>
      <c r="E9" s="514"/>
      <c r="F9" s="514">
        <f>G9-E9-D9</f>
        <v>0</v>
      </c>
      <c r="G9" s="432">
        <v>105524914</v>
      </c>
      <c r="H9" s="432">
        <v>74698388</v>
      </c>
      <c r="I9" s="303">
        <v>0</v>
      </c>
      <c r="J9" s="10">
        <f>SUM(D9:I9)</f>
        <v>285748216</v>
      </c>
    </row>
    <row r="10" spans="1:10" ht="15.75" customHeight="1" x14ac:dyDescent="0.2">
      <c r="A10" s="61"/>
      <c r="B10" s="62"/>
      <c r="C10" s="62"/>
      <c r="D10" s="62"/>
      <c r="E10" s="515"/>
      <c r="F10" s="515"/>
      <c r="G10" s="433"/>
      <c r="H10" s="433"/>
      <c r="J10" s="153"/>
    </row>
    <row r="11" spans="1:10" ht="15" customHeight="1" x14ac:dyDescent="0.2">
      <c r="A11" s="30" t="s">
        <v>38</v>
      </c>
      <c r="B11" s="33" t="s">
        <v>283</v>
      </c>
      <c r="C11" s="40" t="s">
        <v>358</v>
      </c>
      <c r="D11" s="509">
        <f t="shared" ref="D11:J11" si="1">SUM(D12:D12)</f>
        <v>550000</v>
      </c>
      <c r="E11" s="509">
        <f t="shared" si="1"/>
        <v>0</v>
      </c>
      <c r="F11" s="509">
        <f t="shared" si="1"/>
        <v>0</v>
      </c>
      <c r="G11" s="509">
        <f t="shared" si="1"/>
        <v>550000</v>
      </c>
      <c r="H11" s="509">
        <f t="shared" si="1"/>
        <v>390000</v>
      </c>
      <c r="I11" s="45">
        <f t="shared" si="1"/>
        <v>0</v>
      </c>
      <c r="J11" s="45">
        <f t="shared" si="1"/>
        <v>1490000</v>
      </c>
    </row>
    <row r="12" spans="1:10" ht="15" customHeight="1" x14ac:dyDescent="0.2">
      <c r="A12" s="28" t="s">
        <v>37</v>
      </c>
      <c r="B12" s="14" t="s">
        <v>215</v>
      </c>
      <c r="C12" s="42"/>
      <c r="D12" s="298">
        <v>550000</v>
      </c>
      <c r="E12" s="514"/>
      <c r="F12" s="514">
        <f>G12-E12-D12</f>
        <v>0</v>
      </c>
      <c r="G12" s="432">
        <v>550000</v>
      </c>
      <c r="H12" s="432">
        <v>390000</v>
      </c>
      <c r="I12" s="303">
        <v>0</v>
      </c>
      <c r="J12" s="10">
        <f>SUM(D12:I12)</f>
        <v>1490000</v>
      </c>
    </row>
    <row r="13" spans="1:10" ht="26.25" customHeight="1" x14ac:dyDescent="0.2">
      <c r="A13" s="30" t="s">
        <v>39</v>
      </c>
      <c r="B13" s="31" t="s">
        <v>31</v>
      </c>
      <c r="C13" s="40" t="s">
        <v>358</v>
      </c>
      <c r="D13" s="509">
        <f t="shared" ref="D13:J13" si="2">SUM(D14:D20)</f>
        <v>1028510</v>
      </c>
      <c r="E13" s="509">
        <f t="shared" si="2"/>
        <v>0</v>
      </c>
      <c r="F13" s="509">
        <f t="shared" si="2"/>
        <v>0</v>
      </c>
      <c r="G13" s="509">
        <f t="shared" si="2"/>
        <v>1028510</v>
      </c>
      <c r="H13" s="509">
        <f t="shared" si="2"/>
        <v>958510</v>
      </c>
      <c r="I13" s="45">
        <f t="shared" si="2"/>
        <v>941822</v>
      </c>
      <c r="J13" s="45">
        <f t="shared" si="2"/>
        <v>3957352</v>
      </c>
    </row>
    <row r="14" spans="1:10" ht="15" customHeight="1" x14ac:dyDescent="0.2">
      <c r="A14" s="28" t="s">
        <v>37</v>
      </c>
      <c r="B14" s="7" t="s">
        <v>71</v>
      </c>
      <c r="C14" s="42"/>
      <c r="D14" s="298">
        <v>0</v>
      </c>
      <c r="E14" s="514"/>
      <c r="F14" s="514">
        <f t="shared" ref="F14:F19" si="3">G14-E14-D14</f>
        <v>0</v>
      </c>
      <c r="G14" s="514">
        <v>0</v>
      </c>
      <c r="H14" s="432"/>
      <c r="I14" s="303"/>
      <c r="J14" s="10">
        <f t="shared" ref="J14:J19" si="4">SUM(D14:I14)</f>
        <v>0</v>
      </c>
    </row>
    <row r="15" spans="1:10" ht="15" customHeight="1" x14ac:dyDescent="0.2">
      <c r="A15" s="28" t="s">
        <v>38</v>
      </c>
      <c r="B15" s="8" t="s">
        <v>67</v>
      </c>
      <c r="C15" s="8"/>
      <c r="D15" s="297">
        <v>70000</v>
      </c>
      <c r="E15" s="516"/>
      <c r="F15" s="514">
        <f t="shared" si="3"/>
        <v>0</v>
      </c>
      <c r="G15" s="516">
        <v>70000</v>
      </c>
      <c r="H15" s="434"/>
      <c r="I15" s="304"/>
      <c r="J15" s="10">
        <f t="shared" si="4"/>
        <v>140000</v>
      </c>
    </row>
    <row r="16" spans="1:10" ht="15" customHeight="1" x14ac:dyDescent="0.2">
      <c r="A16" s="28" t="s">
        <v>39</v>
      </c>
      <c r="B16" s="7" t="s">
        <v>386</v>
      </c>
      <c r="C16" s="8"/>
      <c r="D16" s="297">
        <v>508325</v>
      </c>
      <c r="E16" s="516"/>
      <c r="F16" s="514">
        <f t="shared" si="3"/>
        <v>0</v>
      </c>
      <c r="G16" s="516">
        <v>508325</v>
      </c>
      <c r="H16" s="434">
        <v>508325</v>
      </c>
      <c r="I16" s="304"/>
      <c r="J16" s="10">
        <f t="shared" si="4"/>
        <v>1524975</v>
      </c>
    </row>
    <row r="17" spans="1:10" ht="15" customHeight="1" x14ac:dyDescent="0.2">
      <c r="A17" s="28" t="s">
        <v>40</v>
      </c>
      <c r="B17" s="7" t="s">
        <v>383</v>
      </c>
      <c r="C17" s="42"/>
      <c r="D17" s="297">
        <v>164664</v>
      </c>
      <c r="E17" s="516"/>
      <c r="F17" s="514">
        <f t="shared" si="3"/>
        <v>0</v>
      </c>
      <c r="G17" s="516">
        <v>164664</v>
      </c>
      <c r="H17" s="434">
        <v>164664</v>
      </c>
      <c r="I17" s="303"/>
      <c r="J17" s="10">
        <f t="shared" si="4"/>
        <v>493992</v>
      </c>
    </row>
    <row r="18" spans="1:10" ht="15" customHeight="1" x14ac:dyDescent="0.2">
      <c r="A18" s="28" t="s">
        <v>41</v>
      </c>
      <c r="B18" s="7" t="s">
        <v>384</v>
      </c>
      <c r="C18" s="42"/>
      <c r="D18" s="297">
        <v>285521</v>
      </c>
      <c r="E18" s="516"/>
      <c r="F18" s="514">
        <f t="shared" si="3"/>
        <v>0</v>
      </c>
      <c r="G18" s="516">
        <v>285521</v>
      </c>
      <c r="H18" s="434">
        <v>285521</v>
      </c>
      <c r="I18" s="303"/>
      <c r="J18" s="10">
        <f t="shared" si="4"/>
        <v>856563</v>
      </c>
    </row>
    <row r="19" spans="1:10" ht="15" customHeight="1" x14ac:dyDescent="0.2">
      <c r="A19" s="28" t="s">
        <v>46</v>
      </c>
      <c r="B19" s="8" t="s">
        <v>388</v>
      </c>
      <c r="C19" s="42"/>
      <c r="D19" s="297">
        <v>0</v>
      </c>
      <c r="E19" s="516"/>
      <c r="F19" s="514">
        <f t="shared" si="3"/>
        <v>0</v>
      </c>
      <c r="G19" s="516">
        <v>0</v>
      </c>
      <c r="H19" s="434"/>
      <c r="I19" s="303">
        <v>941822</v>
      </c>
      <c r="J19" s="10">
        <f t="shared" si="4"/>
        <v>941822</v>
      </c>
    </row>
    <row r="20" spans="1:10" ht="15" customHeight="1" x14ac:dyDescent="0.2">
      <c r="A20" s="28"/>
      <c r="C20" s="8"/>
      <c r="D20" s="297"/>
      <c r="E20" s="516"/>
      <c r="F20" s="516"/>
      <c r="G20" s="516"/>
      <c r="H20" s="434"/>
      <c r="I20" s="304"/>
      <c r="J20" s="10"/>
    </row>
    <row r="21" spans="1:10" ht="22.5" customHeight="1" x14ac:dyDescent="0.2">
      <c r="A21" s="30" t="s">
        <v>40</v>
      </c>
      <c r="B21" s="31" t="s">
        <v>72</v>
      </c>
      <c r="C21" s="40" t="s">
        <v>358</v>
      </c>
      <c r="D21" s="509">
        <f>SUM(D22:D26)</f>
        <v>245785163</v>
      </c>
      <c r="E21" s="509">
        <f t="shared" ref="E21:H21" si="5">SUM(E22:E26)</f>
        <v>0</v>
      </c>
      <c r="F21" s="509">
        <f t="shared" si="5"/>
        <v>15000</v>
      </c>
      <c r="G21" s="509">
        <f t="shared" si="5"/>
        <v>245800163</v>
      </c>
      <c r="H21" s="509">
        <f t="shared" si="5"/>
        <v>161491824</v>
      </c>
      <c r="I21" s="45">
        <f>SUM(I22:I26)</f>
        <v>0</v>
      </c>
      <c r="J21" s="45">
        <f>SUM(J22:J26)</f>
        <v>653092150</v>
      </c>
    </row>
    <row r="22" spans="1:10" ht="25.5" x14ac:dyDescent="0.2">
      <c r="A22" s="28" t="s">
        <v>37</v>
      </c>
      <c r="B22" s="14" t="s">
        <v>433</v>
      </c>
      <c r="C22" s="42"/>
      <c r="D22" s="298">
        <v>49935</v>
      </c>
      <c r="E22" s="514"/>
      <c r="F22" s="514">
        <f t="shared" ref="F22:F25" si="6">G22-E22-D22</f>
        <v>0</v>
      </c>
      <c r="G22" s="514">
        <v>49935</v>
      </c>
      <c r="H22" s="432"/>
      <c r="I22" s="303">
        <v>0</v>
      </c>
      <c r="J22" s="10">
        <f t="shared" ref="J22:J25" si="7">SUM(D22:I22)</f>
        <v>99870</v>
      </c>
    </row>
    <row r="23" spans="1:10" ht="18" customHeight="1" x14ac:dyDescent="0.2">
      <c r="A23" s="28" t="s">
        <v>38</v>
      </c>
      <c r="B23" s="8" t="s">
        <v>385</v>
      </c>
      <c r="C23" s="42"/>
      <c r="D23" s="297">
        <v>95000</v>
      </c>
      <c r="E23" s="516"/>
      <c r="F23" s="514">
        <f t="shared" si="6"/>
        <v>0</v>
      </c>
      <c r="G23" s="516">
        <v>95000</v>
      </c>
      <c r="H23" s="434">
        <v>99360</v>
      </c>
      <c r="I23" s="303">
        <v>0</v>
      </c>
      <c r="J23" s="10">
        <f t="shared" si="7"/>
        <v>289360</v>
      </c>
    </row>
    <row r="24" spans="1:10" ht="18" customHeight="1" x14ac:dyDescent="0.2">
      <c r="A24" s="28" t="s">
        <v>39</v>
      </c>
      <c r="B24" s="7" t="s">
        <v>208</v>
      </c>
      <c r="C24" s="42"/>
      <c r="D24" s="297">
        <v>233921053</v>
      </c>
      <c r="E24" s="516"/>
      <c r="F24" s="514">
        <f t="shared" si="6"/>
        <v>0</v>
      </c>
      <c r="G24" s="516">
        <v>233921053</v>
      </c>
      <c r="H24" s="434">
        <f>103378406+49073670</f>
        <v>152452076</v>
      </c>
      <c r="I24" s="303">
        <v>0</v>
      </c>
      <c r="J24" s="10">
        <f t="shared" si="7"/>
        <v>620294182</v>
      </c>
    </row>
    <row r="25" spans="1:10" ht="18" customHeight="1" x14ac:dyDescent="0.2">
      <c r="A25" s="28" t="s">
        <v>40</v>
      </c>
      <c r="B25" s="7" t="s">
        <v>207</v>
      </c>
      <c r="C25" s="42"/>
      <c r="D25" s="297">
        <v>11719175</v>
      </c>
      <c r="E25" s="516"/>
      <c r="F25" s="514">
        <f t="shared" si="6"/>
        <v>15000</v>
      </c>
      <c r="G25" s="516">
        <f>11719175+15000</f>
        <v>11734175</v>
      </c>
      <c r="H25" s="434">
        <f>5502808+3437580</f>
        <v>8940388</v>
      </c>
      <c r="I25" s="303">
        <v>0</v>
      </c>
      <c r="J25" s="10">
        <f t="shared" si="7"/>
        <v>32408738</v>
      </c>
    </row>
    <row r="26" spans="1:10" ht="18" customHeight="1" x14ac:dyDescent="0.2">
      <c r="A26" s="28"/>
      <c r="B26" s="7"/>
      <c r="C26" s="42"/>
      <c r="D26" s="297"/>
      <c r="E26" s="516"/>
      <c r="F26" s="516"/>
      <c r="G26" s="516"/>
      <c r="H26" s="434"/>
      <c r="I26" s="303"/>
      <c r="J26" s="10"/>
    </row>
    <row r="27" spans="1:10" ht="23.25" customHeight="1" x14ac:dyDescent="0.2">
      <c r="A27" s="622" t="s">
        <v>0</v>
      </c>
      <c r="B27" s="623"/>
      <c r="C27" s="43" t="s">
        <v>358</v>
      </c>
      <c r="D27" s="510">
        <f>D11+D13+D21</f>
        <v>247363673</v>
      </c>
      <c r="E27" s="510">
        <f t="shared" ref="E27:H27" si="8">E11+E13+E21</f>
        <v>0</v>
      </c>
      <c r="F27" s="510">
        <f t="shared" si="8"/>
        <v>15000</v>
      </c>
      <c r="G27" s="510">
        <f t="shared" si="8"/>
        <v>247378673</v>
      </c>
      <c r="H27" s="510">
        <f t="shared" si="8"/>
        <v>162840334</v>
      </c>
      <c r="I27" s="25">
        <f>I11+I13+I21</f>
        <v>941822</v>
      </c>
      <c r="J27" s="25">
        <f>J11+J13+J21</f>
        <v>658539502</v>
      </c>
    </row>
    <row r="28" spans="1:10" ht="24" customHeight="1" x14ac:dyDescent="0.2">
      <c r="A28" s="630"/>
      <c r="B28" s="631"/>
      <c r="C28" s="631"/>
      <c r="D28" s="631"/>
      <c r="E28" s="517"/>
      <c r="F28" s="517"/>
      <c r="G28" s="517"/>
      <c r="H28" s="435"/>
      <c r="I28" s="305"/>
      <c r="J28" s="154"/>
    </row>
    <row r="29" spans="1:10" ht="22.5" customHeight="1" x14ac:dyDescent="0.2">
      <c r="A29" s="34" t="s">
        <v>37</v>
      </c>
      <c r="B29" s="31" t="s">
        <v>31</v>
      </c>
      <c r="C29" s="40" t="s">
        <v>75</v>
      </c>
      <c r="D29" s="511">
        <f t="shared" ref="D29:J29" si="9">SUM(D30:D30)</f>
        <v>0</v>
      </c>
      <c r="E29" s="511">
        <f t="shared" si="9"/>
        <v>0</v>
      </c>
      <c r="F29" s="511">
        <f t="shared" si="9"/>
        <v>0</v>
      </c>
      <c r="G29" s="511">
        <f t="shared" si="9"/>
        <v>0</v>
      </c>
      <c r="H29" s="511">
        <f t="shared" si="9"/>
        <v>0</v>
      </c>
      <c r="I29" s="27">
        <f t="shared" si="9"/>
        <v>0</v>
      </c>
      <c r="J29" s="27">
        <f t="shared" si="9"/>
        <v>0</v>
      </c>
    </row>
    <row r="30" spans="1:10" ht="15.75" customHeight="1" x14ac:dyDescent="0.2">
      <c r="A30" s="28"/>
      <c r="B30" s="14"/>
      <c r="C30" s="42"/>
      <c r="D30" s="297"/>
      <c r="E30" s="518"/>
      <c r="F30" s="518"/>
      <c r="G30" s="518"/>
      <c r="H30" s="436"/>
      <c r="J30" s="10"/>
    </row>
    <row r="31" spans="1:10" ht="21" customHeight="1" thickBot="1" x14ac:dyDescent="0.25">
      <c r="A31" s="632" t="s">
        <v>6</v>
      </c>
      <c r="B31" s="633"/>
      <c r="C31" s="41" t="s">
        <v>75</v>
      </c>
      <c r="D31" s="512">
        <f t="shared" ref="D31:J31" si="10">D29</f>
        <v>0</v>
      </c>
      <c r="E31" s="512">
        <f t="shared" si="10"/>
        <v>0</v>
      </c>
      <c r="F31" s="512">
        <f t="shared" si="10"/>
        <v>0</v>
      </c>
      <c r="G31" s="512">
        <f t="shared" si="10"/>
        <v>0</v>
      </c>
      <c r="H31" s="512">
        <f t="shared" si="10"/>
        <v>0</v>
      </c>
      <c r="I31" s="12">
        <f t="shared" si="10"/>
        <v>0</v>
      </c>
      <c r="J31" s="12">
        <f t="shared" si="10"/>
        <v>0</v>
      </c>
    </row>
    <row r="32" spans="1:10" ht="18" customHeight="1" thickBot="1" x14ac:dyDescent="0.25">
      <c r="A32" s="634" t="s">
        <v>18</v>
      </c>
      <c r="B32" s="635"/>
      <c r="C32" s="44"/>
      <c r="D32" s="513">
        <f t="shared" ref="D32:J32" si="11">D27+D31</f>
        <v>247363673</v>
      </c>
      <c r="E32" s="513">
        <f t="shared" si="11"/>
        <v>0</v>
      </c>
      <c r="F32" s="513">
        <f t="shared" si="11"/>
        <v>15000</v>
      </c>
      <c r="G32" s="513">
        <f t="shared" si="11"/>
        <v>247378673</v>
      </c>
      <c r="H32" s="513">
        <f t="shared" si="11"/>
        <v>162840334</v>
      </c>
      <c r="I32" s="15">
        <f t="shared" si="11"/>
        <v>941822</v>
      </c>
      <c r="J32" s="15">
        <f t="shared" si="11"/>
        <v>658539502</v>
      </c>
    </row>
    <row r="33" spans="1:10" ht="15" customHeight="1" thickBot="1" x14ac:dyDescent="0.25">
      <c r="A33" s="628" t="s">
        <v>21</v>
      </c>
      <c r="B33" s="629"/>
      <c r="C33" s="629"/>
      <c r="D33" s="629"/>
      <c r="E33" s="519"/>
      <c r="F33" s="519"/>
      <c r="G33" s="519"/>
      <c r="H33" s="426"/>
      <c r="I33" s="306"/>
      <c r="J33" s="155"/>
    </row>
    <row r="34" spans="1:10" ht="15" customHeight="1" x14ac:dyDescent="0.2">
      <c r="A34" s="620" t="s">
        <v>19</v>
      </c>
      <c r="B34" s="621"/>
      <c r="C34" s="621"/>
      <c r="D34" s="621"/>
      <c r="E34" s="520"/>
      <c r="F34" s="520"/>
      <c r="G34" s="520"/>
      <c r="H34" s="437"/>
      <c r="J34" s="153"/>
    </row>
    <row r="35" spans="1:10" ht="15" customHeight="1" x14ac:dyDescent="0.2">
      <c r="A35" s="34" t="s">
        <v>37</v>
      </c>
      <c r="B35" s="286" t="s">
        <v>7</v>
      </c>
      <c r="C35" s="40" t="s">
        <v>359</v>
      </c>
      <c r="D35" s="511">
        <f t="shared" ref="D35:J35" si="12">SUM(D36:D36)</f>
        <v>10000</v>
      </c>
      <c r="E35" s="511">
        <f t="shared" si="12"/>
        <v>0</v>
      </c>
      <c r="F35" s="511">
        <f t="shared" si="12"/>
        <v>0</v>
      </c>
      <c r="G35" s="511">
        <f t="shared" si="12"/>
        <v>10000</v>
      </c>
      <c r="H35" s="511">
        <f t="shared" si="12"/>
        <v>4000</v>
      </c>
      <c r="I35" s="27">
        <f t="shared" si="12"/>
        <v>0</v>
      </c>
      <c r="J35" s="27">
        <f t="shared" si="12"/>
        <v>24000</v>
      </c>
    </row>
    <row r="36" spans="1:10" ht="15" customHeight="1" x14ac:dyDescent="0.2">
      <c r="A36" s="29"/>
      <c r="B36" s="287" t="s">
        <v>74</v>
      </c>
      <c r="C36" s="42"/>
      <c r="D36" s="297">
        <v>10000</v>
      </c>
      <c r="E36" s="516"/>
      <c r="F36" s="514">
        <f t="shared" ref="F36:F58" si="13">G36-E36-D36</f>
        <v>0</v>
      </c>
      <c r="G36" s="516">
        <v>10000</v>
      </c>
      <c r="H36" s="434">
        <f>4000</f>
        <v>4000</v>
      </c>
      <c r="I36" s="303"/>
      <c r="J36" s="10">
        <f>SUM(D36:I36)</f>
        <v>24000</v>
      </c>
    </row>
    <row r="37" spans="1:10" ht="15" customHeight="1" x14ac:dyDescent="0.2">
      <c r="A37" s="34" t="s">
        <v>38</v>
      </c>
      <c r="B37" s="286" t="s">
        <v>68</v>
      </c>
      <c r="C37" s="40" t="s">
        <v>359</v>
      </c>
      <c r="D37" s="511">
        <f>SUM(D38:D39)</f>
        <v>4168800</v>
      </c>
      <c r="E37" s="511">
        <f t="shared" ref="E37:H37" si="14">SUM(E38:E39)</f>
        <v>0</v>
      </c>
      <c r="F37" s="511">
        <f t="shared" si="14"/>
        <v>0</v>
      </c>
      <c r="G37" s="511">
        <f t="shared" si="14"/>
        <v>4168800</v>
      </c>
      <c r="H37" s="511">
        <f t="shared" si="14"/>
        <v>13145227</v>
      </c>
      <c r="I37" s="27">
        <f>SUM(I38:I39)</f>
        <v>0</v>
      </c>
      <c r="J37" s="27">
        <f>SUM(D37:I37)</f>
        <v>21482827</v>
      </c>
    </row>
    <row r="38" spans="1:10" ht="15" customHeight="1" x14ac:dyDescent="0.2">
      <c r="A38" s="29" t="s">
        <v>37</v>
      </c>
      <c r="B38" s="22" t="s">
        <v>69</v>
      </c>
      <c r="C38" s="42"/>
      <c r="D38" s="297">
        <v>4168800</v>
      </c>
      <c r="E38" s="516"/>
      <c r="F38" s="514">
        <f t="shared" si="13"/>
        <v>0</v>
      </c>
      <c r="G38" s="516">
        <v>4168800</v>
      </c>
      <c r="H38" s="455">
        <f>5085500+1795500</f>
        <v>6881000</v>
      </c>
      <c r="I38" s="303">
        <v>0</v>
      </c>
      <c r="J38" s="10">
        <f>SUM(D38:I38)</f>
        <v>15218600</v>
      </c>
    </row>
    <row r="39" spans="1:10" ht="15" customHeight="1" x14ac:dyDescent="0.2">
      <c r="A39" s="29"/>
      <c r="B39" s="287" t="s">
        <v>434</v>
      </c>
      <c r="C39" s="42"/>
      <c r="D39" s="297"/>
      <c r="E39" s="516"/>
      <c r="F39" s="514">
        <f t="shared" si="13"/>
        <v>0</v>
      </c>
      <c r="G39" s="516"/>
      <c r="H39" s="434">
        <v>6264227</v>
      </c>
      <c r="I39" s="303"/>
      <c r="J39" s="10"/>
    </row>
    <row r="40" spans="1:10" ht="15" customHeight="1" x14ac:dyDescent="0.2">
      <c r="A40" s="32" t="s">
        <v>39</v>
      </c>
      <c r="B40" s="286" t="s">
        <v>79</v>
      </c>
      <c r="C40" s="40" t="s">
        <v>359</v>
      </c>
      <c r="D40" s="511">
        <f>SUM(D41:D58)</f>
        <v>29450505</v>
      </c>
      <c r="E40" s="511">
        <f t="shared" ref="E40:H40" si="15">SUM(E41:E58)</f>
        <v>75000</v>
      </c>
      <c r="F40" s="511">
        <f t="shared" si="15"/>
        <v>240000</v>
      </c>
      <c r="G40" s="511">
        <f t="shared" si="15"/>
        <v>29765505</v>
      </c>
      <c r="H40" s="511">
        <f t="shared" si="15"/>
        <v>13547755</v>
      </c>
      <c r="I40" s="27">
        <f>SUM(I41:I58)</f>
        <v>0</v>
      </c>
      <c r="J40" s="27">
        <f>SUM(D40:I40)</f>
        <v>73078765</v>
      </c>
    </row>
    <row r="41" spans="1:10" ht="15" customHeight="1" x14ac:dyDescent="0.2">
      <c r="A41" s="29" t="s">
        <v>37</v>
      </c>
      <c r="B41" s="22" t="s">
        <v>209</v>
      </c>
      <c r="C41" s="42"/>
      <c r="D41" s="297">
        <v>100000</v>
      </c>
      <c r="E41" s="516">
        <v>0</v>
      </c>
      <c r="F41" s="514">
        <f t="shared" si="13"/>
        <v>0</v>
      </c>
      <c r="G41" s="516">
        <v>100000</v>
      </c>
      <c r="H41" s="434"/>
      <c r="I41" s="303">
        <v>0</v>
      </c>
      <c r="J41" s="10">
        <f>SUM(D41:I41)</f>
        <v>200000</v>
      </c>
    </row>
    <row r="42" spans="1:10" ht="15" customHeight="1" x14ac:dyDescent="0.2">
      <c r="A42" s="29" t="s">
        <v>38</v>
      </c>
      <c r="B42" s="22" t="s">
        <v>55</v>
      </c>
      <c r="C42" s="42"/>
      <c r="D42" s="297">
        <v>200000</v>
      </c>
      <c r="E42" s="516">
        <v>0</v>
      </c>
      <c r="F42" s="514">
        <f t="shared" si="13"/>
        <v>0</v>
      </c>
      <c r="G42" s="516">
        <v>200000</v>
      </c>
      <c r="H42" s="434">
        <f>200000</f>
        <v>200000</v>
      </c>
      <c r="I42" s="303">
        <v>0</v>
      </c>
      <c r="J42" s="10">
        <f t="shared" ref="J42:J58" si="16">SUM(D42:I42)</f>
        <v>600000</v>
      </c>
    </row>
    <row r="43" spans="1:10" ht="15" customHeight="1" x14ac:dyDescent="0.2">
      <c r="A43" s="29" t="s">
        <v>39</v>
      </c>
      <c r="B43" s="22" t="s">
        <v>56</v>
      </c>
      <c r="C43" s="42"/>
      <c r="D43" s="297">
        <v>350000</v>
      </c>
      <c r="E43" s="516">
        <v>0</v>
      </c>
      <c r="F43" s="514">
        <f t="shared" si="13"/>
        <v>0</v>
      </c>
      <c r="G43" s="516">
        <v>350000</v>
      </c>
      <c r="H43" s="434">
        <f>350000</f>
        <v>350000</v>
      </c>
      <c r="I43" s="303">
        <v>0</v>
      </c>
      <c r="J43" s="10">
        <f t="shared" si="16"/>
        <v>1050000</v>
      </c>
    </row>
    <row r="44" spans="1:10" ht="15" customHeight="1" x14ac:dyDescent="0.2">
      <c r="A44" s="29" t="s">
        <v>40</v>
      </c>
      <c r="B44" s="22" t="s">
        <v>57</v>
      </c>
      <c r="C44" s="42"/>
      <c r="D44" s="297">
        <v>250000</v>
      </c>
      <c r="E44" s="516">
        <v>0</v>
      </c>
      <c r="F44" s="514">
        <f t="shared" si="13"/>
        <v>0</v>
      </c>
      <c r="G44" s="516">
        <v>250000</v>
      </c>
      <c r="H44" s="434"/>
      <c r="I44" s="303">
        <v>0</v>
      </c>
      <c r="J44" s="10">
        <f t="shared" si="16"/>
        <v>500000</v>
      </c>
    </row>
    <row r="45" spans="1:10" ht="15" customHeight="1" x14ac:dyDescent="0.2">
      <c r="A45" s="29" t="s">
        <v>41</v>
      </c>
      <c r="B45" s="22" t="s">
        <v>210</v>
      </c>
      <c r="C45" s="42"/>
      <c r="D45" s="297">
        <v>5878505</v>
      </c>
      <c r="E45" s="516">
        <v>0</v>
      </c>
      <c r="F45" s="514">
        <f t="shared" si="13"/>
        <v>0</v>
      </c>
      <c r="G45" s="516">
        <v>5878505</v>
      </c>
      <c r="H45" s="434">
        <f>540500+934755+489250+489250+489250+1467750</f>
        <v>4410755</v>
      </c>
      <c r="I45" s="303">
        <v>0</v>
      </c>
      <c r="J45" s="10">
        <f t="shared" si="16"/>
        <v>16167765</v>
      </c>
    </row>
    <row r="46" spans="1:10" ht="15" customHeight="1" x14ac:dyDescent="0.2">
      <c r="A46" s="29" t="s">
        <v>46</v>
      </c>
      <c r="B46" s="22" t="s">
        <v>58</v>
      </c>
      <c r="C46" s="42"/>
      <c r="D46" s="297">
        <v>2000000</v>
      </c>
      <c r="E46" s="516">
        <v>0</v>
      </c>
      <c r="F46" s="514">
        <f t="shared" si="13"/>
        <v>0</v>
      </c>
      <c r="G46" s="516">
        <v>2000000</v>
      </c>
      <c r="H46" s="434">
        <f>500000+500000+500000</f>
        <v>1500000</v>
      </c>
      <c r="I46" s="303">
        <v>0</v>
      </c>
      <c r="J46" s="10">
        <f t="shared" si="16"/>
        <v>5500000</v>
      </c>
    </row>
    <row r="47" spans="1:10" ht="15" customHeight="1" x14ac:dyDescent="0.2">
      <c r="A47" s="29" t="s">
        <v>48</v>
      </c>
      <c r="B47" s="22" t="s">
        <v>59</v>
      </c>
      <c r="C47" s="42"/>
      <c r="D47" s="297">
        <v>950000</v>
      </c>
      <c r="E47" s="516">
        <v>20000</v>
      </c>
      <c r="F47" s="514">
        <f t="shared" si="13"/>
        <v>30000</v>
      </c>
      <c r="G47" s="516">
        <f>950000+20000+30000</f>
        <v>1000000</v>
      </c>
      <c r="H47" s="434">
        <f>20000+105000</f>
        <v>125000</v>
      </c>
      <c r="I47" s="303">
        <v>0</v>
      </c>
      <c r="J47" s="10">
        <f t="shared" si="16"/>
        <v>2125000</v>
      </c>
    </row>
    <row r="48" spans="1:10" ht="15" customHeight="1" x14ac:dyDescent="0.2">
      <c r="A48" s="29" t="s">
        <v>49</v>
      </c>
      <c r="B48" s="2" t="s">
        <v>387</v>
      </c>
      <c r="C48" s="42"/>
      <c r="D48" s="297">
        <v>60000</v>
      </c>
      <c r="E48" s="516">
        <v>0</v>
      </c>
      <c r="F48" s="514">
        <f t="shared" si="13"/>
        <v>0</v>
      </c>
      <c r="G48" s="516">
        <v>60000</v>
      </c>
      <c r="H48" s="434">
        <f>60000</f>
        <v>60000</v>
      </c>
      <c r="I48" s="303">
        <v>0</v>
      </c>
      <c r="J48" s="10">
        <f t="shared" si="16"/>
        <v>180000</v>
      </c>
    </row>
    <row r="49" spans="1:10" ht="15" customHeight="1" x14ac:dyDescent="0.2">
      <c r="A49" s="29" t="s">
        <v>50</v>
      </c>
      <c r="B49" s="22" t="s">
        <v>60</v>
      </c>
      <c r="C49" s="42"/>
      <c r="D49" s="297">
        <v>400000</v>
      </c>
      <c r="E49" s="516">
        <v>0</v>
      </c>
      <c r="F49" s="514">
        <f t="shared" si="13"/>
        <v>0</v>
      </c>
      <c r="G49" s="516">
        <v>400000</v>
      </c>
      <c r="H49" s="434">
        <f>80000</f>
        <v>80000</v>
      </c>
      <c r="I49" s="303">
        <v>0</v>
      </c>
      <c r="J49" s="10">
        <f t="shared" si="16"/>
        <v>880000</v>
      </c>
    </row>
    <row r="50" spans="1:10" ht="15" customHeight="1" x14ac:dyDescent="0.2">
      <c r="A50" s="29" t="s">
        <v>51</v>
      </c>
      <c r="B50" s="22" t="s">
        <v>61</v>
      </c>
      <c r="C50" s="42"/>
      <c r="D50" s="297">
        <v>1150000</v>
      </c>
      <c r="E50" s="516">
        <v>55000</v>
      </c>
      <c r="F50" s="514">
        <f t="shared" si="13"/>
        <v>0</v>
      </c>
      <c r="G50" s="516">
        <f>1150000+55000</f>
        <v>1205000</v>
      </c>
      <c r="H50" s="434">
        <f>55000+115000+115000+115000+115000+345000</f>
        <v>860000</v>
      </c>
      <c r="I50" s="303">
        <v>0</v>
      </c>
      <c r="J50" s="10">
        <f t="shared" si="16"/>
        <v>3270000</v>
      </c>
    </row>
    <row r="51" spans="1:10" ht="15" customHeight="1" x14ac:dyDescent="0.2">
      <c r="A51" s="29" t="s">
        <v>23</v>
      </c>
      <c r="B51" s="22" t="s">
        <v>211</v>
      </c>
      <c r="C51" s="42"/>
      <c r="D51" s="297">
        <v>1150000</v>
      </c>
      <c r="E51" s="516">
        <v>0</v>
      </c>
      <c r="F51" s="514">
        <f t="shared" si="13"/>
        <v>150000</v>
      </c>
      <c r="G51" s="516">
        <f>1150000+150000</f>
        <v>1300000</v>
      </c>
      <c r="H51" s="434">
        <f>345000+115000+495000</f>
        <v>955000</v>
      </c>
      <c r="I51" s="303">
        <v>0</v>
      </c>
      <c r="J51" s="10">
        <f t="shared" si="16"/>
        <v>3555000</v>
      </c>
    </row>
    <row r="52" spans="1:10" ht="15" customHeight="1" x14ac:dyDescent="0.2">
      <c r="A52" s="29" t="s">
        <v>24</v>
      </c>
      <c r="B52" s="22" t="s">
        <v>62</v>
      </c>
      <c r="C52" s="42"/>
      <c r="D52" s="297">
        <v>250000</v>
      </c>
      <c r="E52" s="516">
        <v>0</v>
      </c>
      <c r="F52" s="514">
        <f t="shared" si="13"/>
        <v>0</v>
      </c>
      <c r="G52" s="516">
        <v>250000</v>
      </c>
      <c r="H52" s="434">
        <f>250000</f>
        <v>250000</v>
      </c>
      <c r="I52" s="303">
        <v>0</v>
      </c>
      <c r="J52" s="10">
        <f t="shared" si="16"/>
        <v>750000</v>
      </c>
    </row>
    <row r="53" spans="1:10" ht="15" customHeight="1" x14ac:dyDescent="0.2">
      <c r="A53" s="29" t="s">
        <v>28</v>
      </c>
      <c r="B53" s="22" t="s">
        <v>63</v>
      </c>
      <c r="C53" s="42"/>
      <c r="D53" s="297">
        <v>500000</v>
      </c>
      <c r="E53" s="516">
        <v>0</v>
      </c>
      <c r="F53" s="514">
        <f t="shared" si="13"/>
        <v>0</v>
      </c>
      <c r="G53" s="516">
        <v>500000</v>
      </c>
      <c r="H53" s="434"/>
      <c r="I53" s="303">
        <v>0</v>
      </c>
      <c r="J53" s="10">
        <f t="shared" si="16"/>
        <v>1000000</v>
      </c>
    </row>
    <row r="54" spans="1:10" ht="15" customHeight="1" x14ac:dyDescent="0.2">
      <c r="A54" s="29" t="s">
        <v>25</v>
      </c>
      <c r="B54" s="22" t="s">
        <v>64</v>
      </c>
      <c r="C54" s="42"/>
      <c r="D54" s="297">
        <v>15400000</v>
      </c>
      <c r="E54" s="516">
        <v>0</v>
      </c>
      <c r="F54" s="514">
        <f t="shared" si="13"/>
        <v>60000</v>
      </c>
      <c r="G54" s="516">
        <f>15400000+60000</f>
        <v>15460000</v>
      </c>
      <c r="H54" s="434">
        <f>350000+175000+175000+175000+990000+330000+175000+1575000</f>
        <v>3945000</v>
      </c>
      <c r="I54" s="303">
        <v>0</v>
      </c>
      <c r="J54" s="10">
        <f t="shared" si="16"/>
        <v>34865000</v>
      </c>
    </row>
    <row r="55" spans="1:10" ht="15" customHeight="1" x14ac:dyDescent="0.2">
      <c r="A55" s="29" t="s">
        <v>54</v>
      </c>
      <c r="B55" s="22" t="s">
        <v>70</v>
      </c>
      <c r="C55" s="42"/>
      <c r="D55" s="297">
        <v>0</v>
      </c>
      <c r="E55" s="516">
        <v>0</v>
      </c>
      <c r="F55" s="514">
        <f t="shared" si="13"/>
        <v>0</v>
      </c>
      <c r="G55" s="516">
        <v>0</v>
      </c>
      <c r="H55" s="434"/>
      <c r="I55" s="303">
        <v>0</v>
      </c>
      <c r="J55" s="10">
        <f t="shared" si="16"/>
        <v>0</v>
      </c>
    </row>
    <row r="56" spans="1:10" ht="15" customHeight="1" x14ac:dyDescent="0.2">
      <c r="A56" s="29" t="s">
        <v>65</v>
      </c>
      <c r="B56" s="22" t="s">
        <v>212</v>
      </c>
      <c r="C56" s="42"/>
      <c r="D56" s="297">
        <v>12000</v>
      </c>
      <c r="E56" s="516">
        <v>0</v>
      </c>
      <c r="F56" s="514">
        <f t="shared" si="13"/>
        <v>0</v>
      </c>
      <c r="G56" s="516">
        <v>12000</v>
      </c>
      <c r="H56" s="434">
        <v>12000</v>
      </c>
      <c r="I56" s="303">
        <v>0</v>
      </c>
      <c r="J56" s="10">
        <f t="shared" si="16"/>
        <v>36000</v>
      </c>
    </row>
    <row r="57" spans="1:10" ht="15" customHeight="1" x14ac:dyDescent="0.2">
      <c r="A57" s="29" t="s">
        <v>26</v>
      </c>
      <c r="B57" s="14" t="s">
        <v>284</v>
      </c>
      <c r="C57" s="42"/>
      <c r="D57" s="297">
        <v>500000</v>
      </c>
      <c r="E57" s="516">
        <v>0</v>
      </c>
      <c r="F57" s="514">
        <f t="shared" si="13"/>
        <v>0</v>
      </c>
      <c r="G57" s="516">
        <v>500000</v>
      </c>
      <c r="H57" s="434">
        <f>500000</f>
        <v>500000</v>
      </c>
      <c r="I57" s="303">
        <v>0</v>
      </c>
      <c r="J57" s="10">
        <f t="shared" si="16"/>
        <v>1500000</v>
      </c>
    </row>
    <row r="58" spans="1:10" ht="15" customHeight="1" x14ac:dyDescent="0.2">
      <c r="A58" s="29" t="s">
        <v>66</v>
      </c>
      <c r="B58" s="2" t="s">
        <v>285</v>
      </c>
      <c r="C58" s="42"/>
      <c r="D58" s="297">
        <v>300000</v>
      </c>
      <c r="E58" s="516">
        <v>0</v>
      </c>
      <c r="F58" s="514">
        <f t="shared" si="13"/>
        <v>0</v>
      </c>
      <c r="G58" s="516">
        <v>300000</v>
      </c>
      <c r="H58" s="434">
        <f>300000</f>
        <v>300000</v>
      </c>
      <c r="I58" s="303"/>
      <c r="J58" s="10">
        <f t="shared" si="16"/>
        <v>900000</v>
      </c>
    </row>
    <row r="59" spans="1:10" ht="18" customHeight="1" x14ac:dyDescent="0.2">
      <c r="A59" s="622" t="s">
        <v>8</v>
      </c>
      <c r="B59" s="623"/>
      <c r="C59" s="43" t="s">
        <v>359</v>
      </c>
      <c r="D59" s="510">
        <f>D35+D37+D40</f>
        <v>33629305</v>
      </c>
      <c r="E59" s="510">
        <f t="shared" ref="E59:H59" si="17">E35+E37+E40</f>
        <v>75000</v>
      </c>
      <c r="F59" s="510">
        <f t="shared" si="17"/>
        <v>240000</v>
      </c>
      <c r="G59" s="510">
        <f t="shared" si="17"/>
        <v>33944305</v>
      </c>
      <c r="H59" s="510">
        <f t="shared" si="17"/>
        <v>26696982</v>
      </c>
      <c r="I59" s="25">
        <f>I35+I37+I40</f>
        <v>0</v>
      </c>
      <c r="J59" s="25">
        <f>J35+J37+J40</f>
        <v>94585592</v>
      </c>
    </row>
    <row r="60" spans="1:10" ht="18" customHeight="1" x14ac:dyDescent="0.2">
      <c r="A60" s="622" t="s">
        <v>287</v>
      </c>
      <c r="B60" s="623"/>
      <c r="C60" s="43"/>
      <c r="D60" s="510">
        <f>D32+D59</f>
        <v>280992978</v>
      </c>
      <c r="E60" s="510">
        <f t="shared" ref="E60:H60" si="18">E32+E59</f>
        <v>75000</v>
      </c>
      <c r="F60" s="510">
        <f t="shared" si="18"/>
        <v>255000</v>
      </c>
      <c r="G60" s="510">
        <f t="shared" si="18"/>
        <v>281322978</v>
      </c>
      <c r="H60" s="510">
        <f t="shared" si="18"/>
        <v>189537316</v>
      </c>
      <c r="I60" s="200">
        <f>I32+I59</f>
        <v>941822</v>
      </c>
      <c r="J60" s="200">
        <f>J32+J59</f>
        <v>753125094</v>
      </c>
    </row>
  </sheetData>
  <mergeCells count="13">
    <mergeCell ref="A1:J1"/>
    <mergeCell ref="A2:I2"/>
    <mergeCell ref="A34:D34"/>
    <mergeCell ref="A59:B59"/>
    <mergeCell ref="A60:B60"/>
    <mergeCell ref="A4:B5"/>
    <mergeCell ref="A33:D33"/>
    <mergeCell ref="A27:B27"/>
    <mergeCell ref="A28:D28"/>
    <mergeCell ref="A31:B31"/>
    <mergeCell ref="A32:B32"/>
    <mergeCell ref="C4:C5"/>
    <mergeCell ref="D4:J4"/>
  </mergeCells>
  <phoneticPr fontId="7" type="noConversion"/>
  <pageMargins left="0.61" right="0.16" top="0.54" bottom="0.41" header="0.26" footer="0.18"/>
  <pageSetup paperSize="9" scale="76" orientation="portrait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71"/>
  <sheetViews>
    <sheetView topLeftCell="A22" zoomScaleNormal="100" workbookViewId="0">
      <selection activeCell="P53" sqref="P53"/>
    </sheetView>
  </sheetViews>
  <sheetFormatPr defaultRowHeight="15" customHeight="1" x14ac:dyDescent="0.2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56.140625" style="2" customWidth="1"/>
    <col min="6" max="6" width="9.28515625" style="20" customWidth="1"/>
    <col min="7" max="11" width="18.5703125" style="196" customWidth="1"/>
    <col min="12" max="16384" width="9.140625" style="2"/>
  </cols>
  <sheetData>
    <row r="1" spans="1:11" ht="15" customHeight="1" x14ac:dyDescent="0.2">
      <c r="A1" s="540" t="s">
        <v>456</v>
      </c>
      <c r="B1" s="540"/>
      <c r="C1" s="540"/>
      <c r="D1" s="540"/>
      <c r="E1" s="540"/>
      <c r="F1" s="540"/>
      <c r="G1" s="540"/>
      <c r="H1" s="11"/>
      <c r="I1" s="11"/>
      <c r="J1" s="2"/>
      <c r="K1" s="2"/>
    </row>
    <row r="2" spans="1:11" ht="19.5" customHeight="1" x14ac:dyDescent="0.2">
      <c r="A2" s="540" t="s">
        <v>47</v>
      </c>
      <c r="B2" s="540"/>
      <c r="C2" s="540"/>
      <c r="D2" s="540"/>
      <c r="E2" s="540"/>
      <c r="F2" s="540"/>
      <c r="H2" s="296"/>
      <c r="I2" s="296"/>
      <c r="J2" s="296"/>
      <c r="K2" s="296" t="s">
        <v>380</v>
      </c>
    </row>
    <row r="3" spans="1:11" ht="15" customHeight="1" x14ac:dyDescent="0.2">
      <c r="A3" s="3"/>
      <c r="B3" s="3"/>
      <c r="C3" s="13"/>
      <c r="D3" s="13"/>
      <c r="E3" s="3"/>
      <c r="F3" s="21"/>
      <c r="G3" s="288"/>
      <c r="H3" s="288"/>
      <c r="I3" s="288"/>
      <c r="J3" s="288"/>
      <c r="K3" s="288"/>
    </row>
    <row r="4" spans="1:11" ht="10.5" customHeight="1" thickBot="1" x14ac:dyDescent="0.25"/>
    <row r="5" spans="1:11" ht="42.75" customHeight="1" thickBot="1" x14ac:dyDescent="0.25">
      <c r="A5" s="641" t="s">
        <v>36</v>
      </c>
      <c r="B5" s="642"/>
      <c r="C5" s="642"/>
      <c r="D5" s="642"/>
      <c r="E5" s="642"/>
      <c r="F5" s="201" t="s">
        <v>35</v>
      </c>
      <c r="G5" s="331" t="s">
        <v>374</v>
      </c>
      <c r="H5" s="331" t="s">
        <v>426</v>
      </c>
      <c r="I5" s="331" t="s">
        <v>442</v>
      </c>
      <c r="J5" s="331" t="s">
        <v>427</v>
      </c>
      <c r="K5" s="331" t="s">
        <v>428</v>
      </c>
    </row>
    <row r="6" spans="1:11" ht="18" customHeight="1" x14ac:dyDescent="0.2">
      <c r="A6" s="647" t="s">
        <v>37</v>
      </c>
      <c r="B6" s="650" t="s">
        <v>30</v>
      </c>
      <c r="C6" s="651"/>
      <c r="D6" s="651"/>
      <c r="E6" s="651"/>
      <c r="F6" s="651"/>
      <c r="G6" s="652"/>
      <c r="H6" s="11"/>
      <c r="I6" s="11"/>
      <c r="J6" s="2"/>
      <c r="K6" s="2"/>
    </row>
    <row r="7" spans="1:11" ht="15" customHeight="1" x14ac:dyDescent="0.2">
      <c r="A7" s="648"/>
      <c r="B7" s="645" t="s">
        <v>37</v>
      </c>
      <c r="C7" s="653" t="s">
        <v>34</v>
      </c>
      <c r="D7" s="654"/>
      <c r="E7" s="655"/>
      <c r="F7" s="46" t="s">
        <v>405</v>
      </c>
      <c r="G7" s="321">
        <f>SUM(G8:G9)</f>
        <v>0</v>
      </c>
      <c r="H7" s="321">
        <v>0</v>
      </c>
      <c r="I7" s="321"/>
      <c r="J7" s="321">
        <f t="shared" ref="J7:K7" si="0">SUM(J8:J9)</f>
        <v>0</v>
      </c>
      <c r="K7" s="321">
        <f t="shared" si="0"/>
        <v>0</v>
      </c>
    </row>
    <row r="8" spans="1:11" s="13" customFormat="1" ht="15" customHeight="1" x14ac:dyDescent="0.2">
      <c r="A8" s="648"/>
      <c r="B8" s="646"/>
      <c r="C8" s="35" t="s">
        <v>37</v>
      </c>
      <c r="D8" s="643" t="s">
        <v>16</v>
      </c>
      <c r="E8" s="644"/>
      <c r="F8" s="47"/>
      <c r="G8" s="308">
        <v>0</v>
      </c>
      <c r="H8" s="308"/>
      <c r="I8" s="308"/>
      <c r="J8" s="308"/>
      <c r="K8" s="308"/>
    </row>
    <row r="9" spans="1:11" s="13" customFormat="1" ht="15" customHeight="1" x14ac:dyDescent="0.2">
      <c r="A9" s="648"/>
      <c r="B9" s="646"/>
      <c r="C9" s="63" t="s">
        <v>38</v>
      </c>
      <c r="D9" s="643" t="s">
        <v>15</v>
      </c>
      <c r="E9" s="644"/>
      <c r="F9" s="47"/>
      <c r="G9" s="308">
        <v>0</v>
      </c>
      <c r="H9" s="308"/>
      <c r="I9" s="308"/>
      <c r="J9" s="308"/>
      <c r="K9" s="308"/>
    </row>
    <row r="10" spans="1:11" ht="15" customHeight="1" x14ac:dyDescent="0.2">
      <c r="A10" s="648"/>
      <c r="B10" s="645" t="s">
        <v>38</v>
      </c>
      <c r="C10" s="653" t="s">
        <v>406</v>
      </c>
      <c r="D10" s="654"/>
      <c r="E10" s="655"/>
      <c r="F10" s="48" t="s">
        <v>81</v>
      </c>
      <c r="G10" s="322">
        <f>G11+G13+G15+G19</f>
        <v>619815229</v>
      </c>
      <c r="H10" s="322">
        <v>0</v>
      </c>
      <c r="I10" s="322"/>
      <c r="J10" s="526">
        <f t="shared" ref="J10:K10" si="1">J11+J13+J15+J19</f>
        <v>626114441</v>
      </c>
      <c r="K10" s="526">
        <f t="shared" si="1"/>
        <v>34449071</v>
      </c>
    </row>
    <row r="11" spans="1:11" s="13" customFormat="1" ht="15" customHeight="1" x14ac:dyDescent="0.2">
      <c r="A11" s="648"/>
      <c r="B11" s="646"/>
      <c r="C11" s="17" t="s">
        <v>37</v>
      </c>
      <c r="D11" s="643" t="s">
        <v>44</v>
      </c>
      <c r="E11" s="644"/>
      <c r="F11" s="47"/>
      <c r="G11" s="308"/>
      <c r="H11" s="308"/>
      <c r="I11" s="308"/>
      <c r="J11" s="456"/>
      <c r="K11" s="522"/>
    </row>
    <row r="12" spans="1:11" s="13" customFormat="1" ht="15" customHeight="1" x14ac:dyDescent="0.25">
      <c r="A12" s="648"/>
      <c r="B12" s="646"/>
      <c r="C12" s="53"/>
      <c r="D12" s="39" t="s">
        <v>37</v>
      </c>
      <c r="E12" s="52"/>
      <c r="F12" s="47"/>
      <c r="G12" s="323"/>
      <c r="H12" s="323"/>
      <c r="I12" s="323"/>
      <c r="J12" s="525"/>
      <c r="K12" s="523"/>
    </row>
    <row r="13" spans="1:11" s="13" customFormat="1" ht="15" customHeight="1" x14ac:dyDescent="0.2">
      <c r="A13" s="648"/>
      <c r="B13" s="646"/>
      <c r="C13" s="645" t="s">
        <v>38</v>
      </c>
      <c r="D13" s="643" t="s">
        <v>45</v>
      </c>
      <c r="E13" s="644"/>
      <c r="F13" s="47"/>
      <c r="G13" s="308">
        <f>SUM(G14:G14)</f>
        <v>0</v>
      </c>
      <c r="H13" s="308"/>
      <c r="I13" s="308"/>
      <c r="J13" s="456"/>
      <c r="K13" s="522"/>
    </row>
    <row r="14" spans="1:11" ht="15" customHeight="1" x14ac:dyDescent="0.2">
      <c r="A14" s="648"/>
      <c r="B14" s="646"/>
      <c r="C14" s="646"/>
      <c r="D14" s="23" t="s">
        <v>37</v>
      </c>
      <c r="E14" s="37"/>
      <c r="F14" s="49"/>
      <c r="G14" s="323"/>
      <c r="H14" s="323"/>
      <c r="I14" s="323"/>
      <c r="J14" s="525"/>
      <c r="K14" s="523"/>
    </row>
    <row r="15" spans="1:11" s="13" customFormat="1" ht="15" customHeight="1" x14ac:dyDescent="0.2">
      <c r="A15" s="648"/>
      <c r="B15" s="646"/>
      <c r="C15" s="645" t="s">
        <v>39</v>
      </c>
      <c r="D15" s="643" t="s">
        <v>9</v>
      </c>
      <c r="E15" s="644"/>
      <c r="F15" s="47"/>
      <c r="G15" s="308">
        <f>SUM(G16:G18)</f>
        <v>570866142</v>
      </c>
      <c r="H15" s="308">
        <v>0</v>
      </c>
      <c r="I15" s="308"/>
      <c r="J15" s="456">
        <f>SUM(J16:J18)</f>
        <v>577165354</v>
      </c>
      <c r="K15" s="456">
        <f>SUM(K16:K18)</f>
        <v>29760609</v>
      </c>
    </row>
    <row r="16" spans="1:11" s="13" customFormat="1" ht="15" customHeight="1" x14ac:dyDescent="0.2">
      <c r="A16" s="648"/>
      <c r="B16" s="646"/>
      <c r="C16" s="646"/>
      <c r="D16" s="39" t="s">
        <v>37</v>
      </c>
      <c r="E16" s="37" t="s">
        <v>286</v>
      </c>
      <c r="F16" s="47" t="s">
        <v>81</v>
      </c>
      <c r="G16" s="323">
        <v>511811024</v>
      </c>
      <c r="H16" s="323">
        <v>0</v>
      </c>
      <c r="I16" s="323"/>
      <c r="J16" s="525">
        <v>511811024</v>
      </c>
      <c r="K16" s="525">
        <f>18760609+11000000</f>
        <v>29760609</v>
      </c>
    </row>
    <row r="17" spans="1:11" s="13" customFormat="1" ht="15" customHeight="1" x14ac:dyDescent="0.2">
      <c r="A17" s="648"/>
      <c r="B17" s="646"/>
      <c r="C17" s="68"/>
      <c r="D17" s="422" t="s">
        <v>38</v>
      </c>
      <c r="E17" s="37" t="s">
        <v>395</v>
      </c>
      <c r="F17" s="47"/>
      <c r="G17" s="323">
        <f>35433071+23622047</f>
        <v>59055118</v>
      </c>
      <c r="H17" s="323">
        <v>0</v>
      </c>
      <c r="I17" s="323"/>
      <c r="J17" s="525">
        <v>59055118</v>
      </c>
      <c r="K17" s="525"/>
    </row>
    <row r="18" spans="1:11" s="13" customFormat="1" ht="15" customHeight="1" x14ac:dyDescent="0.2">
      <c r="A18" s="648"/>
      <c r="B18" s="646"/>
      <c r="C18" s="475"/>
      <c r="D18" s="473">
        <v>3</v>
      </c>
      <c r="E18" s="474" t="s">
        <v>415</v>
      </c>
      <c r="F18" s="47"/>
      <c r="G18" s="323"/>
      <c r="H18" s="323"/>
      <c r="I18" s="323"/>
      <c r="J18" s="525">
        <v>6299212</v>
      </c>
      <c r="K18" s="525"/>
    </row>
    <row r="19" spans="1:11" s="13" customFormat="1" ht="15" customHeight="1" x14ac:dyDescent="0.2">
      <c r="A19" s="648"/>
      <c r="B19" s="646"/>
      <c r="C19" s="645" t="s">
        <v>40</v>
      </c>
      <c r="D19" s="643" t="s">
        <v>10</v>
      </c>
      <c r="E19" s="644"/>
      <c r="F19" s="47" t="s">
        <v>81</v>
      </c>
      <c r="G19" s="308">
        <f>SUM(G20:G26)</f>
        <v>48949087</v>
      </c>
      <c r="H19" s="308">
        <v>0</v>
      </c>
      <c r="I19" s="308"/>
      <c r="J19" s="456">
        <f t="shared" ref="J19:K19" si="2">SUM(J20:J26)</f>
        <v>48949087</v>
      </c>
      <c r="K19" s="456">
        <f t="shared" si="2"/>
        <v>4688462</v>
      </c>
    </row>
    <row r="20" spans="1:11" s="13" customFormat="1" ht="16.5" customHeight="1" x14ac:dyDescent="0.25">
      <c r="A20" s="648"/>
      <c r="B20" s="646"/>
      <c r="C20" s="646"/>
      <c r="D20" s="39" t="s">
        <v>37</v>
      </c>
      <c r="E20" s="52" t="s">
        <v>389</v>
      </c>
      <c r="F20" s="47"/>
      <c r="G20" s="323">
        <v>20160302</v>
      </c>
      <c r="H20" s="323">
        <v>0</v>
      </c>
      <c r="I20" s="323"/>
      <c r="J20" s="525">
        <v>20160302</v>
      </c>
      <c r="K20" s="525"/>
    </row>
    <row r="21" spans="1:11" s="13" customFormat="1" x14ac:dyDescent="0.25">
      <c r="A21" s="648"/>
      <c r="B21" s="646"/>
      <c r="C21" s="646"/>
      <c r="D21" s="39" t="s">
        <v>38</v>
      </c>
      <c r="E21" s="54" t="s">
        <v>390</v>
      </c>
      <c r="F21" s="47"/>
      <c r="G21" s="323">
        <v>6299213</v>
      </c>
      <c r="H21" s="323">
        <v>0</v>
      </c>
      <c r="I21" s="323"/>
      <c r="J21" s="525">
        <v>6299213</v>
      </c>
      <c r="K21" s="525"/>
    </row>
    <row r="22" spans="1:11" s="13" customFormat="1" x14ac:dyDescent="0.25">
      <c r="A22" s="648"/>
      <c r="B22" s="646"/>
      <c r="C22" s="646"/>
      <c r="D22" s="39" t="s">
        <v>39</v>
      </c>
      <c r="E22" s="54" t="s">
        <v>391</v>
      </c>
      <c r="F22" s="47"/>
      <c r="G22" s="323">
        <v>15748031</v>
      </c>
      <c r="H22" s="323">
        <v>0</v>
      </c>
      <c r="I22" s="323"/>
      <c r="J22" s="525">
        <v>15748031</v>
      </c>
      <c r="K22" s="525"/>
    </row>
    <row r="23" spans="1:11" s="13" customFormat="1" x14ac:dyDescent="0.25">
      <c r="A23" s="648"/>
      <c r="B23" s="646"/>
      <c r="C23" s="646"/>
      <c r="D23" s="39" t="s">
        <v>40</v>
      </c>
      <c r="E23" s="54" t="s">
        <v>392</v>
      </c>
      <c r="F23" s="47"/>
      <c r="G23" s="323">
        <v>2095872</v>
      </c>
      <c r="H23" s="323">
        <v>0</v>
      </c>
      <c r="I23" s="323"/>
      <c r="J23" s="525">
        <v>2095872</v>
      </c>
      <c r="K23" s="525">
        <f>3074563</f>
        <v>3074563</v>
      </c>
    </row>
    <row r="24" spans="1:11" s="13" customFormat="1" x14ac:dyDescent="0.25">
      <c r="A24" s="648"/>
      <c r="B24" s="646"/>
      <c r="C24" s="646"/>
      <c r="D24" s="290" t="s">
        <v>41</v>
      </c>
      <c r="E24" s="54" t="s">
        <v>394</v>
      </c>
      <c r="F24" s="47"/>
      <c r="G24" s="323">
        <v>708661</v>
      </c>
      <c r="H24" s="323">
        <v>0</v>
      </c>
      <c r="I24" s="323"/>
      <c r="J24" s="525">
        <v>708661</v>
      </c>
      <c r="K24" s="525"/>
    </row>
    <row r="25" spans="1:11" s="13" customFormat="1" ht="16.5" customHeight="1" x14ac:dyDescent="0.25">
      <c r="A25" s="648"/>
      <c r="B25" s="646"/>
      <c r="C25" s="646"/>
      <c r="D25" s="39" t="s">
        <v>46</v>
      </c>
      <c r="E25" s="54" t="s">
        <v>393</v>
      </c>
      <c r="F25" s="47"/>
      <c r="G25" s="323">
        <v>3937008</v>
      </c>
      <c r="H25" s="323">
        <v>0</v>
      </c>
      <c r="I25" s="323"/>
      <c r="J25" s="525">
        <v>3937008</v>
      </c>
      <c r="K25" s="525"/>
    </row>
    <row r="26" spans="1:11" s="13" customFormat="1" ht="16.5" customHeight="1" x14ac:dyDescent="0.25">
      <c r="A26" s="648"/>
      <c r="B26" s="427"/>
      <c r="C26" s="438"/>
      <c r="D26" s="439">
        <v>7</v>
      </c>
      <c r="E26" s="440" t="s">
        <v>435</v>
      </c>
      <c r="F26" s="47"/>
      <c r="G26" s="323"/>
      <c r="H26" s="323">
        <v>0</v>
      </c>
      <c r="I26" s="323"/>
      <c r="J26" s="523"/>
      <c r="K26" s="525">
        <v>1613899</v>
      </c>
    </row>
    <row r="27" spans="1:11" ht="18.75" customHeight="1" x14ac:dyDescent="0.2">
      <c r="A27" s="648"/>
      <c r="B27" s="645" t="s">
        <v>39</v>
      </c>
      <c r="C27" s="653" t="s">
        <v>402</v>
      </c>
      <c r="D27" s="654"/>
      <c r="E27" s="655"/>
      <c r="F27" s="48" t="s">
        <v>403</v>
      </c>
      <c r="G27" s="322">
        <f>G28+G31+G43+G44</f>
        <v>13738035</v>
      </c>
      <c r="H27" s="322">
        <v>274610</v>
      </c>
      <c r="I27" s="322"/>
      <c r="J27" s="526">
        <f>J28+J31+J43+J44</f>
        <v>20336968</v>
      </c>
      <c r="K27" s="526">
        <f>K28+K31+K43+K44</f>
        <v>6706964</v>
      </c>
    </row>
    <row r="28" spans="1:11" s="13" customFormat="1" ht="15" customHeight="1" x14ac:dyDescent="0.2">
      <c r="A28" s="648"/>
      <c r="B28" s="646"/>
      <c r="C28" s="17" t="s">
        <v>37</v>
      </c>
      <c r="D28" s="669" t="s">
        <v>400</v>
      </c>
      <c r="E28" s="670"/>
      <c r="F28" s="47" t="s">
        <v>213</v>
      </c>
      <c r="G28" s="456">
        <f>SUM(G29:G30)</f>
        <v>1291496</v>
      </c>
      <c r="H28" s="456">
        <v>274610</v>
      </c>
      <c r="I28" s="456"/>
      <c r="J28" s="456">
        <f t="shared" ref="J28:K28" si="3">SUM(J29:J30)</f>
        <v>1591224</v>
      </c>
      <c r="K28" s="456">
        <f t="shared" si="3"/>
        <v>1591224</v>
      </c>
    </row>
    <row r="29" spans="1:11" ht="25.5" x14ac:dyDescent="0.2">
      <c r="A29" s="648"/>
      <c r="B29" s="646"/>
      <c r="C29" s="656"/>
      <c r="D29" s="9" t="s">
        <v>37</v>
      </c>
      <c r="E29" s="14" t="s">
        <v>450</v>
      </c>
      <c r="F29" s="49"/>
      <c r="G29" s="525">
        <f>740316+551180</f>
        <v>1291496</v>
      </c>
      <c r="H29" s="525">
        <v>274610</v>
      </c>
      <c r="I29" s="525"/>
      <c r="J29" s="525">
        <f>1566106+25118</f>
        <v>1591224</v>
      </c>
      <c r="K29" s="525">
        <f>1566106+25118</f>
        <v>1591224</v>
      </c>
    </row>
    <row r="30" spans="1:11" ht="12.75" x14ac:dyDescent="0.2">
      <c r="A30" s="648"/>
      <c r="B30" s="646"/>
      <c r="C30" s="657"/>
      <c r="D30" s="9">
        <v>2</v>
      </c>
      <c r="E30" s="14"/>
      <c r="F30" s="49"/>
      <c r="G30" s="323">
        <v>0</v>
      </c>
      <c r="H30" s="323"/>
      <c r="I30" s="323"/>
      <c r="J30" s="525"/>
      <c r="K30" s="525"/>
    </row>
    <row r="31" spans="1:11" s="13" customFormat="1" ht="26.25" customHeight="1" x14ac:dyDescent="0.2">
      <c r="A31" s="648"/>
      <c r="B31" s="646"/>
      <c r="C31" s="645" t="s">
        <v>38</v>
      </c>
      <c r="D31" s="643" t="s">
        <v>401</v>
      </c>
      <c r="E31" s="644"/>
      <c r="F31" s="47" t="s">
        <v>82</v>
      </c>
      <c r="G31" s="308">
        <f>SUM(G32:G42)</f>
        <v>12446539</v>
      </c>
      <c r="H31" s="308">
        <f t="shared" ref="H31:K31" si="4">SUM(H32:H42)</f>
        <v>0</v>
      </c>
      <c r="I31" s="308">
        <f t="shared" si="4"/>
        <v>0</v>
      </c>
      <c r="J31" s="456">
        <f t="shared" si="4"/>
        <v>18745744</v>
      </c>
      <c r="K31" s="456">
        <f t="shared" si="4"/>
        <v>5115740</v>
      </c>
    </row>
    <row r="32" spans="1:11" s="13" customFormat="1" ht="12.75" x14ac:dyDescent="0.2">
      <c r="A32" s="648"/>
      <c r="B32" s="646"/>
      <c r="C32" s="646"/>
      <c r="D32" s="39" t="s">
        <v>37</v>
      </c>
      <c r="E32" s="5" t="s">
        <v>396</v>
      </c>
      <c r="F32" s="47"/>
      <c r="G32" s="323">
        <v>94488</v>
      </c>
      <c r="H32" s="323">
        <v>0</v>
      </c>
      <c r="I32" s="323"/>
      <c r="J32" s="525">
        <v>94488</v>
      </c>
      <c r="K32" s="525">
        <v>86535</v>
      </c>
    </row>
    <row r="33" spans="1:11" s="13" customFormat="1" ht="12.75" x14ac:dyDescent="0.2">
      <c r="A33" s="648"/>
      <c r="B33" s="646"/>
      <c r="C33" s="646"/>
      <c r="D33" s="39" t="s">
        <v>38</v>
      </c>
      <c r="E33" s="55" t="s">
        <v>397</v>
      </c>
      <c r="F33" s="47"/>
      <c r="G33" s="323">
        <f>3151457+2938857+1</f>
        <v>6090315</v>
      </c>
      <c r="H33" s="323">
        <v>0</v>
      </c>
      <c r="I33" s="323"/>
      <c r="J33" s="525">
        <v>6090315</v>
      </c>
      <c r="K33" s="525">
        <v>2947943</v>
      </c>
    </row>
    <row r="34" spans="1:11" s="13" customFormat="1" ht="12.75" x14ac:dyDescent="0.2">
      <c r="A34" s="648"/>
      <c r="B34" s="646"/>
      <c r="C34" s="646"/>
      <c r="D34" s="39" t="s">
        <v>39</v>
      </c>
      <c r="E34" s="5" t="s">
        <v>398</v>
      </c>
      <c r="F34" s="47"/>
      <c r="G34" s="323">
        <v>4320000</v>
      </c>
      <c r="H34" s="323">
        <v>0</v>
      </c>
      <c r="I34" s="323"/>
      <c r="J34" s="525">
        <v>4320000</v>
      </c>
      <c r="K34" s="525"/>
    </row>
    <row r="35" spans="1:11" s="13" customFormat="1" ht="25.5" x14ac:dyDescent="0.2">
      <c r="A35" s="648"/>
      <c r="B35" s="646"/>
      <c r="C35" s="646"/>
      <c r="D35" s="39" t="s">
        <v>40</v>
      </c>
      <c r="E35" s="14" t="s">
        <v>422</v>
      </c>
      <c r="F35" s="47"/>
      <c r="G35" s="323">
        <f>1303937+7878</f>
        <v>1311815</v>
      </c>
      <c r="H35" s="323">
        <v>0</v>
      </c>
      <c r="I35" s="323"/>
      <c r="J35" s="525">
        <v>1311815</v>
      </c>
      <c r="K35" s="525">
        <f>24795</f>
        <v>24795</v>
      </c>
    </row>
    <row r="36" spans="1:11" s="13" customFormat="1" ht="12.75" x14ac:dyDescent="0.2">
      <c r="A36" s="648"/>
      <c r="B36" s="646"/>
      <c r="C36" s="646"/>
      <c r="D36" s="422" t="s">
        <v>41</v>
      </c>
      <c r="E36" s="5" t="s">
        <v>399</v>
      </c>
      <c r="F36" s="47"/>
      <c r="G36" s="323">
        <v>629921</v>
      </c>
      <c r="H36" s="323">
        <v>0</v>
      </c>
      <c r="I36" s="323"/>
      <c r="J36" s="525">
        <v>629921</v>
      </c>
      <c r="K36" s="525"/>
    </row>
    <row r="37" spans="1:11" ht="12.75" x14ac:dyDescent="0.2">
      <c r="A37" s="648"/>
      <c r="B37" s="646"/>
      <c r="C37" s="646"/>
      <c r="D37" s="422" t="s">
        <v>46</v>
      </c>
      <c r="E37" s="55" t="s">
        <v>436</v>
      </c>
      <c r="F37" s="39"/>
      <c r="G37" s="323"/>
      <c r="H37" s="323"/>
      <c r="I37" s="323"/>
      <c r="J37" s="525"/>
      <c r="K37" s="525">
        <f>7079+310000</f>
        <v>317079</v>
      </c>
    </row>
    <row r="38" spans="1:11" ht="12.75" x14ac:dyDescent="0.2">
      <c r="A38" s="648"/>
      <c r="B38" s="646"/>
      <c r="C38" s="475"/>
      <c r="D38" s="473" t="s">
        <v>48</v>
      </c>
      <c r="E38" s="527" t="s">
        <v>451</v>
      </c>
      <c r="F38" s="528"/>
      <c r="G38" s="323"/>
      <c r="H38" s="323"/>
      <c r="I38" s="323"/>
      <c r="J38" s="525">
        <v>2362205</v>
      </c>
      <c r="K38" s="525"/>
    </row>
    <row r="39" spans="1:11" ht="12.75" x14ac:dyDescent="0.2">
      <c r="A39" s="648"/>
      <c r="B39" s="646"/>
      <c r="C39" s="475"/>
      <c r="D39" s="473">
        <v>8</v>
      </c>
      <c r="E39" s="527" t="s">
        <v>452</v>
      </c>
      <c r="F39" s="528"/>
      <c r="G39" s="323"/>
      <c r="H39" s="323"/>
      <c r="I39" s="323"/>
      <c r="J39" s="525">
        <v>3937000</v>
      </c>
      <c r="K39" s="525"/>
    </row>
    <row r="40" spans="1:11" ht="12.75" x14ac:dyDescent="0.2">
      <c r="A40" s="648"/>
      <c r="B40" s="646"/>
      <c r="C40" s="475"/>
      <c r="D40" s="473" t="s">
        <v>50</v>
      </c>
      <c r="E40" s="527" t="s">
        <v>453</v>
      </c>
      <c r="F40" s="528"/>
      <c r="G40" s="323"/>
      <c r="H40" s="323"/>
      <c r="I40" s="323"/>
      <c r="J40" s="525"/>
      <c r="K40" s="525">
        <f>1110000+398500</f>
        <v>1508500</v>
      </c>
    </row>
    <row r="41" spans="1:11" ht="12.75" x14ac:dyDescent="0.2">
      <c r="A41" s="648"/>
      <c r="B41" s="646"/>
      <c r="C41" s="475"/>
      <c r="D41" s="473" t="s">
        <v>51</v>
      </c>
      <c r="E41" s="527" t="s">
        <v>454</v>
      </c>
      <c r="F41" s="528"/>
      <c r="G41" s="323"/>
      <c r="H41" s="323"/>
      <c r="I41" s="323"/>
      <c r="J41" s="525"/>
      <c r="K41" s="525">
        <f>75200+37780</f>
        <v>112980</v>
      </c>
    </row>
    <row r="42" spans="1:11" ht="12.75" x14ac:dyDescent="0.2">
      <c r="A42" s="648"/>
      <c r="B42" s="646"/>
      <c r="C42" s="475"/>
      <c r="D42" s="473" t="s">
        <v>23</v>
      </c>
      <c r="E42" s="527" t="s">
        <v>455</v>
      </c>
      <c r="F42" s="528"/>
      <c r="G42" s="323"/>
      <c r="H42" s="323"/>
      <c r="I42" s="323"/>
      <c r="J42" s="525"/>
      <c r="K42" s="525">
        <f>18533+99375</f>
        <v>117908</v>
      </c>
    </row>
    <row r="43" spans="1:11" s="13" customFormat="1" ht="15" customHeight="1" x14ac:dyDescent="0.2">
      <c r="A43" s="648"/>
      <c r="B43" s="646"/>
      <c r="C43" s="17" t="s">
        <v>39</v>
      </c>
      <c r="D43" s="643" t="s">
        <v>29</v>
      </c>
      <c r="E43" s="644"/>
      <c r="F43" s="47"/>
      <c r="G43" s="308">
        <v>0</v>
      </c>
      <c r="H43" s="308"/>
      <c r="I43" s="308"/>
      <c r="J43" s="456"/>
      <c r="K43" s="456"/>
    </row>
    <row r="44" spans="1:11" s="13" customFormat="1" ht="15" customHeight="1" x14ac:dyDescent="0.2">
      <c r="A44" s="649"/>
      <c r="B44" s="668"/>
      <c r="C44" s="17"/>
      <c r="D44" s="643"/>
      <c r="E44" s="644"/>
      <c r="F44" s="47"/>
      <c r="G44" s="308"/>
      <c r="H44" s="308"/>
      <c r="I44" s="308"/>
      <c r="J44" s="456"/>
      <c r="K44" s="456"/>
    </row>
    <row r="45" spans="1:11" ht="15" customHeight="1" x14ac:dyDescent="0.2">
      <c r="A45" s="661"/>
      <c r="B45" s="19" t="s">
        <v>40</v>
      </c>
      <c r="C45" s="663" t="s">
        <v>404</v>
      </c>
      <c r="D45" s="664"/>
      <c r="E45" s="665"/>
      <c r="F45" s="48" t="s">
        <v>407</v>
      </c>
      <c r="G45" s="322">
        <v>171059382</v>
      </c>
      <c r="H45" s="322">
        <v>0</v>
      </c>
      <c r="I45" s="322">
        <f>J45-H45-G45</f>
        <v>3401572</v>
      </c>
      <c r="J45" s="526">
        <v>174460954</v>
      </c>
      <c r="K45" s="526">
        <f>435753+417721+795945+1911+23365+6695+830132+5065364+6782+299700+107595+20304+10201+5004+26831</f>
        <v>8053303</v>
      </c>
    </row>
    <row r="46" spans="1:11" ht="18" customHeight="1" thickBot="1" x14ac:dyDescent="0.25">
      <c r="A46" s="662"/>
      <c r="B46" s="666" t="s">
        <v>27</v>
      </c>
      <c r="C46" s="667"/>
      <c r="D46" s="667"/>
      <c r="E46" s="633"/>
      <c r="F46" s="50"/>
      <c r="G46" s="324">
        <f>G7+G10+G27+G45</f>
        <v>804612646</v>
      </c>
      <c r="H46" s="324">
        <v>274610</v>
      </c>
      <c r="I46" s="324">
        <f>I7+I10+I27+I45</f>
        <v>3401572</v>
      </c>
      <c r="J46" s="529">
        <f>J7+J10+J27+J45</f>
        <v>820912363</v>
      </c>
      <c r="K46" s="529">
        <f>K7+K10+K27+K45</f>
        <v>49209338</v>
      </c>
    </row>
    <row r="47" spans="1:11" ht="31.5" customHeight="1" x14ac:dyDescent="0.2">
      <c r="A47" s="647" t="s">
        <v>38</v>
      </c>
      <c r="B47" s="658" t="s">
        <v>2</v>
      </c>
      <c r="C47" s="659"/>
      <c r="D47" s="659"/>
      <c r="E47" s="659"/>
      <c r="F47" s="659"/>
      <c r="G47" s="659"/>
      <c r="H47" s="11"/>
      <c r="I47" s="11"/>
      <c r="J47" s="524"/>
      <c r="K47" s="524"/>
    </row>
    <row r="48" spans="1:11" ht="15" customHeight="1" x14ac:dyDescent="0.2">
      <c r="A48" s="648"/>
      <c r="B48" s="645" t="s">
        <v>37</v>
      </c>
      <c r="C48" s="660" t="s">
        <v>3</v>
      </c>
      <c r="D48" s="660"/>
      <c r="E48" s="660"/>
      <c r="F48" s="40" t="s">
        <v>83</v>
      </c>
      <c r="G48" s="530">
        <f>G49+G52</f>
        <v>96876854</v>
      </c>
      <c r="H48" s="530">
        <v>0</v>
      </c>
      <c r="I48" s="530">
        <f>I49+I52</f>
        <v>-5354950</v>
      </c>
      <c r="J48" s="530">
        <f t="shared" ref="J48:K48" si="5">J49+J52</f>
        <v>91521904</v>
      </c>
      <c r="K48" s="530">
        <f t="shared" si="5"/>
        <v>3671725</v>
      </c>
    </row>
    <row r="49" spans="1:11" s="13" customFormat="1" ht="15" customHeight="1" x14ac:dyDescent="0.2">
      <c r="A49" s="648"/>
      <c r="B49" s="646"/>
      <c r="C49" s="38" t="s">
        <v>37</v>
      </c>
      <c r="D49" s="643" t="s">
        <v>4</v>
      </c>
      <c r="E49" s="644"/>
      <c r="F49" s="17" t="s">
        <v>84</v>
      </c>
      <c r="G49" s="531">
        <f>SUM(G50:G51)</f>
        <v>4907730</v>
      </c>
      <c r="H49" s="531">
        <v>0</v>
      </c>
      <c r="I49" s="531"/>
      <c r="J49" s="531">
        <f t="shared" ref="J49:K49" si="6">SUM(J50:J51)</f>
        <v>4907730</v>
      </c>
      <c r="K49" s="531">
        <f t="shared" si="6"/>
        <v>3671725</v>
      </c>
    </row>
    <row r="50" spans="1:11" ht="14.25" customHeight="1" x14ac:dyDescent="0.2">
      <c r="A50" s="648"/>
      <c r="B50" s="646"/>
      <c r="C50" s="57"/>
      <c r="D50" s="39" t="s">
        <v>37</v>
      </c>
      <c r="E50" s="2" t="s">
        <v>413</v>
      </c>
      <c r="F50" s="9"/>
      <c r="G50" s="532">
        <v>4907730</v>
      </c>
      <c r="H50" s="532">
        <v>0</v>
      </c>
      <c r="I50" s="532">
        <f>J50-H50-G50</f>
        <v>0</v>
      </c>
      <c r="J50" s="532">
        <v>4907730</v>
      </c>
      <c r="K50" s="532">
        <f>3671725</f>
        <v>3671725</v>
      </c>
    </row>
    <row r="51" spans="1:11" s="26" customFormat="1" ht="12.75" x14ac:dyDescent="0.2">
      <c r="A51" s="648"/>
      <c r="B51" s="646"/>
      <c r="C51" s="16"/>
      <c r="D51" s="39"/>
      <c r="E51" s="8"/>
      <c r="F51" s="9"/>
      <c r="G51" s="532"/>
      <c r="H51" s="532"/>
      <c r="I51" s="532"/>
      <c r="J51" s="532"/>
      <c r="K51" s="532"/>
    </row>
    <row r="52" spans="1:11" s="13" customFormat="1" ht="15" customHeight="1" x14ac:dyDescent="0.2">
      <c r="A52" s="648"/>
      <c r="B52" s="646"/>
      <c r="C52" s="645" t="s">
        <v>38</v>
      </c>
      <c r="D52" s="643" t="s">
        <v>5</v>
      </c>
      <c r="E52" s="644"/>
      <c r="F52" s="17" t="s">
        <v>83</v>
      </c>
      <c r="G52" s="531">
        <f>SUM(G53:G54)</f>
        <v>91969124</v>
      </c>
      <c r="H52" s="531">
        <v>0</v>
      </c>
      <c r="I52" s="531">
        <f>SUM(I53:I54)</f>
        <v>-5354950</v>
      </c>
      <c r="J52" s="531">
        <f>SUM(J53+J54)</f>
        <v>86614174</v>
      </c>
      <c r="K52" s="531">
        <f t="shared" ref="K52" si="7">SUM(K53:K54)</f>
        <v>0</v>
      </c>
    </row>
    <row r="53" spans="1:11" s="13" customFormat="1" ht="15" customHeight="1" x14ac:dyDescent="0.2">
      <c r="A53" s="648"/>
      <c r="B53" s="646"/>
      <c r="C53" s="646"/>
      <c r="D53" s="39" t="s">
        <v>37</v>
      </c>
      <c r="E53" s="37" t="s">
        <v>414</v>
      </c>
      <c r="F53" s="47"/>
      <c r="G53" s="533">
        <f>15748031+70866142+1</f>
        <v>86614174</v>
      </c>
      <c r="H53" s="532">
        <v>0</v>
      </c>
      <c r="I53" s="532">
        <f t="shared" ref="I53:I54" si="8">J53-H53-G53</f>
        <v>0</v>
      </c>
      <c r="J53" s="533">
        <v>86614174</v>
      </c>
      <c r="K53" s="533"/>
    </row>
    <row r="54" spans="1:11" s="13" customFormat="1" ht="15" customHeight="1" x14ac:dyDescent="0.2">
      <c r="A54" s="648"/>
      <c r="B54" s="646"/>
      <c r="C54" s="646"/>
      <c r="D54" s="39" t="s">
        <v>38</v>
      </c>
      <c r="E54" s="37" t="s">
        <v>457</v>
      </c>
      <c r="F54" s="47"/>
      <c r="G54" s="533">
        <v>5354950</v>
      </c>
      <c r="H54" s="532">
        <v>0</v>
      </c>
      <c r="I54" s="532">
        <f t="shared" si="8"/>
        <v>-5354950</v>
      </c>
      <c r="J54" s="533">
        <f>5354950-5354950</f>
        <v>0</v>
      </c>
      <c r="K54" s="533"/>
    </row>
    <row r="55" spans="1:11" ht="15" customHeight="1" x14ac:dyDescent="0.2">
      <c r="A55" s="661"/>
      <c r="B55" s="673" t="s">
        <v>38</v>
      </c>
      <c r="C55" s="660" t="s">
        <v>408</v>
      </c>
      <c r="D55" s="660"/>
      <c r="E55" s="660"/>
      <c r="F55" s="40" t="s">
        <v>409</v>
      </c>
      <c r="G55" s="530">
        <f>SUM(G56:G56)</f>
        <v>0</v>
      </c>
      <c r="H55" s="530">
        <v>0</v>
      </c>
      <c r="I55" s="530">
        <f>SUM(I56:I56)</f>
        <v>0</v>
      </c>
      <c r="J55" s="530">
        <f t="shared" ref="J55:K55" si="9">SUM(J56:J56)</f>
        <v>0</v>
      </c>
      <c r="K55" s="530">
        <f t="shared" si="9"/>
        <v>0</v>
      </c>
    </row>
    <row r="56" spans="1:11" ht="15" customHeight="1" x14ac:dyDescent="0.2">
      <c r="A56" s="648"/>
      <c r="B56" s="673"/>
      <c r="C56" s="9" t="s">
        <v>37</v>
      </c>
      <c r="D56" s="674"/>
      <c r="E56" s="675"/>
      <c r="F56" s="9"/>
      <c r="G56" s="532"/>
      <c r="H56" s="532"/>
      <c r="I56" s="532"/>
      <c r="J56" s="532"/>
      <c r="K56" s="532"/>
    </row>
    <row r="57" spans="1:11" s="13" customFormat="1" ht="15" customHeight="1" x14ac:dyDescent="0.2">
      <c r="A57" s="648"/>
      <c r="B57" s="16" t="s">
        <v>39</v>
      </c>
      <c r="C57" s="653" t="s">
        <v>410</v>
      </c>
      <c r="D57" s="654"/>
      <c r="E57" s="655"/>
      <c r="F57" s="40"/>
      <c r="G57" s="530">
        <v>0</v>
      </c>
      <c r="H57" s="530"/>
      <c r="I57" s="530"/>
      <c r="J57" s="530"/>
      <c r="K57" s="530"/>
    </row>
    <row r="58" spans="1:11" s="13" customFormat="1" ht="15" customHeight="1" x14ac:dyDescent="0.2">
      <c r="A58" s="648"/>
      <c r="B58" s="307" t="s">
        <v>40</v>
      </c>
      <c r="C58" s="653" t="s">
        <v>411</v>
      </c>
      <c r="D58" s="677"/>
      <c r="E58" s="678"/>
      <c r="F58" s="325" t="s">
        <v>412</v>
      </c>
      <c r="G58" s="534">
        <v>26156750</v>
      </c>
      <c r="H58" s="534"/>
      <c r="I58" s="534">
        <f t="shared" ref="I58" si="10">J58-H58-G58</f>
        <v>-1445837</v>
      </c>
      <c r="J58" s="534">
        <f>26156750-1445837</f>
        <v>24710913</v>
      </c>
      <c r="K58" s="534">
        <f>991366</f>
        <v>991366</v>
      </c>
    </row>
    <row r="59" spans="1:11" ht="18" customHeight="1" thickBot="1" x14ac:dyDescent="0.25">
      <c r="A59" s="662"/>
      <c r="B59" s="676" t="s">
        <v>32</v>
      </c>
      <c r="C59" s="676"/>
      <c r="D59" s="676"/>
      <c r="E59" s="676"/>
      <c r="F59" s="51"/>
      <c r="G59" s="535">
        <f>G48+G55+G57+G58</f>
        <v>123033604</v>
      </c>
      <c r="H59" s="535">
        <v>0</v>
      </c>
      <c r="I59" s="535">
        <f>I48+I55+I57+I58</f>
        <v>-6800787</v>
      </c>
      <c r="J59" s="535">
        <f t="shared" ref="J59:K59" si="11">J48+J55+J57+J58</f>
        <v>116232817</v>
      </c>
      <c r="K59" s="535">
        <f t="shared" si="11"/>
        <v>4663091</v>
      </c>
    </row>
    <row r="60" spans="1:11" ht="26.25" customHeight="1" x14ac:dyDescent="0.2">
      <c r="A60" s="250" t="s">
        <v>39</v>
      </c>
      <c r="B60" s="272" t="s">
        <v>368</v>
      </c>
      <c r="C60" s="273"/>
      <c r="D60" s="273"/>
      <c r="E60" s="273"/>
      <c r="F60" s="273"/>
      <c r="G60" s="289"/>
      <c r="H60" s="289"/>
      <c r="I60" s="289"/>
      <c r="J60" s="289"/>
      <c r="K60" s="289"/>
    </row>
    <row r="61" spans="1:11" ht="15" customHeight="1" x14ac:dyDescent="0.2">
      <c r="A61" s="250"/>
      <c r="B61" s="274" t="s">
        <v>37</v>
      </c>
      <c r="C61" s="653" t="s">
        <v>42</v>
      </c>
      <c r="D61" s="654"/>
      <c r="E61" s="655"/>
      <c r="F61" s="46" t="s">
        <v>76</v>
      </c>
      <c r="G61" s="321">
        <f>SUM(G62:G62)</f>
        <v>2000000</v>
      </c>
      <c r="H61" s="321">
        <v>0</v>
      </c>
      <c r="I61" s="321"/>
      <c r="J61" s="536">
        <f t="shared" ref="J61:K61" si="12">SUM(J62:J62)</f>
        <v>2000000</v>
      </c>
      <c r="K61" s="536">
        <f t="shared" si="12"/>
        <v>0</v>
      </c>
    </row>
    <row r="62" spans="1:11" s="13" customFormat="1" ht="15" customHeight="1" x14ac:dyDescent="0.2">
      <c r="A62" s="250"/>
      <c r="B62" s="275"/>
      <c r="C62" s="35" t="s">
        <v>37</v>
      </c>
      <c r="D62" s="643" t="s">
        <v>53</v>
      </c>
      <c r="E62" s="644"/>
      <c r="F62" s="47"/>
      <c r="G62" s="456">
        <v>2000000</v>
      </c>
      <c r="H62" s="326">
        <v>0</v>
      </c>
      <c r="I62" s="327"/>
      <c r="J62" s="456">
        <v>2000000</v>
      </c>
      <c r="K62" s="456">
        <v>0</v>
      </c>
    </row>
    <row r="63" spans="1:11" ht="18" customHeight="1" thickBot="1" x14ac:dyDescent="0.25">
      <c r="A63" s="250"/>
      <c r="B63" s="672" t="s">
        <v>22</v>
      </c>
      <c r="C63" s="672"/>
      <c r="D63" s="672"/>
      <c r="E63" s="672"/>
      <c r="F63" s="41"/>
      <c r="G63" s="328">
        <f>G61</f>
        <v>2000000</v>
      </c>
      <c r="H63" s="328">
        <v>0</v>
      </c>
      <c r="I63" s="328"/>
      <c r="J63" s="537">
        <f t="shared" ref="J63:K63" si="13">J61</f>
        <v>2000000</v>
      </c>
      <c r="K63" s="537">
        <f t="shared" si="13"/>
        <v>0</v>
      </c>
    </row>
    <row r="64" spans="1:11" s="279" customFormat="1" ht="15" customHeight="1" thickBot="1" x14ac:dyDescent="0.3">
      <c r="A64" s="276"/>
      <c r="B64" s="277"/>
      <c r="C64" s="280"/>
      <c r="D64" s="281"/>
      <c r="E64" s="282"/>
      <c r="F64" s="278"/>
      <c r="G64" s="329"/>
      <c r="H64" s="329"/>
      <c r="I64" s="329"/>
      <c r="J64" s="538"/>
      <c r="K64" s="538"/>
    </row>
    <row r="65" spans="1:11" ht="21" customHeight="1" thickBot="1" x14ac:dyDescent="0.25">
      <c r="A65" s="56"/>
      <c r="B65" s="671" t="s">
        <v>367</v>
      </c>
      <c r="C65" s="671"/>
      <c r="D65" s="671"/>
      <c r="E65" s="671"/>
      <c r="F65" s="44"/>
      <c r="G65" s="330">
        <f>G46+G59+G63</f>
        <v>929646250</v>
      </c>
      <c r="H65" s="330">
        <v>274610</v>
      </c>
      <c r="I65" s="330">
        <f>I46+I59+I63</f>
        <v>-3399215</v>
      </c>
      <c r="J65" s="539">
        <f t="shared" ref="J65:K65" si="14">J46+J59+J63</f>
        <v>939145180</v>
      </c>
      <c r="K65" s="539">
        <f t="shared" si="14"/>
        <v>53872429</v>
      </c>
    </row>
    <row r="70" spans="1:11" ht="21" customHeight="1" x14ac:dyDescent="0.2">
      <c r="A70" s="3"/>
    </row>
    <row r="71" spans="1:11" ht="15" customHeight="1" x14ac:dyDescent="0.2">
      <c r="A71" s="3"/>
    </row>
  </sheetData>
  <mergeCells count="47">
    <mergeCell ref="A55:A59"/>
    <mergeCell ref="B55:B56"/>
    <mergeCell ref="C55:E55"/>
    <mergeCell ref="D56:E56"/>
    <mergeCell ref="C57:E57"/>
    <mergeCell ref="B59:E59"/>
    <mergeCell ref="C58:E58"/>
    <mergeCell ref="D28:E28"/>
    <mergeCell ref="C31:C37"/>
    <mergeCell ref="D43:E43"/>
    <mergeCell ref="D44:E44"/>
    <mergeCell ref="B65:E65"/>
    <mergeCell ref="C61:E61"/>
    <mergeCell ref="D62:E62"/>
    <mergeCell ref="B63:E63"/>
    <mergeCell ref="C15:C16"/>
    <mergeCell ref="D15:E15"/>
    <mergeCell ref="C13:C14"/>
    <mergeCell ref="C29:C30"/>
    <mergeCell ref="A47:A54"/>
    <mergeCell ref="B47:G47"/>
    <mergeCell ref="B48:B54"/>
    <mergeCell ref="C48:E48"/>
    <mergeCell ref="D49:E49"/>
    <mergeCell ref="C52:C54"/>
    <mergeCell ref="D52:E52"/>
    <mergeCell ref="A45:A46"/>
    <mergeCell ref="C45:E45"/>
    <mergeCell ref="B46:E46"/>
    <mergeCell ref="B27:B44"/>
    <mergeCell ref="C27:E27"/>
    <mergeCell ref="A1:G1"/>
    <mergeCell ref="A2:F2"/>
    <mergeCell ref="A5:E5"/>
    <mergeCell ref="D13:E13"/>
    <mergeCell ref="C19:C25"/>
    <mergeCell ref="D19:E19"/>
    <mergeCell ref="A6:A44"/>
    <mergeCell ref="B6:G6"/>
    <mergeCell ref="B7:B9"/>
    <mergeCell ref="C7:E7"/>
    <mergeCell ref="D8:E8"/>
    <mergeCell ref="C10:E10"/>
    <mergeCell ref="D11:E11"/>
    <mergeCell ref="D31:E31"/>
    <mergeCell ref="D9:E9"/>
    <mergeCell ref="B10:B25"/>
  </mergeCells>
  <phoneticPr fontId="7" type="noConversion"/>
  <pageMargins left="0.70866141732283461" right="0.70866141732283461" top="0.74803149606299213" bottom="0.74803149606299213" header="0.31496062992125984" footer="0.31496062992125984"/>
  <pageSetup paperSize="9" scale="53" orientation="portrait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sqref="A1:J1"/>
    </sheetView>
  </sheetViews>
  <sheetFormatPr defaultRowHeight="12.75" x14ac:dyDescent="0.2"/>
  <cols>
    <col min="1" max="1" width="5.85546875" style="291" customWidth="1"/>
    <col min="2" max="2" width="30.85546875" style="292" customWidth="1"/>
    <col min="3" max="3" width="14.5703125" style="292" customWidth="1"/>
    <col min="4" max="9" width="11" style="292" customWidth="1"/>
    <col min="10" max="10" width="11.85546875" style="292" customWidth="1"/>
    <col min="11" max="11" width="9.140625" style="292"/>
    <col min="12" max="13" width="11.140625" style="292" bestFit="1" customWidth="1"/>
    <col min="14" max="256" width="9.140625" style="292"/>
    <col min="257" max="257" width="5.85546875" style="292" customWidth="1"/>
    <col min="258" max="258" width="30.85546875" style="292" customWidth="1"/>
    <col min="259" max="259" width="14.5703125" style="292" customWidth="1"/>
    <col min="260" max="265" width="11" style="292" customWidth="1"/>
    <col min="266" max="266" width="11.85546875" style="292" customWidth="1"/>
    <col min="267" max="512" width="9.140625" style="292"/>
    <col min="513" max="513" width="5.85546875" style="292" customWidth="1"/>
    <col min="514" max="514" width="30.85546875" style="292" customWidth="1"/>
    <col min="515" max="515" width="14.5703125" style="292" customWidth="1"/>
    <col min="516" max="521" width="11" style="292" customWidth="1"/>
    <col min="522" max="522" width="11.85546875" style="292" customWidth="1"/>
    <col min="523" max="768" width="9.140625" style="292"/>
    <col min="769" max="769" width="5.85546875" style="292" customWidth="1"/>
    <col min="770" max="770" width="30.85546875" style="292" customWidth="1"/>
    <col min="771" max="771" width="14.5703125" style="292" customWidth="1"/>
    <col min="772" max="777" width="11" style="292" customWidth="1"/>
    <col min="778" max="778" width="11.85546875" style="292" customWidth="1"/>
    <col min="779" max="1024" width="9.140625" style="292"/>
    <col min="1025" max="1025" width="5.85546875" style="292" customWidth="1"/>
    <col min="1026" max="1026" width="30.85546875" style="292" customWidth="1"/>
    <col min="1027" max="1027" width="14.5703125" style="292" customWidth="1"/>
    <col min="1028" max="1033" width="11" style="292" customWidth="1"/>
    <col min="1034" max="1034" width="11.85546875" style="292" customWidth="1"/>
    <col min="1035" max="1280" width="9.140625" style="292"/>
    <col min="1281" max="1281" width="5.85546875" style="292" customWidth="1"/>
    <col min="1282" max="1282" width="30.85546875" style="292" customWidth="1"/>
    <col min="1283" max="1283" width="14.5703125" style="292" customWidth="1"/>
    <col min="1284" max="1289" width="11" style="292" customWidth="1"/>
    <col min="1290" max="1290" width="11.85546875" style="292" customWidth="1"/>
    <col min="1291" max="1536" width="9.140625" style="292"/>
    <col min="1537" max="1537" width="5.85546875" style="292" customWidth="1"/>
    <col min="1538" max="1538" width="30.85546875" style="292" customWidth="1"/>
    <col min="1539" max="1539" width="14.5703125" style="292" customWidth="1"/>
    <col min="1540" max="1545" width="11" style="292" customWidth="1"/>
    <col min="1546" max="1546" width="11.85546875" style="292" customWidth="1"/>
    <col min="1547" max="1792" width="9.140625" style="292"/>
    <col min="1793" max="1793" width="5.85546875" style="292" customWidth="1"/>
    <col min="1794" max="1794" width="30.85546875" style="292" customWidth="1"/>
    <col min="1795" max="1795" width="14.5703125" style="292" customWidth="1"/>
    <col min="1796" max="1801" width="11" style="292" customWidth="1"/>
    <col min="1802" max="1802" width="11.85546875" style="292" customWidth="1"/>
    <col min="1803" max="2048" width="9.140625" style="292"/>
    <col min="2049" max="2049" width="5.85546875" style="292" customWidth="1"/>
    <col min="2050" max="2050" width="30.85546875" style="292" customWidth="1"/>
    <col min="2051" max="2051" width="14.5703125" style="292" customWidth="1"/>
    <col min="2052" max="2057" width="11" style="292" customWidth="1"/>
    <col min="2058" max="2058" width="11.85546875" style="292" customWidth="1"/>
    <col min="2059" max="2304" width="9.140625" style="292"/>
    <col min="2305" max="2305" width="5.85546875" style="292" customWidth="1"/>
    <col min="2306" max="2306" width="30.85546875" style="292" customWidth="1"/>
    <col min="2307" max="2307" width="14.5703125" style="292" customWidth="1"/>
    <col min="2308" max="2313" width="11" style="292" customWidth="1"/>
    <col min="2314" max="2314" width="11.85546875" style="292" customWidth="1"/>
    <col min="2315" max="2560" width="9.140625" style="292"/>
    <col min="2561" max="2561" width="5.85546875" style="292" customWidth="1"/>
    <col min="2562" max="2562" width="30.85546875" style="292" customWidth="1"/>
    <col min="2563" max="2563" width="14.5703125" style="292" customWidth="1"/>
    <col min="2564" max="2569" width="11" style="292" customWidth="1"/>
    <col min="2570" max="2570" width="11.85546875" style="292" customWidth="1"/>
    <col min="2571" max="2816" width="9.140625" style="292"/>
    <col min="2817" max="2817" width="5.85546875" style="292" customWidth="1"/>
    <col min="2818" max="2818" width="30.85546875" style="292" customWidth="1"/>
    <col min="2819" max="2819" width="14.5703125" style="292" customWidth="1"/>
    <col min="2820" max="2825" width="11" style="292" customWidth="1"/>
    <col min="2826" max="2826" width="11.85546875" style="292" customWidth="1"/>
    <col min="2827" max="3072" width="9.140625" style="292"/>
    <col min="3073" max="3073" width="5.85546875" style="292" customWidth="1"/>
    <col min="3074" max="3074" width="30.85546875" style="292" customWidth="1"/>
    <col min="3075" max="3075" width="14.5703125" style="292" customWidth="1"/>
    <col min="3076" max="3081" width="11" style="292" customWidth="1"/>
    <col min="3082" max="3082" width="11.85546875" style="292" customWidth="1"/>
    <col min="3083" max="3328" width="9.140625" style="292"/>
    <col min="3329" max="3329" width="5.85546875" style="292" customWidth="1"/>
    <col min="3330" max="3330" width="30.85546875" style="292" customWidth="1"/>
    <col min="3331" max="3331" width="14.5703125" style="292" customWidth="1"/>
    <col min="3332" max="3337" width="11" style="292" customWidth="1"/>
    <col min="3338" max="3338" width="11.85546875" style="292" customWidth="1"/>
    <col min="3339" max="3584" width="9.140625" style="292"/>
    <col min="3585" max="3585" width="5.85546875" style="292" customWidth="1"/>
    <col min="3586" max="3586" width="30.85546875" style="292" customWidth="1"/>
    <col min="3587" max="3587" width="14.5703125" style="292" customWidth="1"/>
    <col min="3588" max="3593" width="11" style="292" customWidth="1"/>
    <col min="3594" max="3594" width="11.85546875" style="292" customWidth="1"/>
    <col min="3595" max="3840" width="9.140625" style="292"/>
    <col min="3841" max="3841" width="5.85546875" style="292" customWidth="1"/>
    <col min="3842" max="3842" width="30.85546875" style="292" customWidth="1"/>
    <col min="3843" max="3843" width="14.5703125" style="292" customWidth="1"/>
    <col min="3844" max="3849" width="11" style="292" customWidth="1"/>
    <col min="3850" max="3850" width="11.85546875" style="292" customWidth="1"/>
    <col min="3851" max="4096" width="9.140625" style="292"/>
    <col min="4097" max="4097" width="5.85546875" style="292" customWidth="1"/>
    <col min="4098" max="4098" width="30.85546875" style="292" customWidth="1"/>
    <col min="4099" max="4099" width="14.5703125" style="292" customWidth="1"/>
    <col min="4100" max="4105" width="11" style="292" customWidth="1"/>
    <col min="4106" max="4106" width="11.85546875" style="292" customWidth="1"/>
    <col min="4107" max="4352" width="9.140625" style="292"/>
    <col min="4353" max="4353" width="5.85546875" style="292" customWidth="1"/>
    <col min="4354" max="4354" width="30.85546875" style="292" customWidth="1"/>
    <col min="4355" max="4355" width="14.5703125" style="292" customWidth="1"/>
    <col min="4356" max="4361" width="11" style="292" customWidth="1"/>
    <col min="4362" max="4362" width="11.85546875" style="292" customWidth="1"/>
    <col min="4363" max="4608" width="9.140625" style="292"/>
    <col min="4609" max="4609" width="5.85546875" style="292" customWidth="1"/>
    <col min="4610" max="4610" width="30.85546875" style="292" customWidth="1"/>
    <col min="4611" max="4611" width="14.5703125" style="292" customWidth="1"/>
    <col min="4612" max="4617" width="11" style="292" customWidth="1"/>
    <col min="4618" max="4618" width="11.85546875" style="292" customWidth="1"/>
    <col min="4619" max="4864" width="9.140625" style="292"/>
    <col min="4865" max="4865" width="5.85546875" style="292" customWidth="1"/>
    <col min="4866" max="4866" width="30.85546875" style="292" customWidth="1"/>
    <col min="4867" max="4867" width="14.5703125" style="292" customWidth="1"/>
    <col min="4868" max="4873" width="11" style="292" customWidth="1"/>
    <col min="4874" max="4874" width="11.85546875" style="292" customWidth="1"/>
    <col min="4875" max="5120" width="9.140625" style="292"/>
    <col min="5121" max="5121" width="5.85546875" style="292" customWidth="1"/>
    <col min="5122" max="5122" width="30.85546875" style="292" customWidth="1"/>
    <col min="5123" max="5123" width="14.5703125" style="292" customWidth="1"/>
    <col min="5124" max="5129" width="11" style="292" customWidth="1"/>
    <col min="5130" max="5130" width="11.85546875" style="292" customWidth="1"/>
    <col min="5131" max="5376" width="9.140625" style="292"/>
    <col min="5377" max="5377" width="5.85546875" style="292" customWidth="1"/>
    <col min="5378" max="5378" width="30.85546875" style="292" customWidth="1"/>
    <col min="5379" max="5379" width="14.5703125" style="292" customWidth="1"/>
    <col min="5380" max="5385" width="11" style="292" customWidth="1"/>
    <col min="5386" max="5386" width="11.85546875" style="292" customWidth="1"/>
    <col min="5387" max="5632" width="9.140625" style="292"/>
    <col min="5633" max="5633" width="5.85546875" style="292" customWidth="1"/>
    <col min="5634" max="5634" width="30.85546875" style="292" customWidth="1"/>
    <col min="5635" max="5635" width="14.5703125" style="292" customWidth="1"/>
    <col min="5636" max="5641" width="11" style="292" customWidth="1"/>
    <col min="5642" max="5642" width="11.85546875" style="292" customWidth="1"/>
    <col min="5643" max="5888" width="9.140625" style="292"/>
    <col min="5889" max="5889" width="5.85546875" style="292" customWidth="1"/>
    <col min="5890" max="5890" width="30.85546875" style="292" customWidth="1"/>
    <col min="5891" max="5891" width="14.5703125" style="292" customWidth="1"/>
    <col min="5892" max="5897" width="11" style="292" customWidth="1"/>
    <col min="5898" max="5898" width="11.85546875" style="292" customWidth="1"/>
    <col min="5899" max="6144" width="9.140625" style="292"/>
    <col min="6145" max="6145" width="5.85546875" style="292" customWidth="1"/>
    <col min="6146" max="6146" width="30.85546875" style="292" customWidth="1"/>
    <col min="6147" max="6147" width="14.5703125" style="292" customWidth="1"/>
    <col min="6148" max="6153" width="11" style="292" customWidth="1"/>
    <col min="6154" max="6154" width="11.85546875" style="292" customWidth="1"/>
    <col min="6155" max="6400" width="9.140625" style="292"/>
    <col min="6401" max="6401" width="5.85546875" style="292" customWidth="1"/>
    <col min="6402" max="6402" width="30.85546875" style="292" customWidth="1"/>
    <col min="6403" max="6403" width="14.5703125" style="292" customWidth="1"/>
    <col min="6404" max="6409" width="11" style="292" customWidth="1"/>
    <col min="6410" max="6410" width="11.85546875" style="292" customWidth="1"/>
    <col min="6411" max="6656" width="9.140625" style="292"/>
    <col min="6657" max="6657" width="5.85546875" style="292" customWidth="1"/>
    <col min="6658" max="6658" width="30.85546875" style="292" customWidth="1"/>
    <col min="6659" max="6659" width="14.5703125" style="292" customWidth="1"/>
    <col min="6660" max="6665" width="11" style="292" customWidth="1"/>
    <col min="6666" max="6666" width="11.85546875" style="292" customWidth="1"/>
    <col min="6667" max="6912" width="9.140625" style="292"/>
    <col min="6913" max="6913" width="5.85546875" style="292" customWidth="1"/>
    <col min="6914" max="6914" width="30.85546875" style="292" customWidth="1"/>
    <col min="6915" max="6915" width="14.5703125" style="292" customWidth="1"/>
    <col min="6916" max="6921" width="11" style="292" customWidth="1"/>
    <col min="6922" max="6922" width="11.85546875" style="292" customWidth="1"/>
    <col min="6923" max="7168" width="9.140625" style="292"/>
    <col min="7169" max="7169" width="5.85546875" style="292" customWidth="1"/>
    <col min="7170" max="7170" width="30.85546875" style="292" customWidth="1"/>
    <col min="7171" max="7171" width="14.5703125" style="292" customWidth="1"/>
    <col min="7172" max="7177" width="11" style="292" customWidth="1"/>
    <col min="7178" max="7178" width="11.85546875" style="292" customWidth="1"/>
    <col min="7179" max="7424" width="9.140625" style="292"/>
    <col min="7425" max="7425" width="5.85546875" style="292" customWidth="1"/>
    <col min="7426" max="7426" width="30.85546875" style="292" customWidth="1"/>
    <col min="7427" max="7427" width="14.5703125" style="292" customWidth="1"/>
    <col min="7428" max="7433" width="11" style="292" customWidth="1"/>
    <col min="7434" max="7434" width="11.85546875" style="292" customWidth="1"/>
    <col min="7435" max="7680" width="9.140625" style="292"/>
    <col min="7681" max="7681" width="5.85546875" style="292" customWidth="1"/>
    <col min="7682" max="7682" width="30.85546875" style="292" customWidth="1"/>
    <col min="7683" max="7683" width="14.5703125" style="292" customWidth="1"/>
    <col min="7684" max="7689" width="11" style="292" customWidth="1"/>
    <col min="7690" max="7690" width="11.85546875" style="292" customWidth="1"/>
    <col min="7691" max="7936" width="9.140625" style="292"/>
    <col min="7937" max="7937" width="5.85546875" style="292" customWidth="1"/>
    <col min="7938" max="7938" width="30.85546875" style="292" customWidth="1"/>
    <col min="7939" max="7939" width="14.5703125" style="292" customWidth="1"/>
    <col min="7940" max="7945" width="11" style="292" customWidth="1"/>
    <col min="7946" max="7946" width="11.85546875" style="292" customWidth="1"/>
    <col min="7947" max="8192" width="9.140625" style="292"/>
    <col min="8193" max="8193" width="5.85546875" style="292" customWidth="1"/>
    <col min="8194" max="8194" width="30.85546875" style="292" customWidth="1"/>
    <col min="8195" max="8195" width="14.5703125" style="292" customWidth="1"/>
    <col min="8196" max="8201" width="11" style="292" customWidth="1"/>
    <col min="8202" max="8202" width="11.85546875" style="292" customWidth="1"/>
    <col min="8203" max="8448" width="9.140625" style="292"/>
    <col min="8449" max="8449" width="5.85546875" style="292" customWidth="1"/>
    <col min="8450" max="8450" width="30.85546875" style="292" customWidth="1"/>
    <col min="8451" max="8451" width="14.5703125" style="292" customWidth="1"/>
    <col min="8452" max="8457" width="11" style="292" customWidth="1"/>
    <col min="8458" max="8458" width="11.85546875" style="292" customWidth="1"/>
    <col min="8459" max="8704" width="9.140625" style="292"/>
    <col min="8705" max="8705" width="5.85546875" style="292" customWidth="1"/>
    <col min="8706" max="8706" width="30.85546875" style="292" customWidth="1"/>
    <col min="8707" max="8707" width="14.5703125" style="292" customWidth="1"/>
    <col min="8708" max="8713" width="11" style="292" customWidth="1"/>
    <col min="8714" max="8714" width="11.85546875" style="292" customWidth="1"/>
    <col min="8715" max="8960" width="9.140625" style="292"/>
    <col min="8961" max="8961" width="5.85546875" style="292" customWidth="1"/>
    <col min="8962" max="8962" width="30.85546875" style="292" customWidth="1"/>
    <col min="8963" max="8963" width="14.5703125" style="292" customWidth="1"/>
    <col min="8964" max="8969" width="11" style="292" customWidth="1"/>
    <col min="8970" max="8970" width="11.85546875" style="292" customWidth="1"/>
    <col min="8971" max="9216" width="9.140625" style="292"/>
    <col min="9217" max="9217" width="5.85546875" style="292" customWidth="1"/>
    <col min="9218" max="9218" width="30.85546875" style="292" customWidth="1"/>
    <col min="9219" max="9219" width="14.5703125" style="292" customWidth="1"/>
    <col min="9220" max="9225" width="11" style="292" customWidth="1"/>
    <col min="9226" max="9226" width="11.85546875" style="292" customWidth="1"/>
    <col min="9227" max="9472" width="9.140625" style="292"/>
    <col min="9473" max="9473" width="5.85546875" style="292" customWidth="1"/>
    <col min="9474" max="9474" width="30.85546875" style="292" customWidth="1"/>
    <col min="9475" max="9475" width="14.5703125" style="292" customWidth="1"/>
    <col min="9476" max="9481" width="11" style="292" customWidth="1"/>
    <col min="9482" max="9482" width="11.85546875" style="292" customWidth="1"/>
    <col min="9483" max="9728" width="9.140625" style="292"/>
    <col min="9729" max="9729" width="5.85546875" style="292" customWidth="1"/>
    <col min="9730" max="9730" width="30.85546875" style="292" customWidth="1"/>
    <col min="9731" max="9731" width="14.5703125" style="292" customWidth="1"/>
    <col min="9732" max="9737" width="11" style="292" customWidth="1"/>
    <col min="9738" max="9738" width="11.85546875" style="292" customWidth="1"/>
    <col min="9739" max="9984" width="9.140625" style="292"/>
    <col min="9985" max="9985" width="5.85546875" style="292" customWidth="1"/>
    <col min="9986" max="9986" width="30.85546875" style="292" customWidth="1"/>
    <col min="9987" max="9987" width="14.5703125" style="292" customWidth="1"/>
    <col min="9988" max="9993" width="11" style="292" customWidth="1"/>
    <col min="9994" max="9994" width="11.85546875" style="292" customWidth="1"/>
    <col min="9995" max="10240" width="9.140625" style="292"/>
    <col min="10241" max="10241" width="5.85546875" style="292" customWidth="1"/>
    <col min="10242" max="10242" width="30.85546875" style="292" customWidth="1"/>
    <col min="10243" max="10243" width="14.5703125" style="292" customWidth="1"/>
    <col min="10244" max="10249" width="11" style="292" customWidth="1"/>
    <col min="10250" max="10250" width="11.85546875" style="292" customWidth="1"/>
    <col min="10251" max="10496" width="9.140625" style="292"/>
    <col min="10497" max="10497" width="5.85546875" style="292" customWidth="1"/>
    <col min="10498" max="10498" width="30.85546875" style="292" customWidth="1"/>
    <col min="10499" max="10499" width="14.5703125" style="292" customWidth="1"/>
    <col min="10500" max="10505" width="11" style="292" customWidth="1"/>
    <col min="10506" max="10506" width="11.85546875" style="292" customWidth="1"/>
    <col min="10507" max="10752" width="9.140625" style="292"/>
    <col min="10753" max="10753" width="5.85546875" style="292" customWidth="1"/>
    <col min="10754" max="10754" width="30.85546875" style="292" customWidth="1"/>
    <col min="10755" max="10755" width="14.5703125" style="292" customWidth="1"/>
    <col min="10756" max="10761" width="11" style="292" customWidth="1"/>
    <col min="10762" max="10762" width="11.85546875" style="292" customWidth="1"/>
    <col min="10763" max="11008" width="9.140625" style="292"/>
    <col min="11009" max="11009" width="5.85546875" style="292" customWidth="1"/>
    <col min="11010" max="11010" width="30.85546875" style="292" customWidth="1"/>
    <col min="11011" max="11011" width="14.5703125" style="292" customWidth="1"/>
    <col min="11012" max="11017" width="11" style="292" customWidth="1"/>
    <col min="11018" max="11018" width="11.85546875" style="292" customWidth="1"/>
    <col min="11019" max="11264" width="9.140625" style="292"/>
    <col min="11265" max="11265" width="5.85546875" style="292" customWidth="1"/>
    <col min="11266" max="11266" width="30.85546875" style="292" customWidth="1"/>
    <col min="11267" max="11267" width="14.5703125" style="292" customWidth="1"/>
    <col min="11268" max="11273" width="11" style="292" customWidth="1"/>
    <col min="11274" max="11274" width="11.85546875" style="292" customWidth="1"/>
    <col min="11275" max="11520" width="9.140625" style="292"/>
    <col min="11521" max="11521" width="5.85546875" style="292" customWidth="1"/>
    <col min="11522" max="11522" width="30.85546875" style="292" customWidth="1"/>
    <col min="11523" max="11523" width="14.5703125" style="292" customWidth="1"/>
    <col min="11524" max="11529" width="11" style="292" customWidth="1"/>
    <col min="11530" max="11530" width="11.85546875" style="292" customWidth="1"/>
    <col min="11531" max="11776" width="9.140625" style="292"/>
    <col min="11777" max="11777" width="5.85546875" style="292" customWidth="1"/>
    <col min="11778" max="11778" width="30.85546875" style="292" customWidth="1"/>
    <col min="11779" max="11779" width="14.5703125" style="292" customWidth="1"/>
    <col min="11780" max="11785" width="11" style="292" customWidth="1"/>
    <col min="11786" max="11786" width="11.85546875" style="292" customWidth="1"/>
    <col min="11787" max="12032" width="9.140625" style="292"/>
    <col min="12033" max="12033" width="5.85546875" style="292" customWidth="1"/>
    <col min="12034" max="12034" width="30.85546875" style="292" customWidth="1"/>
    <col min="12035" max="12035" width="14.5703125" style="292" customWidth="1"/>
    <col min="12036" max="12041" width="11" style="292" customWidth="1"/>
    <col min="12042" max="12042" width="11.85546875" style="292" customWidth="1"/>
    <col min="12043" max="12288" width="9.140625" style="292"/>
    <col min="12289" max="12289" width="5.85546875" style="292" customWidth="1"/>
    <col min="12290" max="12290" width="30.85546875" style="292" customWidth="1"/>
    <col min="12291" max="12291" width="14.5703125" style="292" customWidth="1"/>
    <col min="12292" max="12297" width="11" style="292" customWidth="1"/>
    <col min="12298" max="12298" width="11.85546875" style="292" customWidth="1"/>
    <col min="12299" max="12544" width="9.140625" style="292"/>
    <col min="12545" max="12545" width="5.85546875" style="292" customWidth="1"/>
    <col min="12546" max="12546" width="30.85546875" style="292" customWidth="1"/>
    <col min="12547" max="12547" width="14.5703125" style="292" customWidth="1"/>
    <col min="12548" max="12553" width="11" style="292" customWidth="1"/>
    <col min="12554" max="12554" width="11.85546875" style="292" customWidth="1"/>
    <col min="12555" max="12800" width="9.140625" style="292"/>
    <col min="12801" max="12801" width="5.85546875" style="292" customWidth="1"/>
    <col min="12802" max="12802" width="30.85546875" style="292" customWidth="1"/>
    <col min="12803" max="12803" width="14.5703125" style="292" customWidth="1"/>
    <col min="12804" max="12809" width="11" style="292" customWidth="1"/>
    <col min="12810" max="12810" width="11.85546875" style="292" customWidth="1"/>
    <col min="12811" max="13056" width="9.140625" style="292"/>
    <col min="13057" max="13057" width="5.85546875" style="292" customWidth="1"/>
    <col min="13058" max="13058" width="30.85546875" style="292" customWidth="1"/>
    <col min="13059" max="13059" width="14.5703125" style="292" customWidth="1"/>
    <col min="13060" max="13065" width="11" style="292" customWidth="1"/>
    <col min="13066" max="13066" width="11.85546875" style="292" customWidth="1"/>
    <col min="13067" max="13312" width="9.140625" style="292"/>
    <col min="13313" max="13313" width="5.85546875" style="292" customWidth="1"/>
    <col min="13314" max="13314" width="30.85546875" style="292" customWidth="1"/>
    <col min="13315" max="13315" width="14.5703125" style="292" customWidth="1"/>
    <col min="13316" max="13321" width="11" style="292" customWidth="1"/>
    <col min="13322" max="13322" width="11.85546875" style="292" customWidth="1"/>
    <col min="13323" max="13568" width="9.140625" style="292"/>
    <col min="13569" max="13569" width="5.85546875" style="292" customWidth="1"/>
    <col min="13570" max="13570" width="30.85546875" style="292" customWidth="1"/>
    <col min="13571" max="13571" width="14.5703125" style="292" customWidth="1"/>
    <col min="13572" max="13577" width="11" style="292" customWidth="1"/>
    <col min="13578" max="13578" width="11.85546875" style="292" customWidth="1"/>
    <col min="13579" max="13824" width="9.140625" style="292"/>
    <col min="13825" max="13825" width="5.85546875" style="292" customWidth="1"/>
    <col min="13826" max="13826" width="30.85546875" style="292" customWidth="1"/>
    <col min="13827" max="13827" width="14.5703125" style="292" customWidth="1"/>
    <col min="13828" max="13833" width="11" style="292" customWidth="1"/>
    <col min="13834" max="13834" width="11.85546875" style="292" customWidth="1"/>
    <col min="13835" max="14080" width="9.140625" style="292"/>
    <col min="14081" max="14081" width="5.85546875" style="292" customWidth="1"/>
    <col min="14082" max="14082" width="30.85546875" style="292" customWidth="1"/>
    <col min="14083" max="14083" width="14.5703125" style="292" customWidth="1"/>
    <col min="14084" max="14089" width="11" style="292" customWidth="1"/>
    <col min="14090" max="14090" width="11.85546875" style="292" customWidth="1"/>
    <col min="14091" max="14336" width="9.140625" style="292"/>
    <col min="14337" max="14337" width="5.85546875" style="292" customWidth="1"/>
    <col min="14338" max="14338" width="30.85546875" style="292" customWidth="1"/>
    <col min="14339" max="14339" width="14.5703125" style="292" customWidth="1"/>
    <col min="14340" max="14345" width="11" style="292" customWidth="1"/>
    <col min="14346" max="14346" width="11.85546875" style="292" customWidth="1"/>
    <col min="14347" max="14592" width="9.140625" style="292"/>
    <col min="14593" max="14593" width="5.85546875" style="292" customWidth="1"/>
    <col min="14594" max="14594" width="30.85546875" style="292" customWidth="1"/>
    <col min="14595" max="14595" width="14.5703125" style="292" customWidth="1"/>
    <col min="14596" max="14601" width="11" style="292" customWidth="1"/>
    <col min="14602" max="14602" width="11.85546875" style="292" customWidth="1"/>
    <col min="14603" max="14848" width="9.140625" style="292"/>
    <col min="14849" max="14849" width="5.85546875" style="292" customWidth="1"/>
    <col min="14850" max="14850" width="30.85546875" style="292" customWidth="1"/>
    <col min="14851" max="14851" width="14.5703125" style="292" customWidth="1"/>
    <col min="14852" max="14857" width="11" style="292" customWidth="1"/>
    <col min="14858" max="14858" width="11.85546875" style="292" customWidth="1"/>
    <col min="14859" max="15104" width="9.140625" style="292"/>
    <col min="15105" max="15105" width="5.85546875" style="292" customWidth="1"/>
    <col min="15106" max="15106" width="30.85546875" style="292" customWidth="1"/>
    <col min="15107" max="15107" width="14.5703125" style="292" customWidth="1"/>
    <col min="15108" max="15113" width="11" style="292" customWidth="1"/>
    <col min="15114" max="15114" width="11.85546875" style="292" customWidth="1"/>
    <col min="15115" max="15360" width="9.140625" style="292"/>
    <col min="15361" max="15361" width="5.85546875" style="292" customWidth="1"/>
    <col min="15362" max="15362" width="30.85546875" style="292" customWidth="1"/>
    <col min="15363" max="15363" width="14.5703125" style="292" customWidth="1"/>
    <col min="15364" max="15369" width="11" style="292" customWidth="1"/>
    <col min="15370" max="15370" width="11.85546875" style="292" customWidth="1"/>
    <col min="15371" max="15616" width="9.140625" style="292"/>
    <col min="15617" max="15617" width="5.85546875" style="292" customWidth="1"/>
    <col min="15618" max="15618" width="30.85546875" style="292" customWidth="1"/>
    <col min="15619" max="15619" width="14.5703125" style="292" customWidth="1"/>
    <col min="15620" max="15625" width="11" style="292" customWidth="1"/>
    <col min="15626" max="15626" width="11.85546875" style="292" customWidth="1"/>
    <col min="15627" max="15872" width="9.140625" style="292"/>
    <col min="15873" max="15873" width="5.85546875" style="292" customWidth="1"/>
    <col min="15874" max="15874" width="30.85546875" style="292" customWidth="1"/>
    <col min="15875" max="15875" width="14.5703125" style="292" customWidth="1"/>
    <col min="15876" max="15881" width="11" style="292" customWidth="1"/>
    <col min="15882" max="15882" width="11.85546875" style="292" customWidth="1"/>
    <col min="15883" max="16128" width="9.140625" style="292"/>
    <col min="16129" max="16129" width="5.85546875" style="292" customWidth="1"/>
    <col min="16130" max="16130" width="30.85546875" style="292" customWidth="1"/>
    <col min="16131" max="16131" width="14.5703125" style="292" customWidth="1"/>
    <col min="16132" max="16137" width="11" style="292" customWidth="1"/>
    <col min="16138" max="16138" width="11.85546875" style="292" customWidth="1"/>
    <col min="16139" max="16384" width="9.140625" style="292"/>
  </cols>
  <sheetData>
    <row r="1" spans="1:10" ht="21" customHeight="1" x14ac:dyDescent="0.2">
      <c r="A1" s="540" t="s">
        <v>375</v>
      </c>
      <c r="B1" s="540"/>
      <c r="C1" s="540"/>
      <c r="D1" s="540"/>
      <c r="E1" s="540"/>
      <c r="F1" s="540"/>
      <c r="G1" s="540"/>
      <c r="H1" s="540"/>
      <c r="I1" s="540"/>
      <c r="J1" s="540"/>
    </row>
    <row r="2" spans="1:10" ht="13.5" thickBot="1" x14ac:dyDescent="0.25">
      <c r="J2" s="296" t="s">
        <v>380</v>
      </c>
    </row>
    <row r="3" spans="1:10" s="206" customFormat="1" ht="14.25" x14ac:dyDescent="0.2">
      <c r="A3" s="681" t="s">
        <v>100</v>
      </c>
      <c r="B3" s="683" t="s">
        <v>291</v>
      </c>
      <c r="C3" s="683" t="s">
        <v>292</v>
      </c>
      <c r="D3" s="683" t="s">
        <v>293</v>
      </c>
      <c r="E3" s="683" t="s">
        <v>377</v>
      </c>
      <c r="F3" s="203" t="s">
        <v>294</v>
      </c>
      <c r="G3" s="204"/>
      <c r="H3" s="204"/>
      <c r="I3" s="205"/>
      <c r="J3" s="679" t="s">
        <v>295</v>
      </c>
    </row>
    <row r="4" spans="1:10" s="210" customFormat="1" ht="24.75" thickBot="1" x14ac:dyDescent="0.25">
      <c r="A4" s="682"/>
      <c r="B4" s="684"/>
      <c r="C4" s="684"/>
      <c r="D4" s="685"/>
      <c r="E4" s="685"/>
      <c r="F4" s="207" t="s">
        <v>307</v>
      </c>
      <c r="G4" s="208" t="s">
        <v>308</v>
      </c>
      <c r="H4" s="208" t="s">
        <v>378</v>
      </c>
      <c r="I4" s="209" t="s">
        <v>379</v>
      </c>
      <c r="J4" s="680"/>
    </row>
    <row r="5" spans="1:10" s="215" customFormat="1" ht="11.25" thickBot="1" x14ac:dyDescent="0.25">
      <c r="A5" s="211">
        <v>1</v>
      </c>
      <c r="B5" s="212">
        <v>2</v>
      </c>
      <c r="C5" s="213">
        <v>3</v>
      </c>
      <c r="D5" s="213">
        <v>4</v>
      </c>
      <c r="E5" s="213">
        <v>5</v>
      </c>
      <c r="F5" s="213">
        <v>6</v>
      </c>
      <c r="G5" s="213">
        <v>7</v>
      </c>
      <c r="H5" s="213">
        <v>8</v>
      </c>
      <c r="I5" s="213">
        <v>9</v>
      </c>
      <c r="J5" s="214" t="s">
        <v>296</v>
      </c>
    </row>
    <row r="6" spans="1:10" ht="21" x14ac:dyDescent="0.2">
      <c r="A6" s="216" t="s">
        <v>37</v>
      </c>
      <c r="B6" s="217" t="s">
        <v>297</v>
      </c>
      <c r="C6" s="218"/>
      <c r="D6" s="219">
        <f t="shared" ref="D6:I6" si="0">SUM(D7:D8)</f>
        <v>0</v>
      </c>
      <c r="E6" s="219">
        <f t="shared" si="0"/>
        <v>0</v>
      </c>
      <c r="F6" s="219">
        <f t="shared" si="0"/>
        <v>0</v>
      </c>
      <c r="G6" s="219">
        <f t="shared" si="0"/>
        <v>0</v>
      </c>
      <c r="H6" s="219">
        <f t="shared" si="0"/>
        <v>0</v>
      </c>
      <c r="I6" s="220">
        <f t="shared" si="0"/>
        <v>0</v>
      </c>
      <c r="J6" s="221">
        <f t="shared" ref="J6:J19" si="1">SUM(F6:I6)</f>
        <v>0</v>
      </c>
    </row>
    <row r="7" spans="1:10" x14ac:dyDescent="0.2">
      <c r="A7" s="222" t="s">
        <v>38</v>
      </c>
      <c r="B7" s="223" t="s">
        <v>298</v>
      </c>
      <c r="C7" s="224"/>
      <c r="D7" s="225"/>
      <c r="E7" s="225"/>
      <c r="F7" s="225"/>
      <c r="G7" s="225"/>
      <c r="H7" s="225"/>
      <c r="I7" s="226"/>
      <c r="J7" s="227">
        <f t="shared" si="1"/>
        <v>0</v>
      </c>
    </row>
    <row r="8" spans="1:10" x14ac:dyDescent="0.2">
      <c r="A8" s="222" t="s">
        <v>39</v>
      </c>
      <c r="B8" s="223" t="s">
        <v>298</v>
      </c>
      <c r="C8" s="224"/>
      <c r="D8" s="225"/>
      <c r="E8" s="225"/>
      <c r="F8" s="225"/>
      <c r="G8" s="225"/>
      <c r="H8" s="225"/>
      <c r="I8" s="226"/>
      <c r="J8" s="227">
        <f t="shared" si="1"/>
        <v>0</v>
      </c>
    </row>
    <row r="9" spans="1:10" ht="21" x14ac:dyDescent="0.2">
      <c r="A9" s="222" t="s">
        <v>40</v>
      </c>
      <c r="B9" s="228" t="s">
        <v>299</v>
      </c>
      <c r="C9" s="229"/>
      <c r="D9" s="230">
        <f t="shared" ref="D9:I9" si="2">SUM(D10:D11)</f>
        <v>786665991</v>
      </c>
      <c r="E9" s="230">
        <f t="shared" si="2"/>
        <v>14396417</v>
      </c>
      <c r="F9" s="230">
        <f t="shared" si="2"/>
        <v>19177708</v>
      </c>
      <c r="G9" s="230">
        <f t="shared" si="2"/>
        <v>67552771</v>
      </c>
      <c r="H9" s="230">
        <f t="shared" si="2"/>
        <v>82016443</v>
      </c>
      <c r="I9" s="231">
        <f t="shared" si="2"/>
        <v>603522652</v>
      </c>
      <c r="J9" s="232">
        <f>SUM(F9:I9)</f>
        <v>772269574</v>
      </c>
    </row>
    <row r="10" spans="1:10" x14ac:dyDescent="0.2">
      <c r="A10" s="222" t="s">
        <v>41</v>
      </c>
      <c r="B10" s="223" t="s">
        <v>300</v>
      </c>
      <c r="C10" s="224">
        <v>2020</v>
      </c>
      <c r="D10" s="225">
        <v>650000000</v>
      </c>
      <c r="E10" s="293">
        <v>0</v>
      </c>
      <c r="F10" s="293">
        <v>0</v>
      </c>
      <c r="G10" s="293">
        <v>48750300</v>
      </c>
      <c r="H10" s="293">
        <v>65000400</v>
      </c>
      <c r="I10" s="294">
        <v>536249300</v>
      </c>
      <c r="J10" s="232">
        <f t="shared" ref="J10:J11" si="3">SUM(F10:I10)</f>
        <v>650000000</v>
      </c>
    </row>
    <row r="11" spans="1:10" x14ac:dyDescent="0.2">
      <c r="A11" s="222" t="s">
        <v>46</v>
      </c>
      <c r="B11" s="223" t="s">
        <v>301</v>
      </c>
      <c r="C11" s="224">
        <v>2020</v>
      </c>
      <c r="D11" s="225">
        <v>136665991</v>
      </c>
      <c r="E11" s="225">
        <v>14396417</v>
      </c>
      <c r="F11" s="225">
        <v>19177708</v>
      </c>
      <c r="G11" s="225">
        <v>18802471</v>
      </c>
      <c r="H11" s="225">
        <v>17016043</v>
      </c>
      <c r="I11" s="226">
        <v>67273352</v>
      </c>
      <c r="J11" s="232">
        <f t="shared" si="3"/>
        <v>122269574</v>
      </c>
    </row>
    <row r="12" spans="1:10" x14ac:dyDescent="0.2">
      <c r="A12" s="222" t="s">
        <v>48</v>
      </c>
      <c r="B12" s="233" t="s">
        <v>302</v>
      </c>
      <c r="C12" s="229"/>
      <c r="D12" s="230">
        <f t="shared" ref="D12:I12" si="4">SUM(D13:D13)</f>
        <v>0</v>
      </c>
      <c r="E12" s="230">
        <f t="shared" si="4"/>
        <v>0</v>
      </c>
      <c r="F12" s="230">
        <f t="shared" si="4"/>
        <v>0</v>
      </c>
      <c r="G12" s="230">
        <f t="shared" si="4"/>
        <v>0</v>
      </c>
      <c r="H12" s="230">
        <f t="shared" si="4"/>
        <v>0</v>
      </c>
      <c r="I12" s="231">
        <f t="shared" si="4"/>
        <v>0</v>
      </c>
      <c r="J12" s="232">
        <f t="shared" si="1"/>
        <v>0</v>
      </c>
    </row>
    <row r="13" spans="1:10" ht="21" customHeight="1" x14ac:dyDescent="0.2">
      <c r="A13" s="222" t="s">
        <v>49</v>
      </c>
      <c r="B13" s="223"/>
      <c r="C13" s="224"/>
      <c r="D13" s="225"/>
      <c r="E13" s="225"/>
      <c r="F13" s="225"/>
      <c r="G13" s="225"/>
      <c r="H13" s="225"/>
      <c r="I13" s="226"/>
      <c r="J13" s="227">
        <f t="shared" si="1"/>
        <v>0</v>
      </c>
    </row>
    <row r="14" spans="1:10" ht="21" customHeight="1" x14ac:dyDescent="0.2">
      <c r="A14" s="222"/>
      <c r="B14" s="223"/>
      <c r="C14" s="224"/>
      <c r="D14" s="225"/>
      <c r="E14" s="225">
        <v>0</v>
      </c>
      <c r="F14" s="225"/>
      <c r="G14" s="225"/>
      <c r="H14" s="225"/>
      <c r="I14" s="226"/>
      <c r="J14" s="227">
        <f t="shared" si="1"/>
        <v>0</v>
      </c>
    </row>
    <row r="15" spans="1:10" x14ac:dyDescent="0.2">
      <c r="A15" s="222" t="s">
        <v>50</v>
      </c>
      <c r="B15" s="233" t="s">
        <v>306</v>
      </c>
      <c r="C15" s="229"/>
      <c r="D15" s="230">
        <f t="shared" ref="D15:I15" si="5">SUM(D16:D16)</f>
        <v>786665991</v>
      </c>
      <c r="E15" s="230">
        <f t="shared" si="5"/>
        <v>14396417</v>
      </c>
      <c r="F15" s="230">
        <f>SUM(F16:F16)</f>
        <v>19177708</v>
      </c>
      <c r="G15" s="230">
        <f t="shared" si="5"/>
        <v>67552771</v>
      </c>
      <c r="H15" s="230">
        <f t="shared" si="5"/>
        <v>82016443</v>
      </c>
      <c r="I15" s="231">
        <f t="shared" si="5"/>
        <v>603522652</v>
      </c>
      <c r="J15" s="232">
        <f t="shared" si="1"/>
        <v>772269574</v>
      </c>
    </row>
    <row r="16" spans="1:10" x14ac:dyDescent="0.2">
      <c r="A16" s="222" t="s">
        <v>51</v>
      </c>
      <c r="B16" s="223" t="s">
        <v>305</v>
      </c>
      <c r="C16" s="224">
        <v>2020</v>
      </c>
      <c r="D16" s="225">
        <v>786665991</v>
      </c>
      <c r="E16" s="225">
        <f>E9</f>
        <v>14396417</v>
      </c>
      <c r="F16" s="225">
        <f t="shared" ref="F16:I16" si="6">F9</f>
        <v>19177708</v>
      </c>
      <c r="G16" s="225">
        <f t="shared" si="6"/>
        <v>67552771</v>
      </c>
      <c r="H16" s="225">
        <f t="shared" si="6"/>
        <v>82016443</v>
      </c>
      <c r="I16" s="225">
        <f t="shared" si="6"/>
        <v>603522652</v>
      </c>
      <c r="J16" s="227">
        <f t="shared" si="1"/>
        <v>772269574</v>
      </c>
    </row>
    <row r="17" spans="1:10" ht="21" customHeight="1" x14ac:dyDescent="0.2">
      <c r="A17" s="234" t="s">
        <v>23</v>
      </c>
      <c r="B17" s="235" t="s">
        <v>303</v>
      </c>
      <c r="C17" s="236"/>
      <c r="D17" s="237">
        <f t="shared" ref="D17:I17" si="7">SUM(D18:D19)</f>
        <v>0</v>
      </c>
      <c r="E17" s="237">
        <f t="shared" si="7"/>
        <v>0</v>
      </c>
      <c r="F17" s="237">
        <f t="shared" si="7"/>
        <v>0</v>
      </c>
      <c r="G17" s="237">
        <f t="shared" si="7"/>
        <v>0</v>
      </c>
      <c r="H17" s="237">
        <f t="shared" si="7"/>
        <v>0</v>
      </c>
      <c r="I17" s="238">
        <f t="shared" si="7"/>
        <v>0</v>
      </c>
      <c r="J17" s="232">
        <f t="shared" si="1"/>
        <v>0</v>
      </c>
    </row>
    <row r="18" spans="1:10" x14ac:dyDescent="0.2">
      <c r="A18" s="234" t="s">
        <v>24</v>
      </c>
      <c r="B18" s="223" t="s">
        <v>298</v>
      </c>
      <c r="C18" s="224"/>
      <c r="D18" s="225"/>
      <c r="E18" s="225"/>
      <c r="F18" s="225"/>
      <c r="G18" s="225"/>
      <c r="H18" s="225"/>
      <c r="I18" s="226"/>
      <c r="J18" s="227">
        <f t="shared" si="1"/>
        <v>0</v>
      </c>
    </row>
    <row r="19" spans="1:10" ht="13.5" thickBot="1" x14ac:dyDescent="0.25">
      <c r="A19" s="234" t="s">
        <v>28</v>
      </c>
      <c r="B19" s="223" t="s">
        <v>298</v>
      </c>
      <c r="C19" s="239"/>
      <c r="D19" s="240"/>
      <c r="E19" s="240"/>
      <c r="F19" s="240"/>
      <c r="G19" s="240"/>
      <c r="H19" s="240"/>
      <c r="I19" s="241"/>
      <c r="J19" s="227">
        <f t="shared" si="1"/>
        <v>0</v>
      </c>
    </row>
    <row r="20" spans="1:10" ht="13.5" thickBot="1" x14ac:dyDescent="0.25">
      <c r="A20" s="242" t="s">
        <v>25</v>
      </c>
      <c r="B20" s="243" t="s">
        <v>304</v>
      </c>
      <c r="C20" s="244"/>
      <c r="D20" s="245">
        <f>D6+D9+D12</f>
        <v>786665991</v>
      </c>
      <c r="E20" s="245">
        <f t="shared" ref="E20:I20" si="8">E6+E9+E12</f>
        <v>14396417</v>
      </c>
      <c r="F20" s="245">
        <f t="shared" si="8"/>
        <v>19177708</v>
      </c>
      <c r="G20" s="245">
        <f t="shared" si="8"/>
        <v>67552771</v>
      </c>
      <c r="H20" s="245">
        <f t="shared" si="8"/>
        <v>82016443</v>
      </c>
      <c r="I20" s="245">
        <f t="shared" si="8"/>
        <v>603522652</v>
      </c>
      <c r="J20" s="246">
        <f>J6+J9+J12</f>
        <v>772269574</v>
      </c>
    </row>
  </sheetData>
  <mergeCells count="7">
    <mergeCell ref="A1:J1"/>
    <mergeCell ref="J3:J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4</vt:i4>
      </vt:variant>
    </vt:vector>
  </HeadingPairs>
  <TitlesOfParts>
    <vt:vector size="15" baseType="lpstr">
      <vt:lpstr>1. Bevételek</vt:lpstr>
      <vt:lpstr>1.1.Bevételek (KÖT, ÖNV,Áll.i)</vt:lpstr>
      <vt:lpstr>2. Kiadások</vt:lpstr>
      <vt:lpstr>2.1.Kiadások (KÖT, ÖNV, Áll.i)</vt:lpstr>
      <vt:lpstr>3.Működési mérleg</vt:lpstr>
      <vt:lpstr>4. Felhalmozási mérleg</vt:lpstr>
      <vt:lpstr>5. Pénzeszköz átadás</vt:lpstr>
      <vt:lpstr>6 .Felhalmozási k.</vt:lpstr>
      <vt:lpstr>7. Kötelezettség</vt:lpstr>
      <vt:lpstr>8. Létszám</vt:lpstr>
      <vt:lpstr>9. Adósságk.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Eszter</cp:lastModifiedBy>
  <cp:lastPrinted>2020-11-20T09:03:31Z</cp:lastPrinted>
  <dcterms:created xsi:type="dcterms:W3CDTF">2005-12-27T13:42:28Z</dcterms:created>
  <dcterms:modified xsi:type="dcterms:W3CDTF">2020-11-20T09:03:52Z</dcterms:modified>
</cp:coreProperties>
</file>