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0"/>
  </bookViews>
  <sheets>
    <sheet name="8. SZ MELLÉKLET" sheetId="1" r:id="rId1"/>
  </sheets>
  <definedNames/>
  <calcPr fullCalcOnLoad="1"/>
</workbook>
</file>

<file path=xl/sharedStrings.xml><?xml version="1.0" encoding="utf-8"?>
<sst xmlns="http://schemas.openxmlformats.org/spreadsheetml/2006/main" count="802" uniqueCount="210">
  <si>
    <t>011130</t>
  </si>
  <si>
    <t>Önkorm és önkorm hivatalok jogalkotó ás ált ig tev</t>
  </si>
  <si>
    <t>011140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</si>
  <si>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</si>
  <si>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</si>
  <si>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</si>
  <si>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</si>
  <si>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</si>
  <si>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</si>
  <si>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045120</t>
  </si>
  <si>
    <t>Út, autgópálya építés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</si>
  <si>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</si>
  <si>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</si>
  <si>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</si>
  <si>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</si>
  <si>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</si>
  <si>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</si>
  <si>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</si>
  <si>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</si>
  <si>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</si>
  <si>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</si>
  <si>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</si>
  <si>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</si>
  <si>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</si>
  <si>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</si>
  <si>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</si>
  <si>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</si>
  <si>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</si>
  <si>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</si>
  <si>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</si>
  <si>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091240</t>
  </si>
  <si>
    <t>094260</t>
  </si>
  <si>
    <t>Hallgatói és oktatói ösztöndíj, egyéb juttatások</t>
  </si>
  <si>
    <t>Iskolai intézményi étkeztetés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</si>
  <si>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</si>
  <si>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</si>
  <si>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</si>
  <si>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</si>
  <si>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</si>
  <si>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</si>
  <si>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</si>
  <si>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</si>
  <si>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</si>
  <si>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</si>
  <si>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</si>
  <si>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</si>
  <si>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</si>
  <si>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</si>
  <si>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</si>
  <si>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</si>
  <si>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</si>
  <si>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</si>
  <si>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</si>
  <si>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</si>
  <si>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</si>
  <si>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</si>
  <si>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Országos és helyi nemzetiségi önk ig tev</t>
  </si>
  <si>
    <t>Önkorm elszámolása központi ktgvetéssel</t>
  </si>
  <si>
    <t>szakfeladat</t>
  </si>
  <si>
    <t>korm funk</t>
  </si>
  <si>
    <t>Építményüzemeltetés</t>
  </si>
  <si>
    <t>092120</t>
  </si>
  <si>
    <t>BEVÉTEL</t>
  </si>
  <si>
    <t>KIADÁS</t>
  </si>
  <si>
    <t>Szakfeladatok el nem számolt tételek</t>
  </si>
  <si>
    <t>Kulturális musorok, rendezvények, kiáll.</t>
  </si>
  <si>
    <t>Alapfokú muvészatoktatás</t>
  </si>
  <si>
    <t>Köznev.int. 5-8.évf. tan.nev.okt. összef. muk.fel.</t>
  </si>
  <si>
    <t>címszám</t>
  </si>
  <si>
    <t>Gyermekek átmeneti otthonában elh.ellát.</t>
  </si>
  <si>
    <t>Családok átmeneti otthonában elhely.ell.</t>
  </si>
  <si>
    <t>Nappali melegedo</t>
  </si>
  <si>
    <t>Zöldterület-kezelés</t>
  </si>
  <si>
    <t>Nem lakóingatlan bérbeadása, üzemeltetés</t>
  </si>
  <si>
    <t>Lakóingatlan bérbeadása, üzemeltetése</t>
  </si>
  <si>
    <t>Parkoló, garázs üzemeltetése, fenntartás</t>
  </si>
  <si>
    <t>Üdüloi szálláshely-szolgáltatás</t>
  </si>
  <si>
    <t>Vezetékes musorelo. városi és kábelt.ren</t>
  </si>
  <si>
    <t>Közmuvelodési intézm.közösségi szint.muk</t>
  </si>
  <si>
    <t>Idosek nappali ellátása</t>
  </si>
  <si>
    <t>Gyermekjóléti szolgáltatás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</si>
  <si>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</si>
  <si>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</si>
  <si>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</si>
  <si>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</si>
  <si>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</si>
  <si>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</si>
  <si>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szakfeladat megnevezése</t>
  </si>
  <si>
    <t>kormányzati funkció megnevezpése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</si>
  <si>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</si>
  <si>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</si>
  <si>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</si>
  <si>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</si>
  <si>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</si>
  <si>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</si>
  <si>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</si>
  <si>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Bölcsödei ellátás</t>
  </si>
  <si>
    <t>104035</t>
  </si>
  <si>
    <t>091110</t>
  </si>
  <si>
    <t>Óvodai nevelés, ellátás szakmai feladatai</t>
  </si>
  <si>
    <t>091140</t>
  </si>
  <si>
    <t>Óvodai nevelés, ellátás működési feladatai</t>
  </si>
  <si>
    <t>Óvodai intézményi étkeztetés</t>
  </si>
  <si>
    <t>Idősek nappali ellátás</t>
  </si>
  <si>
    <t>107052</t>
  </si>
  <si>
    <t>Időskorúak átmeneti ellátása</t>
  </si>
  <si>
    <t>Közösségi szolgáltatások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</si>
  <si>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</si>
  <si>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</si>
  <si>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</si>
  <si>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</si>
  <si>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</si>
  <si>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</si>
  <si>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</si>
  <si>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</si>
  <si>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Gyermekétkeztetés bölcsődében, fogy.napp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</si>
  <si>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</si>
  <si>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</si>
  <si>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</si>
  <si>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</si>
  <si>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</si>
  <si>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</si>
  <si>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</si>
  <si>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</si>
  <si>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</si>
  <si>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</si>
  <si>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</si>
  <si>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</si>
  <si>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</si>
  <si>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</si>
  <si>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</si>
  <si>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</si>
  <si>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</si>
  <si>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</si>
  <si>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</si>
  <si>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</si>
  <si>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</si>
  <si>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</si>
  <si>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</si>
  <si>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</si>
  <si>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</si>
  <si>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</si>
  <si>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</si>
  <si>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</si>
  <si>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</si>
  <si>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</si>
  <si>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</si>
  <si>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</si>
  <si>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</si>
  <si>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</si>
  <si>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</si>
  <si>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</si>
  <si>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</si>
  <si>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</si>
  <si>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</si>
  <si>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</si>
  <si>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</si>
  <si>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</si>
  <si>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</si>
  <si>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</si>
  <si>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</si>
  <si>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</si>
  <si>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Általános járóbeteg ellátás</t>
  </si>
  <si>
    <t>Időskorúak nappali ellátása</t>
  </si>
  <si>
    <t>Közművelődés- hagyományos köz kult ért gond</t>
  </si>
  <si>
    <t>Szakfeladatokra el nem számolt tételek</t>
  </si>
  <si>
    <t>000000</t>
  </si>
  <si>
    <t>104031</t>
  </si>
  <si>
    <t>Gyermekek bölcsödei ellátása</t>
  </si>
  <si>
    <t>Adminisztratív kiegészítő szolgáltatások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</si>
  <si>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</si>
  <si>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</si>
  <si>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</si>
  <si>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</si>
  <si>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</si>
  <si>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</si>
  <si>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</si>
  <si>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</si>
  <si>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084040</t>
  </si>
  <si>
    <t>Egyházak közösségi és hitéleti tevékenységének támogatása</t>
  </si>
  <si>
    <t>900020</t>
  </si>
  <si>
    <t>Önkormányzatok funkcióra nem sorolható bevételei államháztartáson kívülről</t>
  </si>
  <si>
    <t>031060</t>
  </si>
  <si>
    <t>Bűnmegelőzés</t>
  </si>
  <si>
    <t>016020</t>
  </si>
  <si>
    <t>Országos és helyi népszavazással kapcsolat.tev</t>
  </si>
  <si>
    <t>094250</t>
  </si>
  <si>
    <t>081045</t>
  </si>
  <si>
    <t>Lakóingatlan szoc. célú bérbeadása, üzem</t>
  </si>
  <si>
    <t>084032</t>
  </si>
  <si>
    <t>104052</t>
  </si>
  <si>
    <t>Családtámogatások</t>
  </si>
  <si>
    <t>107054</t>
  </si>
  <si>
    <t>105010</t>
  </si>
  <si>
    <t>Munkanélküli aktív korúak ellátásai</t>
  </si>
  <si>
    <t>Tankönyv- és jegyzettámogatás</t>
  </si>
  <si>
    <t>Szabadidősport (rekreációs sport) tevék. Támogatás</t>
  </si>
  <si>
    <t>Civil szervezetek programtámogatása</t>
  </si>
  <si>
    <t>098032</t>
  </si>
  <si>
    <t>091250</t>
  </si>
  <si>
    <t>Állat-egészségügyi ellátás</t>
  </si>
  <si>
    <t>042180</t>
  </si>
  <si>
    <t>Állat-egészségügy</t>
  </si>
  <si>
    <t>Civil szervezetek muködési támogatása</t>
  </si>
  <si>
    <t>Pedagógiai szakmai szolgáltatások</t>
  </si>
  <si>
    <t>Pedagógiai szakmai szolg. muködtetési feladatai</t>
  </si>
  <si>
    <t>Alapfokú muvészetokt. összefüggo muk. Feladatok</t>
  </si>
  <si>
    <t>Óvodai nevelés, ellátás muködtetési feladatai</t>
  </si>
  <si>
    <t>Önkorm. és önk. hivatalok jogalkotó és ált.ig.tev.</t>
  </si>
  <si>
    <t>102031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</si>
</sst>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49" fontId="38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49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49" fontId="38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49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/>
    </xf>
    <xf numFmtId="49" fontId="38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3" fontId="39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4" xfId="0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1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" fontId="38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right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9" fillId="0" borderId="1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17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9" fillId="0" borderId="17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" fontId="39" fillId="0" borderId="17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tabSelected="1" zoomScale="80" zoomScaleNormal="80" zoomScalePageLayoutView="0" workbookViewId="0" topLeftCell="A335">
      <selection activeCell="N350" sqref="N350"/>
    </sheetView>
  </sheetViews>
  <sheetFormatPr defaultColWidth="9.140625" defaultRowHeight="15"/>
  <cols>
    <col min="1" max="1" width="11.28125" style="25" bestFit="1" customWidth="1"/>
    <col min="2" max="2" width="11.8515625" style="25" bestFit="1" customWidth="1"/>
    <col min="3" max="3" width="40.28125" style="24" bestFit="1" customWidth="1"/>
    <col min="4" max="4" width="10.8515625" style="1" bestFit="1" customWidth="1"/>
    <col min="5" max="5" width="46.7109375" style="24" bestFit="1" customWidth="1"/>
    <col min="6" max="6" width="12.28125" style="2" bestFit="1" customWidth="1"/>
    <col min="7" max="7" width="9.140625" style="24" customWidth="1"/>
    <col min="8" max="8" width="11.8515625" style="24" bestFit="1" customWidth="1"/>
    <col min="9" max="16384" width="9.140625" style="24" customWidth="1"/>
  </cols>
  <sheetData>
    <row r="1" ht="15.75">
      <c r="E1" s="43" t="s">
        <v>89</v>
      </c>
    </row>
    <row r="2" ht="6" customHeight="1">
      <c r="D2" s="25"/>
    </row>
    <row r="3" spans="1:6" ht="15.75">
      <c r="A3" s="56" t="s">
        <v>86</v>
      </c>
      <c r="B3" s="56"/>
      <c r="C3" s="56"/>
      <c r="D3" s="56"/>
      <c r="E3" s="56"/>
      <c r="F3" s="56"/>
    </row>
    <row r="4" spans="1:6" ht="14.25" customHeight="1">
      <c r="A4" s="29"/>
      <c r="B4" s="29"/>
      <c r="C4" s="29"/>
      <c r="D4" s="29"/>
      <c r="E4" s="29"/>
      <c r="F4" s="2" t="s">
        <v>85</v>
      </c>
    </row>
    <row r="5" spans="1:6" ht="15.75">
      <c r="A5" s="41" t="s">
        <v>68</v>
      </c>
      <c r="B5" s="41" t="s">
        <v>58</v>
      </c>
      <c r="C5" s="41" t="s">
        <v>87</v>
      </c>
      <c r="D5" s="3" t="s">
        <v>59</v>
      </c>
      <c r="E5" s="41" t="s">
        <v>88</v>
      </c>
      <c r="F5" s="4"/>
    </row>
    <row r="6" ht="15.75">
      <c r="A6" s="41" t="s">
        <v>63</v>
      </c>
    </row>
    <row r="7" spans="1:6" s="9" customFormat="1" ht="15.75">
      <c r="A7" s="7">
        <v>1003</v>
      </c>
      <c r="B7" s="7">
        <v>9990001</v>
      </c>
      <c r="C7" s="8" t="s">
        <v>165</v>
      </c>
      <c r="D7" s="5" t="s">
        <v>31</v>
      </c>
      <c r="E7" s="8" t="s">
        <v>32</v>
      </c>
      <c r="F7" s="6">
        <f>5856+171</f>
        <v>6027</v>
      </c>
    </row>
    <row r="8" spans="1:6" s="9" customFormat="1" ht="15.75">
      <c r="A8" s="7"/>
      <c r="B8" s="7">
        <v>9990001</v>
      </c>
      <c r="C8" s="8" t="s">
        <v>165</v>
      </c>
      <c r="D8" s="5" t="s">
        <v>34</v>
      </c>
      <c r="E8" s="8" t="s">
        <v>35</v>
      </c>
      <c r="F8" s="6">
        <f>27780+12312+1169</f>
        <v>41261</v>
      </c>
    </row>
    <row r="9" spans="1:6" s="9" customFormat="1" ht="15.75">
      <c r="A9" s="7"/>
      <c r="B9" s="7">
        <v>9990001</v>
      </c>
      <c r="C9" s="8" t="s">
        <v>165</v>
      </c>
      <c r="D9" s="5" t="s">
        <v>36</v>
      </c>
      <c r="E9" s="8" t="s">
        <v>37</v>
      </c>
      <c r="F9" s="6">
        <f>1710+3000+137-500</f>
        <v>4347</v>
      </c>
    </row>
    <row r="10" spans="1:6" s="9" customFormat="1" ht="15.75">
      <c r="A10" s="7"/>
      <c r="B10" s="7">
        <v>8790181</v>
      </c>
      <c r="C10" s="8" t="s">
        <v>69</v>
      </c>
      <c r="D10" s="5" t="s">
        <v>38</v>
      </c>
      <c r="E10" s="8" t="s">
        <v>39</v>
      </c>
      <c r="F10" s="6">
        <f>1100+91+35+500</f>
        <v>1726</v>
      </c>
    </row>
    <row r="11" spans="1:6" s="9" customFormat="1" ht="15.75">
      <c r="A11" s="7"/>
      <c r="B11" s="7">
        <v>8790191</v>
      </c>
      <c r="C11" s="8" t="s">
        <v>70</v>
      </c>
      <c r="D11" s="5" t="s">
        <v>38</v>
      </c>
      <c r="E11" s="8" t="s">
        <v>39</v>
      </c>
      <c r="F11" s="6">
        <f>500+15</f>
        <v>515</v>
      </c>
    </row>
    <row r="12" spans="1:6" s="9" customFormat="1" ht="15.75">
      <c r="A12" s="7"/>
      <c r="B12" s="7">
        <v>9990001</v>
      </c>
      <c r="C12" s="8" t="s">
        <v>165</v>
      </c>
      <c r="D12" s="5" t="s">
        <v>42</v>
      </c>
      <c r="E12" s="8" t="s">
        <v>43</v>
      </c>
      <c r="F12" s="6">
        <f>6000+12000+525+5690</f>
        <v>24215</v>
      </c>
    </row>
    <row r="13" spans="1:6" s="9" customFormat="1" ht="15.75">
      <c r="A13" s="7"/>
      <c r="B13" s="7">
        <v>9990001</v>
      </c>
      <c r="C13" s="8" t="s">
        <v>165</v>
      </c>
      <c r="D13" s="5" t="s">
        <v>44</v>
      </c>
      <c r="E13" s="8" t="s">
        <v>45</v>
      </c>
      <c r="F13" s="6">
        <f>1600+37950+1153</f>
        <v>40703</v>
      </c>
    </row>
    <row r="14" spans="1:6" s="9" customFormat="1" ht="15.75">
      <c r="A14" s="7"/>
      <c r="B14" s="7">
        <v>9990001</v>
      </c>
      <c r="C14" s="8" t="s">
        <v>165</v>
      </c>
      <c r="D14" s="5" t="s">
        <v>46</v>
      </c>
      <c r="E14" s="8" t="s">
        <v>47</v>
      </c>
      <c r="F14" s="6">
        <f>4925+147+11700+167+5664+545+675</f>
        <v>23823</v>
      </c>
    </row>
    <row r="15" spans="1:6" s="9" customFormat="1" ht="15.75">
      <c r="A15" s="7"/>
      <c r="B15" s="7">
        <v>8899131</v>
      </c>
      <c r="C15" s="8" t="s">
        <v>71</v>
      </c>
      <c r="D15" s="5" t="s">
        <v>48</v>
      </c>
      <c r="E15" s="8" t="s">
        <v>49</v>
      </c>
      <c r="F15" s="6">
        <f>5000+146</f>
        <v>5146</v>
      </c>
    </row>
    <row r="16" spans="1:6" s="9" customFormat="1" ht="15.75">
      <c r="A16" s="7"/>
      <c r="B16" s="7">
        <v>8899291</v>
      </c>
      <c r="C16" s="8" t="s">
        <v>51</v>
      </c>
      <c r="D16" s="5" t="s">
        <v>50</v>
      </c>
      <c r="E16" s="8" t="s">
        <v>51</v>
      </c>
      <c r="F16" s="6">
        <f>5000+146</f>
        <v>5146</v>
      </c>
    </row>
    <row r="17" spans="1:6" s="9" customFormat="1" ht="15.75">
      <c r="A17" s="7"/>
      <c r="B17" s="7">
        <v>9990001</v>
      </c>
      <c r="C17" s="8" t="s">
        <v>165</v>
      </c>
      <c r="D17" s="5" t="s">
        <v>53</v>
      </c>
      <c r="E17" s="8" t="s">
        <v>54</v>
      </c>
      <c r="F17" s="6">
        <f>474408-22100+66180+15117+10000-1-38182+43223+18+2784-5690-40000-60-2000+1672</f>
        <v>505369</v>
      </c>
    </row>
    <row r="18" spans="1:6" s="9" customFormat="1" ht="15.75">
      <c r="A18" s="7"/>
      <c r="B18" s="38">
        <v>9990001</v>
      </c>
      <c r="C18" s="39" t="s">
        <v>165</v>
      </c>
      <c r="D18" s="37" t="s">
        <v>190</v>
      </c>
      <c r="E18" s="39" t="s">
        <v>191</v>
      </c>
      <c r="F18" s="36">
        <v>40000</v>
      </c>
    </row>
    <row r="19" spans="1:6" s="9" customFormat="1" ht="15.75">
      <c r="A19" s="7"/>
      <c r="B19" s="38">
        <v>9990001</v>
      </c>
      <c r="C19" s="39" t="s">
        <v>165</v>
      </c>
      <c r="D19" s="37" t="s">
        <v>192</v>
      </c>
      <c r="E19" s="39" t="s">
        <v>52</v>
      </c>
      <c r="F19" s="40">
        <v>60</v>
      </c>
    </row>
    <row r="20" spans="1:6" s="9" customFormat="1" ht="15.75">
      <c r="A20" s="7"/>
      <c r="B20" s="38">
        <v>9990001</v>
      </c>
      <c r="C20" s="39" t="s">
        <v>165</v>
      </c>
      <c r="D20" s="37" t="s">
        <v>193</v>
      </c>
      <c r="E20" s="39" t="s">
        <v>194</v>
      </c>
      <c r="F20" s="40">
        <v>2000</v>
      </c>
    </row>
    <row r="21" spans="1:6" s="9" customFormat="1" ht="15.75">
      <c r="A21" s="7">
        <v>1004</v>
      </c>
      <c r="B21" s="7">
        <v>9990001</v>
      </c>
      <c r="C21" s="8" t="s">
        <v>165</v>
      </c>
      <c r="D21" s="5" t="s">
        <v>42</v>
      </c>
      <c r="E21" s="8" t="s">
        <v>43</v>
      </c>
      <c r="F21" s="6">
        <v>15000</v>
      </c>
    </row>
    <row r="22" spans="1:6" s="9" customFormat="1" ht="15.75">
      <c r="A22" s="7">
        <v>1005</v>
      </c>
      <c r="B22" s="7">
        <v>8130001</v>
      </c>
      <c r="C22" s="8" t="s">
        <v>72</v>
      </c>
      <c r="D22" s="5" t="s">
        <v>23</v>
      </c>
      <c r="E22" s="8" t="s">
        <v>24</v>
      </c>
      <c r="F22" s="6">
        <v>148703</v>
      </c>
    </row>
    <row r="23" spans="1:6" s="9" customFormat="1" ht="15.75">
      <c r="A23" s="7">
        <v>1006</v>
      </c>
      <c r="B23" s="7">
        <v>9990001</v>
      </c>
      <c r="C23" s="8" t="s">
        <v>165</v>
      </c>
      <c r="D23" s="5" t="s">
        <v>11</v>
      </c>
      <c r="E23" s="8" t="s">
        <v>12</v>
      </c>
      <c r="F23" s="6">
        <f>794165-635000+2734</f>
        <v>161899</v>
      </c>
    </row>
    <row r="24" spans="1:6" s="9" customFormat="1" ht="15.75">
      <c r="A24" s="7"/>
      <c r="B24" s="7">
        <v>6800021</v>
      </c>
      <c r="C24" s="8" t="s">
        <v>73</v>
      </c>
      <c r="D24" s="5" t="s">
        <v>3</v>
      </c>
      <c r="E24" s="8" t="s">
        <v>55</v>
      </c>
      <c r="F24" s="6">
        <f>500000*1.27+191862-1000-100</f>
        <v>825762</v>
      </c>
    </row>
    <row r="25" spans="1:6" s="9" customFormat="1" ht="15.75">
      <c r="A25" s="7"/>
      <c r="B25" s="7">
        <v>8110001</v>
      </c>
      <c r="C25" s="24" t="s">
        <v>60</v>
      </c>
      <c r="D25" s="5" t="s">
        <v>3</v>
      </c>
      <c r="E25" s="8" t="s">
        <v>55</v>
      </c>
      <c r="F25" s="6">
        <v>1000</v>
      </c>
    </row>
    <row r="26" spans="1:6" s="9" customFormat="1" ht="15.75">
      <c r="A26" s="7"/>
      <c r="B26" s="7">
        <v>9990001</v>
      </c>
      <c r="C26" s="8" t="s">
        <v>165</v>
      </c>
      <c r="D26" s="5" t="s">
        <v>3</v>
      </c>
      <c r="E26" s="8" t="s">
        <v>55</v>
      </c>
      <c r="F26" s="6">
        <v>100</v>
      </c>
    </row>
    <row r="27" spans="1:6" s="9" customFormat="1" ht="15.75">
      <c r="A27" s="7">
        <v>1007</v>
      </c>
      <c r="B27" s="7">
        <v>9990001</v>
      </c>
      <c r="C27" s="8" t="s">
        <v>165</v>
      </c>
      <c r="D27" s="5" t="s">
        <v>40</v>
      </c>
      <c r="E27" s="8" t="s">
        <v>41</v>
      </c>
      <c r="F27" s="6">
        <v>29610</v>
      </c>
    </row>
    <row r="28" spans="1:6" s="9" customFormat="1" ht="15.75">
      <c r="A28" s="7"/>
      <c r="B28" s="7">
        <v>9990001</v>
      </c>
      <c r="C28" s="8" t="s">
        <v>165</v>
      </c>
      <c r="D28" s="5" t="s">
        <v>11</v>
      </c>
      <c r="E28" s="8" t="s">
        <v>12</v>
      </c>
      <c r="F28" s="6">
        <f>284044+11000-1000</f>
        <v>294044</v>
      </c>
    </row>
    <row r="29" spans="1:6" s="9" customFormat="1" ht="15.75">
      <c r="A29" s="7"/>
      <c r="B29" s="7">
        <v>5520011</v>
      </c>
      <c r="C29" s="8" t="s">
        <v>76</v>
      </c>
      <c r="D29" s="5" t="s">
        <v>3</v>
      </c>
      <c r="E29" s="8" t="s">
        <v>55</v>
      </c>
      <c r="F29" s="6">
        <f>30131</f>
        <v>30131</v>
      </c>
    </row>
    <row r="30" spans="1:6" s="9" customFormat="1" ht="15.75">
      <c r="A30" s="7"/>
      <c r="B30" s="7">
        <v>8110001</v>
      </c>
      <c r="C30" s="24" t="s">
        <v>60</v>
      </c>
      <c r="D30" s="5" t="s">
        <v>3</v>
      </c>
      <c r="E30" s="8" t="s">
        <v>55</v>
      </c>
      <c r="F30" s="6">
        <f>52330+12878+23317+6126+11125-53442+1000</f>
        <v>53334</v>
      </c>
    </row>
    <row r="31" spans="1:6" s="9" customFormat="1" ht="15.75">
      <c r="A31" s="7">
        <v>1009</v>
      </c>
      <c r="B31" s="7">
        <v>6800011</v>
      </c>
      <c r="C31" s="8" t="s">
        <v>74</v>
      </c>
      <c r="D31" s="5" t="s">
        <v>3</v>
      </c>
      <c r="E31" s="8" t="s">
        <v>55</v>
      </c>
      <c r="F31" s="6">
        <f>8452+66859+1078+285000+2500+3298</f>
        <v>367187</v>
      </c>
    </row>
    <row r="32" spans="1:6" s="9" customFormat="1" ht="15.75">
      <c r="A32" s="7"/>
      <c r="B32" s="7">
        <v>6800021</v>
      </c>
      <c r="C32" s="8" t="s">
        <v>73</v>
      </c>
      <c r="D32" s="5" t="s">
        <v>3</v>
      </c>
      <c r="E32" s="8" t="s">
        <v>55</v>
      </c>
      <c r="F32" s="6">
        <f>7742+129829+35933+400000+32390+620905+620000</f>
        <v>1846799</v>
      </c>
    </row>
    <row r="33" spans="1:6" s="9" customFormat="1" ht="15.75">
      <c r="A33" s="7"/>
      <c r="B33" s="7">
        <v>8110001</v>
      </c>
      <c r="C33" s="24" t="s">
        <v>60</v>
      </c>
      <c r="D33" s="5" t="s">
        <v>3</v>
      </c>
      <c r="E33" s="8" t="s">
        <v>55</v>
      </c>
      <c r="F33" s="6">
        <f>457200+791954+242430+43104-104-620000</f>
        <v>914584</v>
      </c>
    </row>
    <row r="34" spans="1:6" s="9" customFormat="1" ht="15.75">
      <c r="A34" s="7"/>
      <c r="B34" s="7">
        <v>9990001</v>
      </c>
      <c r="C34" s="8" t="s">
        <v>165</v>
      </c>
      <c r="D34" s="5" t="s">
        <v>3</v>
      </c>
      <c r="E34" s="8" t="s">
        <v>55</v>
      </c>
      <c r="F34" s="6">
        <f>405473+68834+49786+3000+14000+13176+10506+250000-998+44824-620905</f>
        <v>237696</v>
      </c>
    </row>
    <row r="35" spans="1:6" s="9" customFormat="1" ht="15.75">
      <c r="A35" s="7"/>
      <c r="B35" s="7">
        <v>9990001</v>
      </c>
      <c r="C35" s="8" t="s">
        <v>165</v>
      </c>
      <c r="D35" s="5" t="s">
        <v>0</v>
      </c>
      <c r="E35" s="8" t="s">
        <v>1</v>
      </c>
      <c r="F35" s="6">
        <v>99218</v>
      </c>
    </row>
    <row r="36" spans="1:6" s="9" customFormat="1" ht="15.75">
      <c r="A36" s="7"/>
      <c r="B36" s="7">
        <v>9990001</v>
      </c>
      <c r="C36" s="8" t="s">
        <v>165</v>
      </c>
      <c r="D36" s="5" t="s">
        <v>2</v>
      </c>
      <c r="E36" s="8" t="s">
        <v>56</v>
      </c>
      <c r="F36" s="6">
        <v>6126</v>
      </c>
    </row>
    <row r="37" spans="1:6" s="9" customFormat="1" ht="15.75">
      <c r="A37" s="7"/>
      <c r="B37" s="7">
        <v>8110001</v>
      </c>
      <c r="C37" s="8" t="s">
        <v>60</v>
      </c>
      <c r="D37" s="5" t="s">
        <v>17</v>
      </c>
      <c r="E37" s="8" t="s">
        <v>18</v>
      </c>
      <c r="F37" s="6">
        <v>6095</v>
      </c>
    </row>
    <row r="38" spans="1:6" s="9" customFormat="1" ht="15.75">
      <c r="A38" s="7"/>
      <c r="B38" s="7">
        <v>5220031</v>
      </c>
      <c r="C38" s="8" t="s">
        <v>75</v>
      </c>
      <c r="D38" s="5" t="s">
        <v>13</v>
      </c>
      <c r="E38" s="8" t="s">
        <v>14</v>
      </c>
      <c r="F38" s="6">
        <v>14585</v>
      </c>
    </row>
    <row r="39" spans="1:6" s="9" customFormat="1" ht="15.75">
      <c r="A39" s="7"/>
      <c r="B39" s="7">
        <v>8130001</v>
      </c>
      <c r="C39" s="8" t="s">
        <v>72</v>
      </c>
      <c r="D39" s="5" t="s">
        <v>23</v>
      </c>
      <c r="E39" s="8" t="s">
        <v>24</v>
      </c>
      <c r="F39" s="6">
        <v>100</v>
      </c>
    </row>
    <row r="40" spans="1:6" s="9" customFormat="1" ht="15.75">
      <c r="A40" s="7">
        <v>1010</v>
      </c>
      <c r="B40" s="7">
        <v>9990001</v>
      </c>
      <c r="C40" s="8" t="s">
        <v>165</v>
      </c>
      <c r="D40" s="5" t="s">
        <v>182</v>
      </c>
      <c r="E40" s="8" t="s">
        <v>183</v>
      </c>
      <c r="F40" s="6">
        <f>5800+64718</f>
        <v>70518</v>
      </c>
    </row>
    <row r="41" spans="1:6" s="9" customFormat="1" ht="15.75">
      <c r="A41" s="7">
        <v>1014</v>
      </c>
      <c r="B41" s="7">
        <v>9990001</v>
      </c>
      <c r="C41" s="8" t="s">
        <v>165</v>
      </c>
      <c r="D41" s="5" t="s">
        <v>176</v>
      </c>
      <c r="E41" s="8" t="s">
        <v>177</v>
      </c>
      <c r="F41" s="6">
        <f>1358+34</f>
        <v>1392</v>
      </c>
    </row>
    <row r="42" spans="1:6" s="9" customFormat="1" ht="15.75">
      <c r="A42" s="7"/>
      <c r="B42" s="7">
        <v>9990001</v>
      </c>
      <c r="C42" s="8" t="s">
        <v>165</v>
      </c>
      <c r="D42" s="5" t="s">
        <v>0</v>
      </c>
      <c r="E42" s="8" t="s">
        <v>1</v>
      </c>
      <c r="F42" s="6">
        <v>2635</v>
      </c>
    </row>
    <row r="43" spans="1:6" s="9" customFormat="1" ht="15.75">
      <c r="A43" s="7">
        <v>1016</v>
      </c>
      <c r="B43" s="7">
        <v>9004001</v>
      </c>
      <c r="C43" s="8" t="s">
        <v>65</v>
      </c>
      <c r="D43" s="5" t="s">
        <v>0</v>
      </c>
      <c r="E43" s="8" t="s">
        <v>1</v>
      </c>
      <c r="F43" s="6">
        <f>3524+2567-600-3301</f>
        <v>2190</v>
      </c>
    </row>
    <row r="44" spans="1:6" s="9" customFormat="1" ht="15.75">
      <c r="A44" s="7"/>
      <c r="B44" s="7">
        <v>9990001</v>
      </c>
      <c r="C44" s="8" t="s">
        <v>165</v>
      </c>
      <c r="D44" s="5" t="s">
        <v>0</v>
      </c>
      <c r="E44" s="8" t="s">
        <v>1</v>
      </c>
      <c r="F44" s="6">
        <v>3301</v>
      </c>
    </row>
    <row r="45" spans="1:6" s="9" customFormat="1" ht="15.75">
      <c r="A45" s="7"/>
      <c r="B45" s="7">
        <v>9990001</v>
      </c>
      <c r="C45" s="8" t="s">
        <v>165</v>
      </c>
      <c r="D45" s="5" t="s">
        <v>176</v>
      </c>
      <c r="E45" s="8" t="s">
        <v>177</v>
      </c>
      <c r="F45" s="6">
        <v>600</v>
      </c>
    </row>
    <row r="46" spans="1:6" s="9" customFormat="1" ht="15.75">
      <c r="A46" s="7">
        <v>1017</v>
      </c>
      <c r="B46" s="7">
        <v>9990001</v>
      </c>
      <c r="C46" s="8" t="s">
        <v>165</v>
      </c>
      <c r="D46" s="5" t="s">
        <v>0</v>
      </c>
      <c r="E46" s="8" t="s">
        <v>1</v>
      </c>
      <c r="F46" s="6">
        <f>234319-1000+71095+70834+2190+32+1269+35374+8397-25441</f>
        <v>397069</v>
      </c>
    </row>
    <row r="47" spans="1:6" s="9" customFormat="1" ht="15.75">
      <c r="A47" s="7"/>
      <c r="B47" s="7">
        <v>9990001</v>
      </c>
      <c r="C47" s="8" t="s">
        <v>165</v>
      </c>
      <c r="D47" s="5" t="s">
        <v>6</v>
      </c>
      <c r="E47" s="8" t="s">
        <v>57</v>
      </c>
      <c r="F47" s="6">
        <v>93157</v>
      </c>
    </row>
    <row r="48" spans="1:6" s="9" customFormat="1" ht="15.75">
      <c r="A48" s="7"/>
      <c r="B48" s="7">
        <v>6800011</v>
      </c>
      <c r="C48" s="8" t="s">
        <v>74</v>
      </c>
      <c r="D48" s="5" t="s">
        <v>3</v>
      </c>
      <c r="E48" s="8" t="s">
        <v>55</v>
      </c>
      <c r="F48" s="6">
        <v>120</v>
      </c>
    </row>
    <row r="49" spans="1:6" s="9" customFormat="1" ht="15.75">
      <c r="A49" s="7"/>
      <c r="B49" s="7">
        <v>9990001</v>
      </c>
      <c r="C49" s="8" t="s">
        <v>165</v>
      </c>
      <c r="D49" s="5" t="s">
        <v>3</v>
      </c>
      <c r="E49" s="8" t="s">
        <v>55</v>
      </c>
      <c r="F49" s="6">
        <v>25000</v>
      </c>
    </row>
    <row r="50" spans="1:6" s="9" customFormat="1" ht="15.75">
      <c r="A50" s="7"/>
      <c r="B50" s="7">
        <v>9990001</v>
      </c>
      <c r="C50" s="8" t="s">
        <v>165</v>
      </c>
      <c r="D50" s="5" t="s">
        <v>53</v>
      </c>
      <c r="E50" s="8" t="s">
        <v>54</v>
      </c>
      <c r="F50" s="6">
        <v>171</v>
      </c>
    </row>
    <row r="51" spans="1:6" s="9" customFormat="1" ht="15.75">
      <c r="A51" s="7"/>
      <c r="B51" s="7">
        <v>9990001</v>
      </c>
      <c r="C51" s="8" t="s">
        <v>165</v>
      </c>
      <c r="D51" s="5" t="s">
        <v>21</v>
      </c>
      <c r="E51" s="8" t="s">
        <v>22</v>
      </c>
      <c r="F51" s="6">
        <v>150</v>
      </c>
    </row>
    <row r="52" spans="1:6" s="9" customFormat="1" ht="15.75">
      <c r="A52" s="7">
        <v>1018</v>
      </c>
      <c r="B52" s="7">
        <v>9990001</v>
      </c>
      <c r="C52" s="8" t="s">
        <v>165</v>
      </c>
      <c r="D52" s="5" t="s">
        <v>30</v>
      </c>
      <c r="E52" s="8" t="s">
        <v>66</v>
      </c>
      <c r="F52" s="6">
        <v>50</v>
      </c>
    </row>
    <row r="53" spans="1:6" s="9" customFormat="1" ht="15.75">
      <c r="A53" s="7"/>
      <c r="B53" s="7">
        <v>9990001</v>
      </c>
      <c r="C53" s="8" t="s">
        <v>165</v>
      </c>
      <c r="D53" s="5" t="s">
        <v>61</v>
      </c>
      <c r="E53" s="8" t="s">
        <v>67</v>
      </c>
      <c r="F53" s="6">
        <f>1000+259312+2950+15000+100</f>
        <v>278362</v>
      </c>
    </row>
    <row r="54" spans="1:6" s="9" customFormat="1" ht="15.75">
      <c r="A54" s="7"/>
      <c r="B54" s="7">
        <v>5629131</v>
      </c>
      <c r="C54" s="8" t="s">
        <v>33</v>
      </c>
      <c r="D54" s="5" t="s">
        <v>84</v>
      </c>
      <c r="E54" s="8" t="s">
        <v>83</v>
      </c>
      <c r="F54" s="6">
        <f>127000-15000-100</f>
        <v>111900</v>
      </c>
    </row>
    <row r="55" spans="1:6" s="9" customFormat="1" ht="15.75">
      <c r="A55" s="7"/>
      <c r="B55" s="7">
        <v>8560201</v>
      </c>
      <c r="C55" s="8" t="s">
        <v>204</v>
      </c>
      <c r="D55" s="5" t="s">
        <v>198</v>
      </c>
      <c r="E55" s="8" t="s">
        <v>205</v>
      </c>
      <c r="F55" s="6">
        <v>35000</v>
      </c>
    </row>
    <row r="56" spans="1:6" s="9" customFormat="1" ht="15.75">
      <c r="A56" s="7"/>
      <c r="B56" s="7">
        <v>9990001</v>
      </c>
      <c r="C56" s="8" t="s">
        <v>165</v>
      </c>
      <c r="D56" s="5" t="s">
        <v>199</v>
      </c>
      <c r="E56" s="8" t="s">
        <v>206</v>
      </c>
      <c r="F56" s="6">
        <v>40000</v>
      </c>
    </row>
    <row r="57" spans="1:6" s="9" customFormat="1" ht="15.75">
      <c r="A57" s="7"/>
      <c r="B57" s="7">
        <v>9990001</v>
      </c>
      <c r="C57" s="8" t="s">
        <v>165</v>
      </c>
      <c r="D57" s="5" t="s">
        <v>100</v>
      </c>
      <c r="E57" s="8" t="s">
        <v>207</v>
      </c>
      <c r="F57" s="6">
        <v>1000</v>
      </c>
    </row>
    <row r="58" spans="1:6" s="9" customFormat="1" ht="15.75">
      <c r="A58" s="7"/>
      <c r="B58" s="7">
        <v>9990001</v>
      </c>
      <c r="C58" s="8" t="s">
        <v>165</v>
      </c>
      <c r="D58" s="5" t="s">
        <v>0</v>
      </c>
      <c r="E58" s="8" t="s">
        <v>208</v>
      </c>
      <c r="F58" s="6">
        <v>1000</v>
      </c>
    </row>
    <row r="59" spans="1:6" s="9" customFormat="1" ht="15.75">
      <c r="A59" s="7">
        <v>1020</v>
      </c>
      <c r="B59" s="7">
        <v>5220031</v>
      </c>
      <c r="C59" s="8" t="s">
        <v>75</v>
      </c>
      <c r="D59" s="5" t="s">
        <v>13</v>
      </c>
      <c r="E59" s="8" t="s">
        <v>14</v>
      </c>
      <c r="F59" s="6">
        <v>1094963</v>
      </c>
    </row>
    <row r="60" spans="1:6" s="9" customFormat="1" ht="15.75">
      <c r="A60" s="7">
        <v>1021</v>
      </c>
      <c r="B60" s="7">
        <v>9004001</v>
      </c>
      <c r="C60" s="8" t="s">
        <v>65</v>
      </c>
      <c r="D60" s="5" t="s">
        <v>0</v>
      </c>
      <c r="E60" s="8" t="s">
        <v>1</v>
      </c>
      <c r="F60" s="6">
        <f>565+120</f>
        <v>685</v>
      </c>
    </row>
    <row r="61" spans="1:6" s="9" customFormat="1" ht="15.75">
      <c r="A61" s="7">
        <v>1022</v>
      </c>
      <c r="B61" s="7">
        <v>9004001</v>
      </c>
      <c r="C61" s="24" t="s">
        <v>65</v>
      </c>
      <c r="D61" s="5" t="s">
        <v>0</v>
      </c>
      <c r="E61" s="8" t="s">
        <v>1</v>
      </c>
      <c r="F61" s="6">
        <f>7835+4977+1124+2601+3200-4550</f>
        <v>15187</v>
      </c>
    </row>
    <row r="62" spans="1:6" s="9" customFormat="1" ht="15.75">
      <c r="A62" s="20"/>
      <c r="B62" s="7">
        <v>9004001</v>
      </c>
      <c r="C62" s="8" t="s">
        <v>65</v>
      </c>
      <c r="D62" s="10" t="s">
        <v>176</v>
      </c>
      <c r="E62" s="8" t="s">
        <v>177</v>
      </c>
      <c r="F62" s="12">
        <v>4500</v>
      </c>
    </row>
    <row r="63" spans="1:6" s="9" customFormat="1" ht="15.75">
      <c r="A63" s="20"/>
      <c r="B63" s="7">
        <v>9004001</v>
      </c>
      <c r="C63" s="8" t="s">
        <v>65</v>
      </c>
      <c r="D63" s="10" t="s">
        <v>26</v>
      </c>
      <c r="E63" s="8" t="s">
        <v>27</v>
      </c>
      <c r="F63" s="12">
        <v>50</v>
      </c>
    </row>
    <row r="64" spans="1:6" s="9" customFormat="1" ht="5.25" customHeight="1" thickBot="1">
      <c r="A64" s="20"/>
      <c r="B64" s="20"/>
      <c r="C64" s="11"/>
      <c r="D64" s="10"/>
      <c r="E64" s="11"/>
      <c r="F64" s="12"/>
    </row>
    <row r="65" spans="1:6" s="9" customFormat="1" ht="16.5" thickBot="1">
      <c r="A65" s="51" t="s">
        <v>141</v>
      </c>
      <c r="B65" s="52"/>
      <c r="C65" s="52"/>
      <c r="D65" s="52"/>
      <c r="E65" s="31"/>
      <c r="F65" s="32">
        <f>SUM(F7:F64)</f>
        <v>7931311</v>
      </c>
    </row>
    <row r="66" spans="1:6" s="9" customFormat="1" ht="8.25" customHeight="1">
      <c r="A66" s="44"/>
      <c r="B66" s="44"/>
      <c r="C66" s="15"/>
      <c r="D66" s="14"/>
      <c r="E66" s="15"/>
      <c r="F66" s="16"/>
    </row>
    <row r="67" spans="1:6" s="9" customFormat="1" ht="15.75">
      <c r="A67" s="7">
        <v>1051</v>
      </c>
      <c r="B67" s="7">
        <v>6100011</v>
      </c>
      <c r="C67" s="8" t="s">
        <v>77</v>
      </c>
      <c r="D67" s="5" t="s">
        <v>15</v>
      </c>
      <c r="E67" s="8" t="s">
        <v>16</v>
      </c>
      <c r="F67" s="6">
        <v>82113</v>
      </c>
    </row>
    <row r="68" spans="1:6" s="9" customFormat="1" ht="15.75">
      <c r="A68" s="7">
        <v>1052</v>
      </c>
      <c r="B68" s="7">
        <v>9105021</v>
      </c>
      <c r="C68" s="8" t="s">
        <v>78</v>
      </c>
      <c r="D68" s="5" t="s">
        <v>25</v>
      </c>
      <c r="E68" s="8" t="s">
        <v>164</v>
      </c>
      <c r="F68" s="6">
        <v>265000</v>
      </c>
    </row>
    <row r="69" spans="1:6" s="9" customFormat="1" ht="15.75">
      <c r="A69" s="7">
        <v>1053</v>
      </c>
      <c r="B69" s="7">
        <v>5220031</v>
      </c>
      <c r="C69" s="8" t="s">
        <v>75</v>
      </c>
      <c r="D69" s="5" t="s">
        <v>13</v>
      </c>
      <c r="E69" s="8" t="s">
        <v>14</v>
      </c>
      <c r="F69" s="6">
        <v>17973</v>
      </c>
    </row>
    <row r="70" spans="1:6" s="9" customFormat="1" ht="15.75">
      <c r="A70" s="7">
        <v>1055</v>
      </c>
      <c r="B70" s="7">
        <v>9990001</v>
      </c>
      <c r="C70" s="8" t="s">
        <v>165</v>
      </c>
      <c r="D70" s="5" t="s">
        <v>26</v>
      </c>
      <c r="E70" s="8" t="s">
        <v>27</v>
      </c>
      <c r="F70" s="6">
        <v>3400</v>
      </c>
    </row>
    <row r="71" spans="1:6" s="9" customFormat="1" ht="15.75">
      <c r="A71" s="7">
        <v>1057</v>
      </c>
      <c r="B71" s="7">
        <v>9990001</v>
      </c>
      <c r="C71" s="8" t="s">
        <v>165</v>
      </c>
      <c r="D71" s="5" t="s">
        <v>182</v>
      </c>
      <c r="E71" s="8" t="s">
        <v>183</v>
      </c>
      <c r="F71" s="6">
        <v>4000</v>
      </c>
    </row>
    <row r="72" spans="1:6" s="9" customFormat="1" ht="15.75">
      <c r="A72" s="7">
        <v>1058</v>
      </c>
      <c r="B72" s="7">
        <v>9105021</v>
      </c>
      <c r="C72" s="8" t="s">
        <v>78</v>
      </c>
      <c r="D72" s="5" t="s">
        <v>25</v>
      </c>
      <c r="E72" s="8" t="s">
        <v>164</v>
      </c>
      <c r="F72" s="6">
        <v>26420</v>
      </c>
    </row>
    <row r="73" spans="1:6" s="9" customFormat="1" ht="15.75">
      <c r="A73" s="7">
        <v>1059</v>
      </c>
      <c r="B73" s="7">
        <v>9990001</v>
      </c>
      <c r="C73" s="8" t="s">
        <v>165</v>
      </c>
      <c r="D73" s="5" t="s">
        <v>26</v>
      </c>
      <c r="E73" s="8" t="s">
        <v>27</v>
      </c>
      <c r="F73" s="6">
        <v>42330</v>
      </c>
    </row>
    <row r="74" spans="1:6" s="9" customFormat="1" ht="15.75">
      <c r="A74" s="7"/>
      <c r="B74" s="7">
        <v>9990001</v>
      </c>
      <c r="C74" s="8" t="s">
        <v>165</v>
      </c>
      <c r="D74" s="5" t="s">
        <v>178</v>
      </c>
      <c r="E74" s="8" t="s">
        <v>179</v>
      </c>
      <c r="F74" s="6">
        <v>800</v>
      </c>
    </row>
    <row r="75" spans="1:6" s="9" customFormat="1" ht="15.75">
      <c r="A75" s="7"/>
      <c r="B75" s="7">
        <v>9990001</v>
      </c>
      <c r="C75" s="8" t="s">
        <v>165</v>
      </c>
      <c r="D75" s="5" t="s">
        <v>176</v>
      </c>
      <c r="E75" s="8" t="s">
        <v>177</v>
      </c>
      <c r="F75" s="6">
        <v>160</v>
      </c>
    </row>
    <row r="76" spans="1:6" s="9" customFormat="1" ht="15.75">
      <c r="A76" s="7">
        <v>1060</v>
      </c>
      <c r="B76" s="7">
        <v>9990001</v>
      </c>
      <c r="C76" s="8" t="s">
        <v>165</v>
      </c>
      <c r="D76" s="5" t="s">
        <v>176</v>
      </c>
      <c r="E76" s="8" t="s">
        <v>177</v>
      </c>
      <c r="F76" s="6">
        <v>1200</v>
      </c>
    </row>
    <row r="77" spans="1:6" s="9" customFormat="1" ht="15.75">
      <c r="A77" s="7"/>
      <c r="B77" s="7">
        <v>9990001</v>
      </c>
      <c r="C77" s="8" t="s">
        <v>165</v>
      </c>
      <c r="D77" s="5" t="s">
        <v>26</v>
      </c>
      <c r="E77" s="8" t="s">
        <v>27</v>
      </c>
      <c r="F77" s="6">
        <v>1200</v>
      </c>
    </row>
    <row r="78" spans="1:6" s="9" customFormat="1" ht="15.75">
      <c r="A78" s="7"/>
      <c r="B78" s="7">
        <v>9990001</v>
      </c>
      <c r="C78" s="8" t="s">
        <v>165</v>
      </c>
      <c r="D78" s="5" t="s">
        <v>25</v>
      </c>
      <c r="E78" s="8" t="s">
        <v>164</v>
      </c>
      <c r="F78" s="6">
        <v>261</v>
      </c>
    </row>
    <row r="79" spans="1:6" s="9" customFormat="1" ht="15.75">
      <c r="A79" s="7"/>
      <c r="B79" s="7">
        <v>9990001</v>
      </c>
      <c r="C79" s="8" t="s">
        <v>165</v>
      </c>
      <c r="D79" s="5" t="s">
        <v>28</v>
      </c>
      <c r="E79" s="18" t="s">
        <v>29</v>
      </c>
      <c r="F79" s="6">
        <v>400</v>
      </c>
    </row>
    <row r="80" spans="1:6" s="9" customFormat="1" ht="15.75">
      <c r="A80" s="7">
        <v>1061</v>
      </c>
      <c r="B80" s="7">
        <v>9990001</v>
      </c>
      <c r="C80" s="8" t="s">
        <v>165</v>
      </c>
      <c r="D80" s="5" t="s">
        <v>26</v>
      </c>
      <c r="E80" s="8" t="s">
        <v>27</v>
      </c>
      <c r="F80" s="6">
        <f>1000+580+650+800</f>
        <v>3030</v>
      </c>
    </row>
    <row r="81" spans="1:6" s="9" customFormat="1" ht="15.75">
      <c r="A81" s="7"/>
      <c r="B81" s="7">
        <v>9990001</v>
      </c>
      <c r="C81" s="8" t="s">
        <v>165</v>
      </c>
      <c r="D81" s="5" t="s">
        <v>176</v>
      </c>
      <c r="E81" s="8" t="s">
        <v>177</v>
      </c>
      <c r="F81" s="6">
        <f>210+25</f>
        <v>235</v>
      </c>
    </row>
    <row r="82" spans="1:6" s="9" customFormat="1" ht="15.75">
      <c r="A82" s="7">
        <v>1062</v>
      </c>
      <c r="B82" s="7">
        <v>9990001</v>
      </c>
      <c r="C82" s="8" t="s">
        <v>165</v>
      </c>
      <c r="D82" s="5" t="s">
        <v>26</v>
      </c>
      <c r="E82" s="8" t="s">
        <v>27</v>
      </c>
      <c r="F82" s="6">
        <f>940+830+700</f>
        <v>2470</v>
      </c>
    </row>
    <row r="83" spans="1:6" s="9" customFormat="1" ht="15.75">
      <c r="A83" s="7"/>
      <c r="B83" s="7">
        <v>9990001</v>
      </c>
      <c r="C83" s="8" t="s">
        <v>165</v>
      </c>
      <c r="D83" s="17" t="s">
        <v>28</v>
      </c>
      <c r="E83" s="18" t="s">
        <v>29</v>
      </c>
      <c r="F83" s="6">
        <v>130</v>
      </c>
    </row>
    <row r="84" spans="1:6" s="9" customFormat="1" ht="15.75">
      <c r="A84" s="7"/>
      <c r="B84" s="7">
        <v>9990001</v>
      </c>
      <c r="C84" s="8" t="s">
        <v>165</v>
      </c>
      <c r="D84" s="17" t="s">
        <v>178</v>
      </c>
      <c r="E84" s="8" t="s">
        <v>179</v>
      </c>
      <c r="F84" s="6">
        <v>500</v>
      </c>
    </row>
    <row r="85" spans="1:6" s="9" customFormat="1" ht="15.75">
      <c r="A85" s="7"/>
      <c r="B85" s="7">
        <v>9990001</v>
      </c>
      <c r="C85" s="8" t="s">
        <v>165</v>
      </c>
      <c r="D85" s="17" t="s">
        <v>176</v>
      </c>
      <c r="E85" s="8" t="s">
        <v>177</v>
      </c>
      <c r="F85" s="6">
        <v>490</v>
      </c>
    </row>
    <row r="86" spans="1:6" s="9" customFormat="1" ht="15.75">
      <c r="A86" s="7">
        <v>1063</v>
      </c>
      <c r="B86" s="7">
        <v>9990001</v>
      </c>
      <c r="C86" s="8" t="s">
        <v>165</v>
      </c>
      <c r="D86" s="17" t="s">
        <v>28</v>
      </c>
      <c r="E86" s="18" t="s">
        <v>29</v>
      </c>
      <c r="F86" s="6">
        <v>2600</v>
      </c>
    </row>
    <row r="87" spans="1:6" s="9" customFormat="1" ht="15.75">
      <c r="A87" s="7"/>
      <c r="B87" s="7">
        <v>9990001</v>
      </c>
      <c r="C87" s="8" t="s">
        <v>165</v>
      </c>
      <c r="D87" s="5" t="s">
        <v>176</v>
      </c>
      <c r="E87" s="8" t="s">
        <v>177</v>
      </c>
      <c r="F87" s="6">
        <v>2585</v>
      </c>
    </row>
    <row r="88" spans="1:6" s="9" customFormat="1" ht="15.75">
      <c r="A88" s="7"/>
      <c r="B88" s="7">
        <v>9990001</v>
      </c>
      <c r="C88" s="8" t="s">
        <v>165</v>
      </c>
      <c r="D88" s="5" t="s">
        <v>186</v>
      </c>
      <c r="E88" s="8" t="s">
        <v>195</v>
      </c>
      <c r="F88" s="6">
        <v>870</v>
      </c>
    </row>
    <row r="89" spans="1:6" s="9" customFormat="1" ht="15.75">
      <c r="A89" s="7"/>
      <c r="B89" s="7">
        <v>9990001</v>
      </c>
      <c r="C89" s="8" t="s">
        <v>165</v>
      </c>
      <c r="D89" s="5" t="s">
        <v>178</v>
      </c>
      <c r="E89" s="8" t="s">
        <v>179</v>
      </c>
      <c r="F89" s="6">
        <v>200</v>
      </c>
    </row>
    <row r="90" spans="1:6" s="9" customFormat="1" ht="15.75">
      <c r="A90" s="7">
        <v>1065</v>
      </c>
      <c r="B90" s="7">
        <v>9990001</v>
      </c>
      <c r="C90" s="8" t="s">
        <v>165</v>
      </c>
      <c r="D90" s="5" t="s">
        <v>178</v>
      </c>
      <c r="E90" s="8" t="s">
        <v>179</v>
      </c>
      <c r="F90" s="6">
        <v>680</v>
      </c>
    </row>
    <row r="91" spans="1:6" s="9" customFormat="1" ht="15.75">
      <c r="A91" s="7">
        <v>1067</v>
      </c>
      <c r="B91" s="7">
        <v>9990001</v>
      </c>
      <c r="C91" s="8" t="s">
        <v>165</v>
      </c>
      <c r="D91" s="5" t="s">
        <v>31</v>
      </c>
      <c r="E91" s="8" t="s">
        <v>32</v>
      </c>
      <c r="F91" s="6">
        <v>5000</v>
      </c>
    </row>
    <row r="92" spans="1:6" s="9" customFormat="1" ht="15.75">
      <c r="A92" s="7">
        <v>1069</v>
      </c>
      <c r="B92" s="7">
        <v>9990001</v>
      </c>
      <c r="C92" s="8" t="s">
        <v>165</v>
      </c>
      <c r="D92" s="5" t="s">
        <v>176</v>
      </c>
      <c r="E92" s="8" t="s">
        <v>177</v>
      </c>
      <c r="F92" s="6">
        <v>3800</v>
      </c>
    </row>
    <row r="93" spans="1:6" s="9" customFormat="1" ht="15.75">
      <c r="A93" s="7">
        <v>1070</v>
      </c>
      <c r="B93" s="7">
        <v>5220031</v>
      </c>
      <c r="C93" s="8" t="s">
        <v>75</v>
      </c>
      <c r="D93" s="5" t="s">
        <v>13</v>
      </c>
      <c r="E93" s="8" t="s">
        <v>14</v>
      </c>
      <c r="F93" s="6">
        <f>300000+110000</f>
        <v>410000</v>
      </c>
    </row>
    <row r="94" spans="1:6" s="9" customFormat="1" ht="15.75">
      <c r="A94" s="7">
        <v>1077</v>
      </c>
      <c r="B94" s="7">
        <v>9990001</v>
      </c>
      <c r="C94" s="8" t="s">
        <v>165</v>
      </c>
      <c r="D94" s="5" t="s">
        <v>26</v>
      </c>
      <c r="E94" s="8" t="s">
        <v>27</v>
      </c>
      <c r="F94" s="6">
        <v>126304</v>
      </c>
    </row>
    <row r="95" spans="1:6" s="9" customFormat="1" ht="15.75">
      <c r="A95" s="7">
        <v>1079</v>
      </c>
      <c r="B95" s="7">
        <v>9990001</v>
      </c>
      <c r="C95" s="8" t="s">
        <v>165</v>
      </c>
      <c r="D95" s="5" t="s">
        <v>187</v>
      </c>
      <c r="E95" s="8" t="s">
        <v>196</v>
      </c>
      <c r="F95" s="6">
        <v>18690</v>
      </c>
    </row>
    <row r="96" spans="1:6" s="9" customFormat="1" ht="15.75">
      <c r="A96" s="20">
        <v>1080</v>
      </c>
      <c r="B96" s="7">
        <v>9990001</v>
      </c>
      <c r="C96" s="8" t="s">
        <v>165</v>
      </c>
      <c r="D96" s="5" t="s">
        <v>25</v>
      </c>
      <c r="E96" s="8" t="s">
        <v>164</v>
      </c>
      <c r="F96" s="6">
        <f>2000+4867</f>
        <v>6867</v>
      </c>
    </row>
    <row r="97" spans="1:6" s="9" customFormat="1" ht="15.75">
      <c r="A97" s="20"/>
      <c r="B97" s="7">
        <v>9990001</v>
      </c>
      <c r="C97" s="8" t="s">
        <v>165</v>
      </c>
      <c r="D97" s="5" t="s">
        <v>178</v>
      </c>
      <c r="E97" s="8" t="s">
        <v>179</v>
      </c>
      <c r="F97" s="6">
        <v>400</v>
      </c>
    </row>
    <row r="98" spans="1:6" s="9" customFormat="1" ht="15.75">
      <c r="A98" s="20"/>
      <c r="B98" s="7">
        <v>9990001</v>
      </c>
      <c r="C98" s="8" t="s">
        <v>165</v>
      </c>
      <c r="D98" s="5" t="s">
        <v>176</v>
      </c>
      <c r="E98" s="8" t="s">
        <v>177</v>
      </c>
      <c r="F98" s="6">
        <v>7805</v>
      </c>
    </row>
    <row r="99" spans="1:6" s="9" customFormat="1" ht="15.75">
      <c r="A99" s="20"/>
      <c r="B99" s="7">
        <v>9990001</v>
      </c>
      <c r="C99" s="8" t="s">
        <v>165</v>
      </c>
      <c r="D99" s="5" t="s">
        <v>26</v>
      </c>
      <c r="E99" s="8" t="s">
        <v>27</v>
      </c>
      <c r="F99" s="6">
        <v>15667</v>
      </c>
    </row>
    <row r="100" spans="1:6" s="9" customFormat="1" ht="15.75">
      <c r="A100" s="20"/>
      <c r="B100" s="7">
        <v>9990001</v>
      </c>
      <c r="C100" s="8" t="s">
        <v>165</v>
      </c>
      <c r="D100" s="5" t="s">
        <v>31</v>
      </c>
      <c r="E100" s="8" t="s">
        <v>32</v>
      </c>
      <c r="F100" s="6">
        <v>6910</v>
      </c>
    </row>
    <row r="101" spans="1:6" s="9" customFormat="1" ht="15.75">
      <c r="A101" s="7">
        <v>1081</v>
      </c>
      <c r="B101" s="7">
        <v>9990001</v>
      </c>
      <c r="C101" s="8" t="s">
        <v>165</v>
      </c>
      <c r="D101" s="5" t="s">
        <v>26</v>
      </c>
      <c r="E101" s="8" t="s">
        <v>27</v>
      </c>
      <c r="F101" s="6">
        <f>3730+740+610</f>
        <v>5080</v>
      </c>
    </row>
    <row r="102" spans="1:6" s="9" customFormat="1" ht="15.75">
      <c r="A102" s="7"/>
      <c r="B102" s="7">
        <v>9990001</v>
      </c>
      <c r="C102" s="8" t="s">
        <v>165</v>
      </c>
      <c r="D102" s="5" t="s">
        <v>178</v>
      </c>
      <c r="E102" s="8" t="s">
        <v>179</v>
      </c>
      <c r="F102" s="6">
        <v>3030</v>
      </c>
    </row>
    <row r="103" spans="1:6" s="9" customFormat="1" ht="15.75">
      <c r="A103" s="7"/>
      <c r="B103" s="7">
        <v>9990001</v>
      </c>
      <c r="C103" s="8" t="s">
        <v>165</v>
      </c>
      <c r="D103" s="5" t="s">
        <v>176</v>
      </c>
      <c r="E103" s="8" t="s">
        <v>177</v>
      </c>
      <c r="F103" s="6">
        <v>810</v>
      </c>
    </row>
    <row r="104" spans="1:6" s="9" customFormat="1" ht="15.75">
      <c r="A104" s="7">
        <v>1082</v>
      </c>
      <c r="B104" s="7">
        <v>9990001</v>
      </c>
      <c r="C104" s="8" t="s">
        <v>165</v>
      </c>
      <c r="D104" s="5" t="s">
        <v>26</v>
      </c>
      <c r="E104" s="8" t="s">
        <v>27</v>
      </c>
      <c r="F104" s="6">
        <v>13774</v>
      </c>
    </row>
    <row r="105" spans="1:6" s="9" customFormat="1" ht="4.5" customHeight="1" thickBot="1">
      <c r="A105" s="20"/>
      <c r="B105" s="20"/>
      <c r="C105" s="11"/>
      <c r="D105" s="10"/>
      <c r="E105" s="11"/>
      <c r="F105" s="12"/>
    </row>
    <row r="106" spans="1:6" s="9" customFormat="1" ht="16.5" thickBot="1">
      <c r="A106" s="51" t="s">
        <v>139</v>
      </c>
      <c r="B106" s="52"/>
      <c r="C106" s="52"/>
      <c r="D106" s="52"/>
      <c r="E106" s="31"/>
      <c r="F106" s="32">
        <f>SUM(F67:F105)</f>
        <v>1083184</v>
      </c>
    </row>
    <row r="107" spans="1:6" s="9" customFormat="1" ht="5.25" customHeight="1">
      <c r="A107" s="44"/>
      <c r="B107" s="44"/>
      <c r="C107" s="15"/>
      <c r="D107" s="14"/>
      <c r="E107" s="15"/>
      <c r="F107" s="16"/>
    </row>
    <row r="108" spans="1:6" ht="15.75">
      <c r="A108" s="7">
        <v>1091</v>
      </c>
      <c r="B108" s="7">
        <v>9990001</v>
      </c>
      <c r="C108" s="8" t="s">
        <v>165</v>
      </c>
      <c r="D108" s="5" t="s">
        <v>7</v>
      </c>
      <c r="E108" s="8" t="s">
        <v>8</v>
      </c>
      <c r="F108" s="6">
        <v>576110</v>
      </c>
    </row>
    <row r="109" spans="1:6" ht="15.75">
      <c r="A109" s="7">
        <v>1092</v>
      </c>
      <c r="B109" s="7">
        <v>9990001</v>
      </c>
      <c r="C109" s="8" t="s">
        <v>165</v>
      </c>
      <c r="D109" s="5" t="s">
        <v>7</v>
      </c>
      <c r="E109" s="8" t="s">
        <v>8</v>
      </c>
      <c r="F109" s="6">
        <v>629532</v>
      </c>
    </row>
    <row r="110" spans="1:6" ht="15.75">
      <c r="A110" s="7">
        <v>1093</v>
      </c>
      <c r="B110" s="7">
        <v>9990001</v>
      </c>
      <c r="C110" s="8" t="s">
        <v>165</v>
      </c>
      <c r="D110" s="5" t="s">
        <v>7</v>
      </c>
      <c r="E110" s="8" t="s">
        <v>8</v>
      </c>
      <c r="F110" s="6">
        <v>2464553</v>
      </c>
    </row>
    <row r="111" spans="1:6" ht="15.75">
      <c r="A111" s="7">
        <v>1094</v>
      </c>
      <c r="B111" s="7">
        <v>9990001</v>
      </c>
      <c r="C111" s="8" t="s">
        <v>165</v>
      </c>
      <c r="D111" s="5" t="s">
        <v>7</v>
      </c>
      <c r="E111" s="8" t="s">
        <v>8</v>
      </c>
      <c r="F111" s="6">
        <v>1393007</v>
      </c>
    </row>
    <row r="112" spans="1:6" ht="15.75">
      <c r="A112" s="7">
        <v>1095</v>
      </c>
      <c r="B112" s="7">
        <v>9990001</v>
      </c>
      <c r="C112" s="8" t="s">
        <v>165</v>
      </c>
      <c r="D112" s="5" t="s">
        <v>7</v>
      </c>
      <c r="E112" s="8" t="s">
        <v>8</v>
      </c>
      <c r="F112" s="6">
        <v>49737</v>
      </c>
    </row>
    <row r="113" spans="1:6" s="9" customFormat="1" ht="5.25" customHeight="1" thickBot="1">
      <c r="A113" s="20"/>
      <c r="B113" s="20"/>
      <c r="C113" s="11"/>
      <c r="D113" s="10"/>
      <c r="E113" s="11"/>
      <c r="F113" s="12"/>
    </row>
    <row r="114" spans="1:6" s="9" customFormat="1" ht="16.5" thickBot="1">
      <c r="A114" s="51" t="s">
        <v>140</v>
      </c>
      <c r="B114" s="52"/>
      <c r="C114" s="52"/>
      <c r="D114" s="52"/>
      <c r="E114" s="52"/>
      <c r="F114" s="32">
        <f>SUM(F108:F113)</f>
        <v>5112939</v>
      </c>
    </row>
    <row r="115" spans="1:6" s="9" customFormat="1" ht="4.5" customHeight="1">
      <c r="A115" s="44"/>
      <c r="B115" s="44"/>
      <c r="C115" s="15"/>
      <c r="D115" s="14"/>
      <c r="E115" s="15"/>
      <c r="F115" s="16"/>
    </row>
    <row r="116" spans="1:6" ht="15.75">
      <c r="A116" s="7">
        <v>1101</v>
      </c>
      <c r="B116" s="7">
        <v>9990001</v>
      </c>
      <c r="C116" s="8" t="s">
        <v>165</v>
      </c>
      <c r="D116" s="5" t="s">
        <v>9</v>
      </c>
      <c r="E116" s="8" t="s">
        <v>10</v>
      </c>
      <c r="F116" s="6">
        <f>664940+1270+148742</f>
        <v>814952</v>
      </c>
    </row>
    <row r="117" spans="1:6" ht="15.75">
      <c r="A117" s="7"/>
      <c r="B117" s="7">
        <v>6800021</v>
      </c>
      <c r="C117" s="8" t="s">
        <v>73</v>
      </c>
      <c r="D117" s="5" t="s">
        <v>3</v>
      </c>
      <c r="E117" s="8" t="s">
        <v>55</v>
      </c>
      <c r="F117" s="6">
        <f>705731+21971+2019+5000-205+451233-20288</f>
        <v>1165461</v>
      </c>
    </row>
    <row r="118" spans="1:6" ht="15.75">
      <c r="A118" s="7"/>
      <c r="B118" s="7">
        <v>6800011</v>
      </c>
      <c r="C118" s="8" t="s">
        <v>74</v>
      </c>
      <c r="D118" s="5" t="s">
        <v>3</v>
      </c>
      <c r="E118" s="8" t="s">
        <v>55</v>
      </c>
      <c r="F118" s="6">
        <f>28698+5000+28600+200</f>
        <v>62498</v>
      </c>
    </row>
    <row r="119" spans="1:6" ht="15.75">
      <c r="A119" s="7"/>
      <c r="B119" s="7">
        <v>9990001</v>
      </c>
      <c r="C119" s="8" t="s">
        <v>165</v>
      </c>
      <c r="D119" s="5" t="s">
        <v>3</v>
      </c>
      <c r="E119" s="8" t="s">
        <v>55</v>
      </c>
      <c r="F119" s="6">
        <f>2484+11172+25400+1651+16510+180000</f>
        <v>237217</v>
      </c>
    </row>
    <row r="120" spans="1:6" ht="15.75">
      <c r="A120" s="7"/>
      <c r="B120" s="7">
        <v>5220031</v>
      </c>
      <c r="C120" s="8" t="s">
        <v>75</v>
      </c>
      <c r="D120" s="5" t="s">
        <v>13</v>
      </c>
      <c r="E120" s="8" t="s">
        <v>14</v>
      </c>
      <c r="F120" s="6">
        <f>47253+8353</f>
        <v>55606</v>
      </c>
    </row>
    <row r="121" spans="1:6" ht="15.75">
      <c r="A121" s="7"/>
      <c r="B121" s="7">
        <v>9990001</v>
      </c>
      <c r="C121" s="8" t="s">
        <v>165</v>
      </c>
      <c r="D121" s="5" t="s">
        <v>0</v>
      </c>
      <c r="E121" s="8" t="s">
        <v>1</v>
      </c>
      <c r="F121" s="6">
        <f>120000-3320</f>
        <v>116680</v>
      </c>
    </row>
    <row r="122" spans="1:6" ht="15.75">
      <c r="A122" s="7"/>
      <c r="B122" s="7">
        <v>9990001</v>
      </c>
      <c r="C122" s="8" t="s">
        <v>165</v>
      </c>
      <c r="D122" s="5" t="s">
        <v>182</v>
      </c>
      <c r="E122" s="8" t="s">
        <v>183</v>
      </c>
      <c r="F122" s="6">
        <v>38000</v>
      </c>
    </row>
    <row r="123" spans="1:6" ht="15.75">
      <c r="A123" s="7">
        <v>1102</v>
      </c>
      <c r="B123" s="7">
        <v>6800021</v>
      </c>
      <c r="C123" s="8" t="s">
        <v>73</v>
      </c>
      <c r="D123" s="5" t="s">
        <v>3</v>
      </c>
      <c r="E123" s="8" t="s">
        <v>55</v>
      </c>
      <c r="F123" s="6">
        <f>249082+3810+87846+16508+85038</f>
        <v>442284</v>
      </c>
    </row>
    <row r="124" spans="1:6" ht="15.75">
      <c r="A124" s="7"/>
      <c r="B124" s="7">
        <v>6800011</v>
      </c>
      <c r="C124" s="8" t="s">
        <v>74</v>
      </c>
      <c r="D124" s="5" t="s">
        <v>3</v>
      </c>
      <c r="E124" s="8" t="s">
        <v>55</v>
      </c>
      <c r="F124" s="6">
        <f>209396+3135+4613+3915+1879+244+587+70468+20288-3298</f>
        <v>311227</v>
      </c>
    </row>
    <row r="125" spans="1:6" ht="15.75">
      <c r="A125" s="7"/>
      <c r="B125" s="7">
        <v>9990001</v>
      </c>
      <c r="C125" s="8" t="s">
        <v>165</v>
      </c>
      <c r="D125" s="5" t="s">
        <v>3</v>
      </c>
      <c r="E125" s="8" t="s">
        <v>55</v>
      </c>
      <c r="F125" s="6">
        <f>75600-530</f>
        <v>75070</v>
      </c>
    </row>
    <row r="126" spans="1:6" ht="15.75">
      <c r="A126" s="7"/>
      <c r="B126" s="7">
        <v>6800031</v>
      </c>
      <c r="C126" s="8" t="s">
        <v>188</v>
      </c>
      <c r="D126" s="5" t="s">
        <v>3</v>
      </c>
      <c r="E126" s="8" t="s">
        <v>55</v>
      </c>
      <c r="F126" s="6">
        <v>43200</v>
      </c>
    </row>
    <row r="127" spans="1:6" ht="15.75">
      <c r="A127" s="7"/>
      <c r="B127" s="7">
        <v>9990001</v>
      </c>
      <c r="C127" s="8" t="s">
        <v>165</v>
      </c>
      <c r="D127" s="5" t="s">
        <v>9</v>
      </c>
      <c r="E127" s="8" t="s">
        <v>10</v>
      </c>
      <c r="F127" s="6">
        <v>200</v>
      </c>
    </row>
    <row r="128" spans="1:6" ht="15.75">
      <c r="A128" s="7">
        <v>1103</v>
      </c>
      <c r="B128" s="7">
        <v>9990001</v>
      </c>
      <c r="C128" s="8" t="s">
        <v>165</v>
      </c>
      <c r="D128" s="5" t="s">
        <v>21</v>
      </c>
      <c r="E128" s="8" t="s">
        <v>22</v>
      </c>
      <c r="F128" s="6">
        <f>497843+260000+21503-800+500+67641-59899</f>
        <v>786788</v>
      </c>
    </row>
    <row r="129" spans="1:6" ht="15.75">
      <c r="A129" s="7"/>
      <c r="B129" s="7">
        <v>9990001</v>
      </c>
      <c r="C129" s="8" t="s">
        <v>165</v>
      </c>
      <c r="D129" s="5" t="s">
        <v>26</v>
      </c>
      <c r="E129" s="8" t="s">
        <v>27</v>
      </c>
      <c r="F129" s="6">
        <f>29750+1845</f>
        <v>31595</v>
      </c>
    </row>
    <row r="130" spans="1:6" ht="15.75">
      <c r="A130" s="7"/>
      <c r="B130" s="45">
        <v>9990001</v>
      </c>
      <c r="C130" s="8" t="s">
        <v>165</v>
      </c>
      <c r="D130" s="17" t="s">
        <v>28</v>
      </c>
      <c r="E130" s="18" t="s">
        <v>29</v>
      </c>
      <c r="F130" s="19">
        <v>10000</v>
      </c>
    </row>
    <row r="131" spans="1:6" ht="15.75">
      <c r="A131" s="46"/>
      <c r="B131" s="7">
        <v>9105021</v>
      </c>
      <c r="C131" s="8" t="s">
        <v>78</v>
      </c>
      <c r="D131" s="5" t="s">
        <v>25</v>
      </c>
      <c r="E131" s="8" t="s">
        <v>164</v>
      </c>
      <c r="F131" s="6">
        <v>2763</v>
      </c>
    </row>
    <row r="132" spans="1:6" ht="15.75">
      <c r="A132" s="7"/>
      <c r="B132" s="7">
        <v>6800011</v>
      </c>
      <c r="C132" s="8" t="s">
        <v>74</v>
      </c>
      <c r="D132" s="5" t="s">
        <v>3</v>
      </c>
      <c r="E132" s="8" t="s">
        <v>55</v>
      </c>
      <c r="F132" s="6">
        <f>25000+6136</f>
        <v>31136</v>
      </c>
    </row>
    <row r="133" spans="1:6" ht="15.75">
      <c r="A133" s="20"/>
      <c r="B133" s="20">
        <v>9990001</v>
      </c>
      <c r="C133" s="8" t="s">
        <v>165</v>
      </c>
      <c r="D133" s="10" t="s">
        <v>0</v>
      </c>
      <c r="E133" s="8" t="s">
        <v>1</v>
      </c>
      <c r="F133" s="12">
        <v>9000</v>
      </c>
    </row>
    <row r="134" spans="1:6" ht="15.75">
      <c r="A134" s="20"/>
      <c r="B134" s="20">
        <v>9990001</v>
      </c>
      <c r="C134" s="8" t="s">
        <v>165</v>
      </c>
      <c r="D134" s="10" t="s">
        <v>7</v>
      </c>
      <c r="E134" s="8" t="s">
        <v>8</v>
      </c>
      <c r="F134" s="12">
        <v>300</v>
      </c>
    </row>
    <row r="135" spans="1:6" ht="15.75">
      <c r="A135" s="20"/>
      <c r="B135" s="20">
        <v>9990001</v>
      </c>
      <c r="C135" s="8" t="s">
        <v>165</v>
      </c>
      <c r="D135" s="10" t="s">
        <v>189</v>
      </c>
      <c r="E135" s="11" t="s">
        <v>197</v>
      </c>
      <c r="F135" s="12">
        <v>1000</v>
      </c>
    </row>
    <row r="136" spans="1:6" ht="15.75">
      <c r="A136" s="20"/>
      <c r="B136" s="20">
        <v>9990001</v>
      </c>
      <c r="C136" s="8" t="s">
        <v>165</v>
      </c>
      <c r="D136" s="10" t="s">
        <v>178</v>
      </c>
      <c r="E136" s="8" t="s">
        <v>179</v>
      </c>
      <c r="F136" s="12">
        <v>5000</v>
      </c>
    </row>
    <row r="137" spans="1:6" ht="15.75">
      <c r="A137" s="20"/>
      <c r="B137" s="20"/>
      <c r="C137" s="11"/>
      <c r="D137" s="10"/>
      <c r="E137" s="11"/>
      <c r="F137" s="12"/>
    </row>
    <row r="138" spans="1:6" ht="15.75">
      <c r="A138" s="20"/>
      <c r="B138" s="20"/>
      <c r="C138" s="11"/>
      <c r="D138" s="10"/>
      <c r="E138" s="11"/>
      <c r="F138" s="12"/>
    </row>
    <row r="139" spans="1:6" s="9" customFormat="1" ht="6.75" customHeight="1" thickBot="1">
      <c r="A139" s="20"/>
      <c r="B139" s="20"/>
      <c r="C139" s="11"/>
      <c r="D139" s="10"/>
      <c r="E139" s="11"/>
      <c r="F139" s="12"/>
    </row>
    <row r="140" spans="1:6" s="9" customFormat="1" ht="16.5" thickBot="1">
      <c r="A140" s="51" t="s">
        <v>142</v>
      </c>
      <c r="B140" s="52"/>
      <c r="C140" s="52"/>
      <c r="D140" s="52"/>
      <c r="E140" s="52"/>
      <c r="F140" s="32">
        <f>SUM(F116:F139)</f>
        <v>4239977</v>
      </c>
    </row>
    <row r="141" spans="1:6" s="9" customFormat="1" ht="6" customHeight="1">
      <c r="A141" s="44"/>
      <c r="B141" s="44"/>
      <c r="C141" s="15"/>
      <c r="D141" s="14"/>
      <c r="E141" s="15"/>
      <c r="F141" s="16"/>
    </row>
    <row r="142" spans="1:6" ht="15.75">
      <c r="A142" s="7">
        <v>1203</v>
      </c>
      <c r="B142" s="7">
        <v>9990001</v>
      </c>
      <c r="C142" s="8" t="s">
        <v>64</v>
      </c>
      <c r="D142" s="5" t="s">
        <v>19</v>
      </c>
      <c r="E142" s="8" t="s">
        <v>20</v>
      </c>
      <c r="F142" s="6">
        <f>18000+1250</f>
        <v>19250</v>
      </c>
    </row>
    <row r="143" spans="1:6" s="9" customFormat="1" ht="3.75" customHeight="1" thickBot="1">
      <c r="A143" s="20"/>
      <c r="B143" s="20"/>
      <c r="C143" s="11"/>
      <c r="D143" s="10"/>
      <c r="E143" s="11"/>
      <c r="F143" s="12"/>
    </row>
    <row r="144" spans="1:6" s="9" customFormat="1" ht="16.5" thickBot="1">
      <c r="A144" s="51" t="s">
        <v>143</v>
      </c>
      <c r="B144" s="52"/>
      <c r="C144" s="52"/>
      <c r="D144" s="52"/>
      <c r="E144" s="52"/>
      <c r="F144" s="32">
        <f>SUM(F142:F143)</f>
        <v>19250</v>
      </c>
    </row>
    <row r="145" spans="1:6" s="9" customFormat="1" ht="8.25" customHeight="1">
      <c r="A145" s="44"/>
      <c r="B145" s="44"/>
      <c r="C145" s="15"/>
      <c r="D145" s="14"/>
      <c r="E145" s="15"/>
      <c r="F145" s="16"/>
    </row>
    <row r="146" spans="1:6" s="9" customFormat="1" ht="15.75">
      <c r="A146" s="7">
        <v>1301</v>
      </c>
      <c r="B146" s="7">
        <v>9990001</v>
      </c>
      <c r="C146" s="8" t="s">
        <v>165</v>
      </c>
      <c r="D146" s="5" t="s">
        <v>166</v>
      </c>
      <c r="E146" s="8"/>
      <c r="F146" s="6">
        <v>100000</v>
      </c>
    </row>
    <row r="147" spans="1:6" s="9" customFormat="1" ht="15.75">
      <c r="A147" s="7">
        <v>1302</v>
      </c>
      <c r="B147" s="7">
        <v>9990001</v>
      </c>
      <c r="C147" s="8" t="s">
        <v>165</v>
      </c>
      <c r="D147" s="5" t="s">
        <v>166</v>
      </c>
      <c r="E147" s="8"/>
      <c r="F147" s="6">
        <v>0</v>
      </c>
    </row>
    <row r="148" spans="1:6" s="9" customFormat="1" ht="15.75">
      <c r="A148" s="7">
        <v>1303</v>
      </c>
      <c r="B148" s="7">
        <v>9990001</v>
      </c>
      <c r="C148" s="8" t="s">
        <v>165</v>
      </c>
      <c r="D148" s="5" t="s">
        <v>166</v>
      </c>
      <c r="E148" s="8"/>
      <c r="F148" s="6">
        <v>0</v>
      </c>
    </row>
    <row r="149" spans="1:6" s="9" customFormat="1" ht="15.75">
      <c r="A149" s="7">
        <v>1304</v>
      </c>
      <c r="B149" s="7">
        <v>9990001</v>
      </c>
      <c r="C149" s="8" t="s">
        <v>165</v>
      </c>
      <c r="D149" s="5" t="s">
        <v>166</v>
      </c>
      <c r="E149" s="8"/>
      <c r="F149" s="6">
        <v>0</v>
      </c>
    </row>
    <row r="150" spans="1:6" s="9" customFormat="1" ht="15.75">
      <c r="A150" s="7">
        <v>1305</v>
      </c>
      <c r="B150" s="7">
        <v>9990001</v>
      </c>
      <c r="C150" s="8" t="s">
        <v>165</v>
      </c>
      <c r="D150" s="5" t="s">
        <v>166</v>
      </c>
      <c r="E150" s="8"/>
      <c r="F150" s="6">
        <v>204</v>
      </c>
    </row>
    <row r="151" spans="1:6" s="9" customFormat="1" ht="15.75">
      <c r="A151" s="7">
        <v>1306</v>
      </c>
      <c r="B151" s="7">
        <v>9990001</v>
      </c>
      <c r="C151" s="8" t="s">
        <v>165</v>
      </c>
      <c r="D151" s="5" t="s">
        <v>166</v>
      </c>
      <c r="E151" s="8"/>
      <c r="F151" s="6">
        <v>3721771</v>
      </c>
    </row>
    <row r="152" spans="1:6" s="9" customFormat="1" ht="15.75">
      <c r="A152" s="7">
        <v>1307</v>
      </c>
      <c r="B152" s="7">
        <v>9990001</v>
      </c>
      <c r="C152" s="8" t="s">
        <v>165</v>
      </c>
      <c r="D152" s="5" t="s">
        <v>166</v>
      </c>
      <c r="E152" s="8"/>
      <c r="F152" s="6">
        <v>0</v>
      </c>
    </row>
    <row r="153" spans="1:6" s="9" customFormat="1" ht="15.75">
      <c r="A153" s="7">
        <v>1308</v>
      </c>
      <c r="B153" s="7">
        <v>9990001</v>
      </c>
      <c r="C153" s="8" t="s">
        <v>165</v>
      </c>
      <c r="D153" s="5" t="s">
        <v>166</v>
      </c>
      <c r="E153" s="8"/>
      <c r="F153" s="6">
        <v>70468</v>
      </c>
    </row>
    <row r="154" spans="1:6" s="9" customFormat="1" ht="15.75">
      <c r="A154" s="7">
        <v>1309</v>
      </c>
      <c r="B154" s="7">
        <v>9990001</v>
      </c>
      <c r="C154" s="8" t="s">
        <v>165</v>
      </c>
      <c r="D154" s="5" t="s">
        <v>166</v>
      </c>
      <c r="E154" s="8"/>
      <c r="F154" s="6">
        <v>0</v>
      </c>
    </row>
    <row r="155" spans="1:6" s="9" customFormat="1" ht="15.75">
      <c r="A155" s="7">
        <v>1310</v>
      </c>
      <c r="B155" s="7">
        <v>9990001</v>
      </c>
      <c r="C155" s="8" t="s">
        <v>165</v>
      </c>
      <c r="D155" s="5" t="s">
        <v>166</v>
      </c>
      <c r="E155" s="8"/>
      <c r="F155" s="6">
        <v>52</v>
      </c>
    </row>
    <row r="156" spans="1:6" s="9" customFormat="1" ht="15.75">
      <c r="A156" s="7">
        <v>1311</v>
      </c>
      <c r="B156" s="7">
        <v>9990001</v>
      </c>
      <c r="C156" s="8" t="s">
        <v>165</v>
      </c>
      <c r="D156" s="5" t="s">
        <v>166</v>
      </c>
      <c r="E156" s="8"/>
      <c r="F156" s="6">
        <v>1764</v>
      </c>
    </row>
    <row r="157" spans="1:6" s="9" customFormat="1" ht="15.75">
      <c r="A157" s="7">
        <v>1312</v>
      </c>
      <c r="B157" s="7">
        <v>9990001</v>
      </c>
      <c r="C157" s="8" t="s">
        <v>165</v>
      </c>
      <c r="D157" s="5" t="s">
        <v>166</v>
      </c>
      <c r="E157" s="8"/>
      <c r="F157" s="6">
        <v>300</v>
      </c>
    </row>
    <row r="158" spans="1:6" s="9" customFormat="1" ht="15.75">
      <c r="A158" s="7">
        <v>1314</v>
      </c>
      <c r="B158" s="7">
        <v>9990001</v>
      </c>
      <c r="C158" s="8" t="s">
        <v>165</v>
      </c>
      <c r="D158" s="5" t="s">
        <v>166</v>
      </c>
      <c r="E158" s="8"/>
      <c r="F158" s="6">
        <v>473109</v>
      </c>
    </row>
    <row r="159" spans="1:6" s="9" customFormat="1" ht="15.75">
      <c r="A159" s="7">
        <v>1316</v>
      </c>
      <c r="B159" s="7">
        <v>9990001</v>
      </c>
      <c r="C159" s="8" t="s">
        <v>165</v>
      </c>
      <c r="D159" s="5" t="s">
        <v>166</v>
      </c>
      <c r="E159" s="8"/>
      <c r="F159" s="6">
        <v>0</v>
      </c>
    </row>
    <row r="160" spans="1:6" s="9" customFormat="1" ht="15.75">
      <c r="A160" s="7">
        <v>1317</v>
      </c>
      <c r="B160" s="7">
        <v>9990001</v>
      </c>
      <c r="C160" s="8" t="s">
        <v>165</v>
      </c>
      <c r="D160" s="5" t="s">
        <v>166</v>
      </c>
      <c r="E160" s="8"/>
      <c r="F160" s="6">
        <v>32487</v>
      </c>
    </row>
    <row r="161" spans="1:6" s="9" customFormat="1" ht="15.75">
      <c r="A161" s="7">
        <v>1320</v>
      </c>
      <c r="B161" s="7">
        <v>9990001</v>
      </c>
      <c r="C161" s="8" t="s">
        <v>165</v>
      </c>
      <c r="D161" s="5" t="s">
        <v>166</v>
      </c>
      <c r="E161" s="8"/>
      <c r="F161" s="6">
        <v>73</v>
      </c>
    </row>
    <row r="162" spans="1:6" s="9" customFormat="1" ht="9.75" customHeight="1" thickBot="1">
      <c r="A162" s="20"/>
      <c r="B162" s="20"/>
      <c r="C162" s="11"/>
      <c r="D162" s="10"/>
      <c r="E162" s="11"/>
      <c r="F162" s="12"/>
    </row>
    <row r="163" spans="1:6" s="9" customFormat="1" ht="16.5" thickBot="1">
      <c r="A163" s="51" t="s">
        <v>144</v>
      </c>
      <c r="B163" s="52"/>
      <c r="C163" s="52"/>
      <c r="D163" s="52"/>
      <c r="E163" s="52"/>
      <c r="F163" s="32">
        <f>SUM(F146:F162)</f>
        <v>4400228</v>
      </c>
    </row>
    <row r="164" spans="1:6" s="9" customFormat="1" ht="15.75">
      <c r="A164" s="35"/>
      <c r="B164" s="35"/>
      <c r="C164" s="35"/>
      <c r="D164" s="35"/>
      <c r="E164" s="35"/>
      <c r="F164" s="13"/>
    </row>
    <row r="165" spans="1:6" s="9" customFormat="1" ht="15.75">
      <c r="A165" s="7">
        <v>1403</v>
      </c>
      <c r="B165" s="7">
        <v>9990001</v>
      </c>
      <c r="C165" s="8" t="s">
        <v>165</v>
      </c>
      <c r="D165" s="5" t="s">
        <v>7</v>
      </c>
      <c r="E165" s="8" t="s">
        <v>8</v>
      </c>
      <c r="F165" s="6">
        <v>6600000</v>
      </c>
    </row>
    <row r="166" spans="1:6" s="9" customFormat="1" ht="16.5" customHeight="1" thickBot="1">
      <c r="A166" s="27"/>
      <c r="B166" s="27"/>
      <c r="D166" s="22"/>
      <c r="F166" s="23"/>
    </row>
    <row r="167" spans="1:6" s="9" customFormat="1" ht="16.5" thickBot="1">
      <c r="A167" s="51" t="s">
        <v>146</v>
      </c>
      <c r="B167" s="52"/>
      <c r="C167" s="52"/>
      <c r="D167" s="52"/>
      <c r="E167" s="52"/>
      <c r="F167" s="32">
        <f>+F65+F106+F114+F140+F144+F163+F165</f>
        <v>29386889</v>
      </c>
    </row>
    <row r="168" spans="1:6" s="9" customFormat="1" ht="8.25" customHeight="1">
      <c r="A168" s="27"/>
      <c r="B168" s="27"/>
      <c r="D168" s="22"/>
      <c r="F168" s="13"/>
    </row>
    <row r="169" spans="1:6" s="9" customFormat="1" ht="15.75">
      <c r="A169" s="29" t="s">
        <v>62</v>
      </c>
      <c r="B169" s="27"/>
      <c r="D169" s="22"/>
      <c r="F169" s="23"/>
    </row>
    <row r="170" spans="1:6" s="9" customFormat="1" ht="4.5" customHeight="1">
      <c r="A170" s="44"/>
      <c r="B170" s="44"/>
      <c r="C170" s="15"/>
      <c r="D170" s="14"/>
      <c r="E170" s="15"/>
      <c r="F170" s="16"/>
    </row>
    <row r="171" spans="1:6" ht="15.75">
      <c r="A171" s="7">
        <v>1501</v>
      </c>
      <c r="B171" s="7">
        <v>8810111</v>
      </c>
      <c r="C171" s="8" t="s">
        <v>79</v>
      </c>
      <c r="D171" s="5" t="s">
        <v>6</v>
      </c>
      <c r="E171" s="8" t="s">
        <v>57</v>
      </c>
      <c r="F171" s="6">
        <v>32700</v>
      </c>
    </row>
    <row r="172" spans="1:6" ht="15.75">
      <c r="A172" s="7"/>
      <c r="B172" s="7">
        <v>8891011</v>
      </c>
      <c r="C172" s="8" t="s">
        <v>96</v>
      </c>
      <c r="D172" s="5" t="s">
        <v>6</v>
      </c>
      <c r="E172" s="8" t="s">
        <v>57</v>
      </c>
      <c r="F172" s="6">
        <v>50398</v>
      </c>
    </row>
    <row r="173" spans="1:6" ht="15.75">
      <c r="A173" s="7"/>
      <c r="B173" s="7">
        <v>8892011</v>
      </c>
      <c r="C173" s="8" t="s">
        <v>80</v>
      </c>
      <c r="D173" s="5" t="s">
        <v>6</v>
      </c>
      <c r="E173" s="8" t="s">
        <v>57</v>
      </c>
      <c r="F173" s="6">
        <f>6600+6600</f>
        <v>13200</v>
      </c>
    </row>
    <row r="174" spans="1:6" ht="15.75">
      <c r="A174" s="7"/>
      <c r="B174" s="7">
        <v>8899211</v>
      </c>
      <c r="C174" s="8" t="s">
        <v>81</v>
      </c>
      <c r="D174" s="5" t="s">
        <v>6</v>
      </c>
      <c r="E174" s="8" t="s">
        <v>57</v>
      </c>
      <c r="F174" s="6">
        <v>25300</v>
      </c>
    </row>
    <row r="175" spans="1:6" ht="15.75">
      <c r="A175" s="7"/>
      <c r="B175" s="7">
        <v>8899221</v>
      </c>
      <c r="C175" s="8" t="s">
        <v>82</v>
      </c>
      <c r="D175" s="5" t="s">
        <v>6</v>
      </c>
      <c r="E175" s="8" t="s">
        <v>57</v>
      </c>
      <c r="F175" s="6">
        <v>10440</v>
      </c>
    </row>
    <row r="176" spans="1:6" ht="15.75">
      <c r="A176" s="7"/>
      <c r="B176" s="7">
        <v>9105021</v>
      </c>
      <c r="C176" s="8" t="s">
        <v>78</v>
      </c>
      <c r="D176" s="5" t="s">
        <v>6</v>
      </c>
      <c r="E176" s="8" t="s">
        <v>57</v>
      </c>
      <c r="F176" s="6">
        <f>10561+763</f>
        <v>11324</v>
      </c>
    </row>
    <row r="177" spans="1:6" ht="15.75">
      <c r="A177" s="7"/>
      <c r="B177" s="7">
        <v>9990001</v>
      </c>
      <c r="C177" s="8" t="s">
        <v>165</v>
      </c>
      <c r="D177" s="5" t="s">
        <v>6</v>
      </c>
      <c r="E177" s="8" t="s">
        <v>57</v>
      </c>
      <c r="F177" s="6">
        <f>1902013+392433+30022+18465+16760-4310</f>
        <v>2355383</v>
      </c>
    </row>
    <row r="178" spans="1:6" ht="15.75">
      <c r="A178" s="7">
        <v>1502</v>
      </c>
      <c r="B178" s="7">
        <v>9990001</v>
      </c>
      <c r="C178" s="8" t="s">
        <v>165</v>
      </c>
      <c r="D178" s="5" t="s">
        <v>0</v>
      </c>
      <c r="E178" s="8" t="s">
        <v>1</v>
      </c>
      <c r="F178" s="6">
        <v>777804</v>
      </c>
    </row>
    <row r="179" spans="1:6" ht="15.75">
      <c r="A179" s="7">
        <v>1503</v>
      </c>
      <c r="B179" s="7">
        <v>9990001</v>
      </c>
      <c r="C179" s="8" t="s">
        <v>165</v>
      </c>
      <c r="D179" s="5" t="s">
        <v>0</v>
      </c>
      <c r="E179" s="8" t="s">
        <v>1</v>
      </c>
      <c r="F179" s="6">
        <f>275100+267807+380000</f>
        <v>922907</v>
      </c>
    </row>
    <row r="180" spans="1:6" ht="15.75">
      <c r="A180" s="7"/>
      <c r="B180" s="7">
        <v>9990001</v>
      </c>
      <c r="C180" s="8" t="s">
        <v>165</v>
      </c>
      <c r="D180" s="5" t="s">
        <v>180</v>
      </c>
      <c r="E180" s="8" t="s">
        <v>181</v>
      </c>
      <c r="F180" s="6">
        <f>5037848+23628+4013</f>
        <v>5065489</v>
      </c>
    </row>
    <row r="181" spans="1:6" ht="15.75">
      <c r="A181" s="7"/>
      <c r="B181" s="7">
        <v>6800011</v>
      </c>
      <c r="C181" s="8" t="s">
        <v>74</v>
      </c>
      <c r="D181" s="5" t="s">
        <v>3</v>
      </c>
      <c r="E181" s="8" t="s">
        <v>55</v>
      </c>
      <c r="F181" s="6">
        <f>313497+4000</f>
        <v>317497</v>
      </c>
    </row>
    <row r="182" spans="1:6" ht="15.75">
      <c r="A182" s="7"/>
      <c r="B182" s="7">
        <v>6800021</v>
      </c>
      <c r="C182" s="8" t="s">
        <v>73</v>
      </c>
      <c r="D182" s="5" t="s">
        <v>3</v>
      </c>
      <c r="E182" s="8" t="s">
        <v>55</v>
      </c>
      <c r="F182" s="6">
        <f>1581380+86000+160984</f>
        <v>1828364</v>
      </c>
    </row>
    <row r="183" spans="1:6" ht="15.75">
      <c r="A183" s="7"/>
      <c r="B183" s="7">
        <v>5220031</v>
      </c>
      <c r="C183" s="8" t="s">
        <v>75</v>
      </c>
      <c r="D183" s="5" t="s">
        <v>13</v>
      </c>
      <c r="E183" s="8" t="s">
        <v>14</v>
      </c>
      <c r="F183" s="6">
        <f>2779039+110000</f>
        <v>2889039</v>
      </c>
    </row>
    <row r="184" spans="1:6" ht="15.75">
      <c r="A184" s="7"/>
      <c r="B184" s="7">
        <v>5629131</v>
      </c>
      <c r="C184" s="8" t="s">
        <v>33</v>
      </c>
      <c r="D184" s="5" t="s">
        <v>84</v>
      </c>
      <c r="E184" s="8" t="s">
        <v>83</v>
      </c>
      <c r="F184" s="6">
        <f>57500-1814-20000</f>
        <v>35686</v>
      </c>
    </row>
    <row r="185" spans="1:6" ht="15.75">
      <c r="A185" s="20">
        <v>1505</v>
      </c>
      <c r="B185" s="7">
        <v>9004001</v>
      </c>
      <c r="C185" s="24" t="s">
        <v>65</v>
      </c>
      <c r="D185" s="5" t="s">
        <v>3</v>
      </c>
      <c r="E185" s="8" t="s">
        <v>55</v>
      </c>
      <c r="F185" s="6">
        <v>4702</v>
      </c>
    </row>
    <row r="186" spans="1:6" ht="15.75">
      <c r="A186" s="20">
        <v>1506</v>
      </c>
      <c r="B186" s="7">
        <v>9990001</v>
      </c>
      <c r="C186" s="8" t="s">
        <v>165</v>
      </c>
      <c r="D186" s="5" t="s">
        <v>0</v>
      </c>
      <c r="E186" s="8" t="s">
        <v>1</v>
      </c>
      <c r="F186" s="6">
        <v>136811</v>
      </c>
    </row>
    <row r="187" spans="1:6" ht="15.75">
      <c r="A187" s="20">
        <v>1507</v>
      </c>
      <c r="B187" s="7">
        <v>9990001</v>
      </c>
      <c r="C187" s="8" t="s">
        <v>165</v>
      </c>
      <c r="D187" s="5" t="s">
        <v>0</v>
      </c>
      <c r="E187" s="8" t="s">
        <v>1</v>
      </c>
      <c r="F187" s="6">
        <v>289771</v>
      </c>
    </row>
    <row r="188" spans="1:6" s="9" customFormat="1" ht="6.75" customHeight="1" thickBot="1">
      <c r="A188" s="20"/>
      <c r="B188" s="20"/>
      <c r="C188" s="11"/>
      <c r="D188" s="10"/>
      <c r="E188" s="11"/>
      <c r="F188" s="12"/>
    </row>
    <row r="189" spans="1:6" s="9" customFormat="1" ht="16.5" thickBot="1">
      <c r="A189" s="51" t="s">
        <v>145</v>
      </c>
      <c r="B189" s="52"/>
      <c r="C189" s="52"/>
      <c r="D189" s="52"/>
      <c r="E189" s="52"/>
      <c r="F189" s="32">
        <f>SUM(F171:F188)</f>
        <v>14766815</v>
      </c>
    </row>
    <row r="190" spans="1:6" s="9" customFormat="1" ht="6.75" customHeight="1">
      <c r="A190" s="44"/>
      <c r="B190" s="44"/>
      <c r="C190" s="15"/>
      <c r="D190" s="14"/>
      <c r="E190" s="15"/>
      <c r="F190" s="16"/>
    </row>
    <row r="191" spans="1:6" ht="15.75">
      <c r="A191" s="7">
        <v>1601</v>
      </c>
      <c r="B191" s="7">
        <v>9990001</v>
      </c>
      <c r="C191" s="8" t="s">
        <v>165</v>
      </c>
      <c r="D191" s="5" t="s">
        <v>3</v>
      </c>
      <c r="E191" s="8" t="s">
        <v>55</v>
      </c>
      <c r="F191" s="6">
        <v>2503676</v>
      </c>
    </row>
    <row r="192" spans="1:6" ht="15.75">
      <c r="A192" s="7">
        <v>1602</v>
      </c>
      <c r="B192" s="7">
        <v>9990001</v>
      </c>
      <c r="C192" s="8" t="s">
        <v>165</v>
      </c>
      <c r="D192" s="5" t="s">
        <v>9</v>
      </c>
      <c r="E192" s="8" t="s">
        <v>10</v>
      </c>
      <c r="F192" s="6">
        <v>96520</v>
      </c>
    </row>
    <row r="193" spans="1:6" ht="15.75">
      <c r="A193" s="20">
        <v>1603</v>
      </c>
      <c r="B193" s="7">
        <v>9004001</v>
      </c>
      <c r="C193" s="24" t="s">
        <v>65</v>
      </c>
      <c r="D193" s="5" t="s">
        <v>3</v>
      </c>
      <c r="E193" s="8" t="s">
        <v>55</v>
      </c>
      <c r="F193" s="6">
        <v>20288</v>
      </c>
    </row>
    <row r="194" spans="1:6" ht="15.75">
      <c r="A194" s="20">
        <v>1605</v>
      </c>
      <c r="B194" s="7">
        <v>9990001</v>
      </c>
      <c r="C194" s="8" t="s">
        <v>165</v>
      </c>
      <c r="D194" s="5" t="s">
        <v>0</v>
      </c>
      <c r="E194" s="8" t="s">
        <v>1</v>
      </c>
      <c r="F194" s="6">
        <v>1662659</v>
      </c>
    </row>
    <row r="195" spans="1:6" s="9" customFormat="1" ht="6.75" customHeight="1" thickBot="1">
      <c r="A195" s="20"/>
      <c r="B195" s="20"/>
      <c r="C195" s="11"/>
      <c r="D195" s="10"/>
      <c r="E195" s="11"/>
      <c r="F195" s="12"/>
    </row>
    <row r="196" spans="1:6" s="9" customFormat="1" ht="16.5" thickBot="1">
      <c r="A196" s="53" t="s">
        <v>147</v>
      </c>
      <c r="B196" s="54"/>
      <c r="C196" s="54"/>
      <c r="D196" s="54"/>
      <c r="E196" s="54"/>
      <c r="F196" s="32">
        <f>SUM(F191:F195)</f>
        <v>4283143</v>
      </c>
    </row>
    <row r="197" spans="1:6" s="9" customFormat="1" ht="7.5" customHeight="1">
      <c r="A197" s="44"/>
      <c r="B197" s="44"/>
      <c r="C197" s="15"/>
      <c r="D197" s="14"/>
      <c r="E197" s="15"/>
      <c r="F197" s="16"/>
    </row>
    <row r="198" spans="1:6" s="9" customFormat="1" ht="15" customHeight="1">
      <c r="A198" s="7">
        <v>1701</v>
      </c>
      <c r="B198" s="7">
        <v>9990001</v>
      </c>
      <c r="C198" s="8" t="s">
        <v>165</v>
      </c>
      <c r="D198" s="5" t="s">
        <v>0</v>
      </c>
      <c r="E198" s="8" t="s">
        <v>1</v>
      </c>
      <c r="F198" s="6">
        <v>360</v>
      </c>
    </row>
    <row r="199" spans="1:6" ht="15.75">
      <c r="A199" s="7">
        <v>1702</v>
      </c>
      <c r="B199" s="7">
        <v>9990001</v>
      </c>
      <c r="C199" s="8" t="s">
        <v>165</v>
      </c>
      <c r="D199" s="5" t="s">
        <v>19</v>
      </c>
      <c r="E199" s="8" t="s">
        <v>20</v>
      </c>
      <c r="F199" s="6">
        <v>24450</v>
      </c>
    </row>
    <row r="200" spans="1:6" ht="6" customHeight="1" thickBot="1">
      <c r="A200" s="27"/>
      <c r="B200" s="27"/>
      <c r="C200" s="9"/>
      <c r="D200" s="22"/>
      <c r="E200" s="9"/>
      <c r="F200" s="23"/>
    </row>
    <row r="201" spans="1:6" ht="16.5" thickBot="1">
      <c r="A201" s="51" t="s">
        <v>148</v>
      </c>
      <c r="B201" s="52"/>
      <c r="C201" s="52"/>
      <c r="D201" s="52"/>
      <c r="E201" s="52"/>
      <c r="F201" s="32">
        <f>SUM(F198:F200)</f>
        <v>24810</v>
      </c>
    </row>
    <row r="202" spans="1:6" ht="8.25" customHeight="1">
      <c r="A202" s="27"/>
      <c r="B202" s="27"/>
      <c r="C202" s="9"/>
      <c r="D202" s="22"/>
      <c r="E202" s="9"/>
      <c r="F202" s="23"/>
    </row>
    <row r="203" spans="1:6" ht="15.75">
      <c r="A203" s="7">
        <v>1802</v>
      </c>
      <c r="B203" s="7">
        <v>9990001</v>
      </c>
      <c r="C203" s="8" t="s">
        <v>165</v>
      </c>
      <c r="D203" s="5" t="s">
        <v>7</v>
      </c>
      <c r="E203" s="8" t="s">
        <v>8</v>
      </c>
      <c r="F203" s="6">
        <v>10312121</v>
      </c>
    </row>
    <row r="204" spans="1:6" ht="16.5" thickBot="1">
      <c r="A204" s="27"/>
      <c r="B204" s="27"/>
      <c r="C204" s="9"/>
      <c r="D204" s="22"/>
      <c r="E204" s="9"/>
      <c r="F204" s="23"/>
    </row>
    <row r="205" spans="1:6" ht="16.5" thickBot="1">
      <c r="A205" s="57">
        <f>+F203</f>
        <v>10312121</v>
      </c>
      <c r="B205" s="54"/>
      <c r="C205" s="54"/>
      <c r="D205" s="54"/>
      <c r="E205" s="54"/>
      <c r="F205" s="58"/>
    </row>
    <row r="206" spans="1:6" ht="16.5" thickBot="1">
      <c r="A206" s="27"/>
      <c r="B206" s="27"/>
      <c r="C206" s="9"/>
      <c r="D206" s="22"/>
      <c r="E206" s="9"/>
      <c r="F206" s="23"/>
    </row>
    <row r="207" spans="1:6" ht="16.5" thickBot="1">
      <c r="A207" s="53" t="s">
        <v>149</v>
      </c>
      <c r="B207" s="54"/>
      <c r="C207" s="54"/>
      <c r="D207" s="54"/>
      <c r="E207" s="54"/>
      <c r="F207" s="32">
        <f>+F189+F196+F201+F203</f>
        <v>29386889</v>
      </c>
    </row>
    <row r="208" spans="1:6" ht="6.75" customHeight="1">
      <c r="A208" s="33"/>
      <c r="B208" s="33"/>
      <c r="C208" s="33"/>
      <c r="D208" s="33"/>
      <c r="E208" s="33"/>
      <c r="F208" s="26"/>
    </row>
    <row r="209" ht="6.75" customHeight="1">
      <c r="F209" s="26"/>
    </row>
    <row r="210" spans="1:6" ht="15.75">
      <c r="A210" s="55" t="s">
        <v>94</v>
      </c>
      <c r="B210" s="55"/>
      <c r="C210" s="55"/>
      <c r="D210" s="55"/>
      <c r="E210" s="55"/>
      <c r="F210" s="55"/>
    </row>
    <row r="211" ht="6" customHeight="1"/>
    <row r="212" spans="1:4" ht="15.75">
      <c r="A212" s="50" t="s">
        <v>92</v>
      </c>
      <c r="B212" s="50"/>
      <c r="C212" s="50"/>
      <c r="D212" s="50"/>
    </row>
    <row r="213" ht="15.75">
      <c r="A213" s="41" t="s">
        <v>63</v>
      </c>
    </row>
    <row r="214" spans="1:6" ht="15.75">
      <c r="A214" s="7">
        <v>2</v>
      </c>
      <c r="B214" s="7">
        <v>8621001</v>
      </c>
      <c r="C214" s="8" t="s">
        <v>162</v>
      </c>
      <c r="D214" s="5" t="s">
        <v>117</v>
      </c>
      <c r="E214" s="8" t="s">
        <v>118</v>
      </c>
      <c r="F214" s="6">
        <v>44799</v>
      </c>
    </row>
    <row r="215" spans="1:6" ht="15.75">
      <c r="A215" s="7"/>
      <c r="B215" s="7">
        <v>8621001</v>
      </c>
      <c r="C215" s="8" t="s">
        <v>162</v>
      </c>
      <c r="D215" s="5" t="s">
        <v>119</v>
      </c>
      <c r="E215" s="8" t="s">
        <v>120</v>
      </c>
      <c r="F215" s="6">
        <v>35030</v>
      </c>
    </row>
    <row r="216" spans="1:6" ht="15.75">
      <c r="A216" s="7"/>
      <c r="B216" s="7">
        <v>8622111</v>
      </c>
      <c r="C216" s="8" t="s">
        <v>122</v>
      </c>
      <c r="D216" s="5" t="s">
        <v>121</v>
      </c>
      <c r="E216" s="8" t="s">
        <v>122</v>
      </c>
      <c r="F216" s="6">
        <f>965504</f>
        <v>965504</v>
      </c>
    </row>
    <row r="217" spans="1:6" ht="15.75">
      <c r="A217" s="7"/>
      <c r="B217" s="7">
        <v>8622131</v>
      </c>
      <c r="C217" s="8" t="s">
        <v>124</v>
      </c>
      <c r="D217" s="5" t="s">
        <v>123</v>
      </c>
      <c r="E217" s="8" t="s">
        <v>124</v>
      </c>
      <c r="F217" s="6">
        <v>89746</v>
      </c>
    </row>
    <row r="218" spans="1:6" ht="15.75">
      <c r="A218" s="7"/>
      <c r="B218" s="7">
        <v>8622201</v>
      </c>
      <c r="C218" s="8" t="s">
        <v>126</v>
      </c>
      <c r="D218" s="5" t="s">
        <v>125</v>
      </c>
      <c r="E218" s="8" t="s">
        <v>126</v>
      </c>
      <c r="F218" s="6">
        <v>80147</v>
      </c>
    </row>
    <row r="219" spans="1:6" ht="15.75">
      <c r="A219" s="7"/>
      <c r="B219" s="7">
        <v>8622311</v>
      </c>
      <c r="C219" s="8" t="s">
        <v>128</v>
      </c>
      <c r="D219" s="5" t="s">
        <v>127</v>
      </c>
      <c r="E219" s="8" t="s">
        <v>128</v>
      </c>
      <c r="F219" s="6">
        <v>35262</v>
      </c>
    </row>
    <row r="220" spans="1:6" ht="15.75">
      <c r="A220" s="7"/>
      <c r="B220" s="7">
        <v>8623031</v>
      </c>
      <c r="C220" s="8" t="s">
        <v>130</v>
      </c>
      <c r="D220" s="5" t="s">
        <v>129</v>
      </c>
      <c r="E220" s="8" t="s">
        <v>130</v>
      </c>
      <c r="F220" s="6">
        <v>60553</v>
      </c>
    </row>
    <row r="221" spans="1:6" ht="15.75">
      <c r="A221" s="7"/>
      <c r="B221" s="7">
        <v>8690311</v>
      </c>
      <c r="C221" s="8" t="s">
        <v>132</v>
      </c>
      <c r="D221" s="5" t="s">
        <v>131</v>
      </c>
      <c r="E221" s="8" t="s">
        <v>132</v>
      </c>
      <c r="F221" s="6">
        <v>60978</v>
      </c>
    </row>
    <row r="222" spans="1:6" ht="15.75">
      <c r="A222" s="7"/>
      <c r="B222" s="7">
        <v>8690321</v>
      </c>
      <c r="C222" s="8" t="s">
        <v>134</v>
      </c>
      <c r="D222" s="5" t="s">
        <v>133</v>
      </c>
      <c r="E222" s="8" t="s">
        <v>134</v>
      </c>
      <c r="F222" s="6">
        <v>129881</v>
      </c>
    </row>
    <row r="223" spans="1:6" ht="15.75">
      <c r="A223" s="7"/>
      <c r="B223" s="7">
        <v>9990001</v>
      </c>
      <c r="C223" s="8" t="s">
        <v>165</v>
      </c>
      <c r="D223" s="5" t="s">
        <v>135</v>
      </c>
      <c r="E223" s="8" t="s">
        <v>136</v>
      </c>
      <c r="F223" s="6">
        <v>64461</v>
      </c>
    </row>
    <row r="224" spans="1:6" ht="15.75">
      <c r="A224" s="7"/>
      <c r="B224" s="7">
        <v>9990001</v>
      </c>
      <c r="C224" s="8" t="s">
        <v>165</v>
      </c>
      <c r="D224" s="5" t="s">
        <v>137</v>
      </c>
      <c r="E224" s="8" t="s">
        <v>138</v>
      </c>
      <c r="F224" s="6">
        <v>23469</v>
      </c>
    </row>
    <row r="225" ht="15.75">
      <c r="F225" s="26">
        <f>SUM(F214:F224)</f>
        <v>1589830</v>
      </c>
    </row>
    <row r="226" ht="6" customHeight="1"/>
    <row r="227" ht="15.75">
      <c r="A227" s="41" t="s">
        <v>62</v>
      </c>
    </row>
    <row r="228" spans="1:6" ht="15.75">
      <c r="A228" s="7">
        <v>2</v>
      </c>
      <c r="B228" s="7">
        <v>9990001</v>
      </c>
      <c r="C228" s="8" t="s">
        <v>165</v>
      </c>
      <c r="D228" s="5" t="s">
        <v>7</v>
      </c>
      <c r="E228" s="8" t="s">
        <v>8</v>
      </c>
      <c r="F228" s="6">
        <f>116430+459680</f>
        <v>576110</v>
      </c>
    </row>
    <row r="229" spans="1:6" ht="15.75">
      <c r="A229" s="7"/>
      <c r="B229" s="7">
        <v>8621001</v>
      </c>
      <c r="C229" s="8" t="s">
        <v>162</v>
      </c>
      <c r="D229" s="5" t="s">
        <v>117</v>
      </c>
      <c r="E229" s="8" t="s">
        <v>118</v>
      </c>
      <c r="F229" s="6">
        <v>3285</v>
      </c>
    </row>
    <row r="230" spans="1:6" ht="15.75">
      <c r="A230" s="7"/>
      <c r="B230" s="7">
        <v>8621001</v>
      </c>
      <c r="C230" s="8" t="s">
        <v>162</v>
      </c>
      <c r="D230" s="5" t="s">
        <v>119</v>
      </c>
      <c r="E230" s="8" t="s">
        <v>120</v>
      </c>
      <c r="F230" s="6">
        <v>21041</v>
      </c>
    </row>
    <row r="231" spans="1:6" ht="15.75">
      <c r="A231" s="7"/>
      <c r="B231" s="7">
        <v>8622111</v>
      </c>
      <c r="C231" s="8" t="s">
        <v>122</v>
      </c>
      <c r="D231" s="5" t="s">
        <v>121</v>
      </c>
      <c r="E231" s="8" t="s">
        <v>122</v>
      </c>
      <c r="F231" s="6">
        <f>592887+36162-390</f>
        <v>628659</v>
      </c>
    </row>
    <row r="232" spans="1:6" ht="15.75">
      <c r="A232" s="7"/>
      <c r="B232" s="7">
        <v>8622131</v>
      </c>
      <c r="C232" s="8" t="s">
        <v>124</v>
      </c>
      <c r="D232" s="5" t="s">
        <v>123</v>
      </c>
      <c r="E232" s="8" t="s">
        <v>124</v>
      </c>
      <c r="F232" s="6">
        <v>4651</v>
      </c>
    </row>
    <row r="233" spans="1:6" ht="15.75">
      <c r="A233" s="7"/>
      <c r="B233" s="7">
        <v>8622201</v>
      </c>
      <c r="C233" s="8" t="s">
        <v>126</v>
      </c>
      <c r="D233" s="5" t="s">
        <v>125</v>
      </c>
      <c r="E233" s="8" t="s">
        <v>126</v>
      </c>
      <c r="F233" s="6">
        <v>75032</v>
      </c>
    </row>
    <row r="234" spans="1:6" ht="15.75">
      <c r="A234" s="7"/>
      <c r="B234" s="7">
        <v>8622311</v>
      </c>
      <c r="C234" s="8" t="s">
        <v>128</v>
      </c>
      <c r="D234" s="5" t="s">
        <v>127</v>
      </c>
      <c r="E234" s="8" t="s">
        <v>128</v>
      </c>
      <c r="F234" s="6">
        <v>43832</v>
      </c>
    </row>
    <row r="235" spans="1:6" ht="15.75">
      <c r="A235" s="7"/>
      <c r="B235" s="7">
        <v>8623031</v>
      </c>
      <c r="C235" s="8" t="s">
        <v>130</v>
      </c>
      <c r="D235" s="5" t="s">
        <v>129</v>
      </c>
      <c r="E235" s="8" t="s">
        <v>130</v>
      </c>
      <c r="F235" s="6">
        <v>22927</v>
      </c>
    </row>
    <row r="236" spans="1:6" ht="15.75">
      <c r="A236" s="7"/>
      <c r="B236" s="7">
        <v>8690311</v>
      </c>
      <c r="C236" s="8" t="s">
        <v>132</v>
      </c>
      <c r="D236" s="5" t="s">
        <v>131</v>
      </c>
      <c r="E236" s="8" t="s">
        <v>132</v>
      </c>
      <c r="F236" s="6">
        <v>68178</v>
      </c>
    </row>
    <row r="237" spans="1:6" ht="15.75">
      <c r="A237" s="7"/>
      <c r="B237" s="7">
        <v>8690321</v>
      </c>
      <c r="C237" s="8" t="s">
        <v>134</v>
      </c>
      <c r="D237" s="5" t="s">
        <v>133</v>
      </c>
      <c r="E237" s="8" t="s">
        <v>134</v>
      </c>
      <c r="F237" s="6">
        <v>89385</v>
      </c>
    </row>
    <row r="238" spans="1:6" ht="15.75">
      <c r="A238" s="7"/>
      <c r="B238" s="7">
        <v>9990001</v>
      </c>
      <c r="C238" s="8" t="s">
        <v>165</v>
      </c>
      <c r="D238" s="5" t="s">
        <v>135</v>
      </c>
      <c r="E238" s="8" t="s">
        <v>136</v>
      </c>
      <c r="F238" s="6">
        <v>40975</v>
      </c>
    </row>
    <row r="239" spans="1:6" ht="15.75">
      <c r="A239" s="7"/>
      <c r="B239" s="7">
        <v>9990001</v>
      </c>
      <c r="C239" s="8" t="s">
        <v>165</v>
      </c>
      <c r="D239" s="5" t="s">
        <v>137</v>
      </c>
      <c r="E239" s="8" t="s">
        <v>138</v>
      </c>
      <c r="F239" s="6">
        <v>15755</v>
      </c>
    </row>
    <row r="240" ht="15.75">
      <c r="F240" s="26">
        <f>SUM(F228:F239)</f>
        <v>1589830</v>
      </c>
    </row>
    <row r="241" ht="15.75">
      <c r="F241" s="26"/>
    </row>
    <row r="242" ht="14.25" customHeight="1"/>
    <row r="243" spans="1:4" ht="15.75">
      <c r="A243" s="50" t="s">
        <v>91</v>
      </c>
      <c r="B243" s="50"/>
      <c r="C243" s="50"/>
      <c r="D243" s="50"/>
    </row>
    <row r="244" ht="15.75">
      <c r="A244" s="41" t="s">
        <v>63</v>
      </c>
    </row>
    <row r="245" spans="1:6" ht="15.75">
      <c r="A245" s="7">
        <v>3</v>
      </c>
      <c r="B245" s="7">
        <v>9990001</v>
      </c>
      <c r="C245" s="8" t="s">
        <v>165</v>
      </c>
      <c r="D245" s="5" t="s">
        <v>93</v>
      </c>
      <c r="E245" s="8" t="s">
        <v>116</v>
      </c>
      <c r="F245" s="6">
        <f>429771+14210+50596+31912+168+178+55</f>
        <v>526890</v>
      </c>
    </row>
    <row r="246" spans="1:6" ht="15.75">
      <c r="A246" s="7"/>
      <c r="B246" s="7">
        <v>5220031</v>
      </c>
      <c r="C246" s="8" t="s">
        <v>14</v>
      </c>
      <c r="D246" s="5" t="s">
        <v>13</v>
      </c>
      <c r="E246" s="8" t="s">
        <v>14</v>
      </c>
      <c r="F246" s="6">
        <f>628779+20790</f>
        <v>649569</v>
      </c>
    </row>
    <row r="247" spans="2:6" ht="15.75">
      <c r="B247" s="27"/>
      <c r="C247" s="9"/>
      <c r="D247" s="22"/>
      <c r="E247" s="9"/>
      <c r="F247" s="13">
        <f>SUM(F245:F246)</f>
        <v>1176459</v>
      </c>
    </row>
    <row r="248" spans="2:6" ht="15.75">
      <c r="B248" s="27"/>
      <c r="C248" s="9"/>
      <c r="D248" s="22"/>
      <c r="E248" s="9"/>
      <c r="F248" s="23"/>
    </row>
    <row r="249" ht="15.75">
      <c r="A249" s="41" t="s">
        <v>62</v>
      </c>
    </row>
    <row r="250" spans="1:6" ht="15.75">
      <c r="A250" s="7">
        <v>3</v>
      </c>
      <c r="B250" s="7">
        <v>9990001</v>
      </c>
      <c r="C250" s="8" t="s">
        <v>165</v>
      </c>
      <c r="D250" s="5" t="s">
        <v>93</v>
      </c>
      <c r="E250" s="8" t="s">
        <v>116</v>
      </c>
      <c r="F250" s="6">
        <f>178640+75596-30596-55768+55</f>
        <v>167927</v>
      </c>
    </row>
    <row r="251" spans="1:6" ht="15.75">
      <c r="A251" s="7"/>
      <c r="B251" s="7">
        <v>5220031</v>
      </c>
      <c r="C251" s="8" t="s">
        <v>14</v>
      </c>
      <c r="D251" s="5" t="s">
        <v>13</v>
      </c>
      <c r="E251" s="8" t="s">
        <v>14</v>
      </c>
      <c r="F251" s="6">
        <f>261360+117640</f>
        <v>379000</v>
      </c>
    </row>
    <row r="252" spans="1:6" ht="15.75">
      <c r="A252" s="7"/>
      <c r="B252" s="7">
        <v>9990001</v>
      </c>
      <c r="C252" s="6" t="s">
        <v>165</v>
      </c>
      <c r="D252" s="5" t="s">
        <v>7</v>
      </c>
      <c r="E252" s="8" t="s">
        <v>8</v>
      </c>
      <c r="F252" s="6">
        <v>629532</v>
      </c>
    </row>
    <row r="253" ht="15.75">
      <c r="F253" s="26">
        <f>SUM(F250:F252)</f>
        <v>1176459</v>
      </c>
    </row>
    <row r="254" ht="8.25" customHeight="1"/>
    <row r="255" spans="1:4" ht="15.75">
      <c r="A255" s="50" t="s">
        <v>90</v>
      </c>
      <c r="B255" s="50"/>
      <c r="C255" s="50"/>
      <c r="D255" s="50"/>
    </row>
    <row r="256" ht="6" customHeight="1"/>
    <row r="257" ht="15.75">
      <c r="A257" s="41" t="s">
        <v>63</v>
      </c>
    </row>
    <row r="258" spans="1:6" ht="15.75">
      <c r="A258" s="7">
        <v>4001</v>
      </c>
      <c r="B258" s="38">
        <v>8110001</v>
      </c>
      <c r="C258" s="39" t="s">
        <v>60</v>
      </c>
      <c r="D258" s="37" t="s">
        <v>0</v>
      </c>
      <c r="E258" s="39" t="s">
        <v>1</v>
      </c>
      <c r="F258" s="40">
        <v>62000</v>
      </c>
    </row>
    <row r="259" spans="1:6" ht="15.75">
      <c r="A259" s="7"/>
      <c r="B259" s="38">
        <v>9990001</v>
      </c>
      <c r="C259" s="39" t="s">
        <v>165</v>
      </c>
      <c r="D259" s="37" t="s">
        <v>0</v>
      </c>
      <c r="E259" s="39" t="s">
        <v>1</v>
      </c>
      <c r="F259" s="40">
        <f>2465632-2000-13000-235999-2550+50820+126830+24302+37215+5373-32000-41006</f>
        <v>2383617</v>
      </c>
    </row>
    <row r="260" spans="1:6" s="48" customFormat="1" ht="15.75">
      <c r="A260" s="47"/>
      <c r="B260" s="38">
        <v>9004001</v>
      </c>
      <c r="C260" s="39" t="s">
        <v>65</v>
      </c>
      <c r="D260" s="37" t="s">
        <v>0</v>
      </c>
      <c r="E260" s="39" t="s">
        <v>1</v>
      </c>
      <c r="F260" s="40">
        <v>3000</v>
      </c>
    </row>
    <row r="261" spans="1:6" ht="15.75">
      <c r="A261" s="7"/>
      <c r="B261" s="38">
        <v>5220031</v>
      </c>
      <c r="C261" s="39" t="s">
        <v>75</v>
      </c>
      <c r="D261" s="37" t="s">
        <v>13</v>
      </c>
      <c r="E261" s="39" t="s">
        <v>14</v>
      </c>
      <c r="F261" s="40">
        <v>2000</v>
      </c>
    </row>
    <row r="262" spans="1:6" ht="15.75">
      <c r="A262" s="7"/>
      <c r="B262" s="38">
        <v>9004001</v>
      </c>
      <c r="C262" s="39" t="s">
        <v>65</v>
      </c>
      <c r="D262" s="37" t="s">
        <v>4</v>
      </c>
      <c r="E262" s="39" t="s">
        <v>5</v>
      </c>
      <c r="F262" s="40">
        <v>2000</v>
      </c>
    </row>
    <row r="263" spans="1:6" ht="15.75">
      <c r="A263" s="7"/>
      <c r="B263" s="38">
        <v>9990001</v>
      </c>
      <c r="C263" s="39" t="s">
        <v>165</v>
      </c>
      <c r="D263" s="37" t="s">
        <v>184</v>
      </c>
      <c r="E263" s="39" t="s">
        <v>185</v>
      </c>
      <c r="F263" s="40">
        <v>32000</v>
      </c>
    </row>
    <row r="264" spans="1:6" s="48" customFormat="1" ht="15.75">
      <c r="A264" s="47"/>
      <c r="B264" s="38">
        <v>7500001</v>
      </c>
      <c r="C264" s="39" t="s">
        <v>200</v>
      </c>
      <c r="D264" s="37" t="s">
        <v>201</v>
      </c>
      <c r="E264" s="39" t="s">
        <v>202</v>
      </c>
      <c r="F264" s="40">
        <v>100</v>
      </c>
    </row>
    <row r="265" spans="1:6" s="48" customFormat="1" ht="15.75">
      <c r="A265" s="47"/>
      <c r="B265" s="38">
        <v>9990001</v>
      </c>
      <c r="C265" s="39" t="s">
        <v>165</v>
      </c>
      <c r="D265" s="37" t="s">
        <v>26</v>
      </c>
      <c r="E265" s="39" t="s">
        <v>203</v>
      </c>
      <c r="F265" s="40">
        <v>200</v>
      </c>
    </row>
    <row r="266" spans="1:6" ht="15.75">
      <c r="A266" s="7">
        <v>4002</v>
      </c>
      <c r="B266" s="38">
        <v>9990001</v>
      </c>
      <c r="C266" s="39" t="s">
        <v>165</v>
      </c>
      <c r="D266" s="37" t="s">
        <v>0</v>
      </c>
      <c r="E266" s="39" t="s">
        <v>1</v>
      </c>
      <c r="F266" s="40">
        <v>202387</v>
      </c>
    </row>
    <row r="267" spans="1:6" ht="15.75">
      <c r="A267" s="7">
        <v>4003</v>
      </c>
      <c r="B267" s="38">
        <v>9990001</v>
      </c>
      <c r="C267" s="39" t="s">
        <v>165</v>
      </c>
      <c r="D267" s="37" t="s">
        <v>0</v>
      </c>
      <c r="E267" s="39" t="s">
        <v>1</v>
      </c>
      <c r="F267" s="40">
        <v>2550</v>
      </c>
    </row>
    <row r="268" spans="1:6" ht="15.75">
      <c r="A268" s="27"/>
      <c r="B268" s="27"/>
      <c r="C268" s="9"/>
      <c r="D268" s="22"/>
      <c r="E268" s="9"/>
      <c r="F268" s="13">
        <f>SUM(F258:F267)</f>
        <v>2689854</v>
      </c>
    </row>
    <row r="269" spans="1:6" ht="8.25" customHeight="1">
      <c r="A269" s="27"/>
      <c r="B269" s="27"/>
      <c r="C269" s="9"/>
      <c r="D269" s="22"/>
      <c r="E269" s="9"/>
      <c r="F269" s="24"/>
    </row>
    <row r="270" spans="4:5" ht="8.25" customHeight="1">
      <c r="D270" s="22"/>
      <c r="E270" s="9"/>
    </row>
    <row r="271" spans="1:5" ht="15.75">
      <c r="A271" s="41" t="s">
        <v>62</v>
      </c>
      <c r="D271" s="22"/>
      <c r="E271" s="9"/>
    </row>
    <row r="272" spans="1:6" ht="15.75">
      <c r="A272" s="7">
        <v>4001</v>
      </c>
      <c r="B272" s="7">
        <v>9990001</v>
      </c>
      <c r="C272" s="8" t="s">
        <v>165</v>
      </c>
      <c r="D272" s="5" t="s">
        <v>7</v>
      </c>
      <c r="E272" s="8" t="s">
        <v>8</v>
      </c>
      <c r="F272" s="6">
        <f>2249616+10000</f>
        <v>2259616</v>
      </c>
    </row>
    <row r="273" spans="1:6" ht="15.75">
      <c r="A273" s="7"/>
      <c r="B273" s="7">
        <v>9990001</v>
      </c>
      <c r="C273" s="8" t="s">
        <v>165</v>
      </c>
      <c r="D273" s="5" t="s">
        <v>0</v>
      </c>
      <c r="E273" s="8" t="s">
        <v>1</v>
      </c>
      <c r="F273" s="6">
        <f>58620+54048-45532+2+20012+118813</f>
        <v>205963</v>
      </c>
    </row>
    <row r="274" spans="1:6" ht="15.75">
      <c r="A274" s="7"/>
      <c r="B274" s="38">
        <v>9990001</v>
      </c>
      <c r="C274" s="39" t="s">
        <v>165</v>
      </c>
      <c r="D274" s="37" t="s">
        <v>184</v>
      </c>
      <c r="E274" s="39" t="s">
        <v>185</v>
      </c>
      <c r="F274" s="6">
        <v>3513</v>
      </c>
    </row>
    <row r="275" spans="1:6" s="48" customFormat="1" ht="15.75">
      <c r="A275" s="47"/>
      <c r="B275" s="38">
        <v>6800021</v>
      </c>
      <c r="C275" s="39" t="s">
        <v>73</v>
      </c>
      <c r="D275" s="37" t="s">
        <v>3</v>
      </c>
      <c r="E275" s="39" t="s">
        <v>55</v>
      </c>
      <c r="F275" s="36">
        <v>825</v>
      </c>
    </row>
    <row r="276" spans="1:6" s="48" customFormat="1" ht="15.75">
      <c r="A276" s="47"/>
      <c r="B276" s="38">
        <v>8110001</v>
      </c>
      <c r="C276" s="39" t="s">
        <v>60</v>
      </c>
      <c r="D276" s="37" t="s">
        <v>0</v>
      </c>
      <c r="E276" s="39" t="s">
        <v>1</v>
      </c>
      <c r="F276" s="36">
        <v>13000</v>
      </c>
    </row>
    <row r="277" spans="1:6" s="48" customFormat="1" ht="15.75">
      <c r="A277" s="47"/>
      <c r="B277" s="38">
        <v>5220031</v>
      </c>
      <c r="C277" s="39" t="s">
        <v>75</v>
      </c>
      <c r="D277" s="37" t="s">
        <v>13</v>
      </c>
      <c r="E277" s="39" t="s">
        <v>14</v>
      </c>
      <c r="F277" s="36">
        <v>2000</v>
      </c>
    </row>
    <row r="278" spans="1:6" ht="15.75">
      <c r="A278" s="7">
        <v>4002</v>
      </c>
      <c r="B278" s="38">
        <v>9990001</v>
      </c>
      <c r="C278" s="39" t="s">
        <v>165</v>
      </c>
      <c r="D278" s="37" t="s">
        <v>7</v>
      </c>
      <c r="E278" s="39" t="s">
        <v>8</v>
      </c>
      <c r="F278" s="6">
        <v>202387</v>
      </c>
    </row>
    <row r="279" spans="1:6" ht="15.75">
      <c r="A279" s="7">
        <v>4003</v>
      </c>
      <c r="B279" s="7">
        <v>9990001</v>
      </c>
      <c r="C279" s="8" t="s">
        <v>165</v>
      </c>
      <c r="D279" s="5" t="s">
        <v>7</v>
      </c>
      <c r="E279" s="8" t="s">
        <v>8</v>
      </c>
      <c r="F279" s="6">
        <v>2550</v>
      </c>
    </row>
    <row r="280" spans="4:6" ht="15.75">
      <c r="D280" s="22"/>
      <c r="E280" s="9"/>
      <c r="F280" s="26">
        <f>SUM(F272:F279)</f>
        <v>2689854</v>
      </c>
    </row>
    <row r="281" spans="4:6" ht="8.25" customHeight="1" thickBot="1">
      <c r="D281" s="22"/>
      <c r="E281" s="9"/>
      <c r="F281" s="26"/>
    </row>
    <row r="282" spans="1:6" ht="16.5" thickBot="1">
      <c r="A282" s="53" t="s">
        <v>150</v>
      </c>
      <c r="B282" s="54"/>
      <c r="C282" s="54"/>
      <c r="D282" s="54"/>
      <c r="E282" s="54"/>
      <c r="F282" s="32">
        <f>+F225+F247+F268</f>
        <v>5456143</v>
      </c>
    </row>
    <row r="283" spans="1:6" ht="16.5" thickBot="1">
      <c r="A283" s="53" t="s">
        <v>151</v>
      </c>
      <c r="B283" s="54"/>
      <c r="C283" s="54"/>
      <c r="D283" s="54"/>
      <c r="E283" s="54"/>
      <c r="F283" s="32">
        <f>+F240+F253+F280</f>
        <v>5456143</v>
      </c>
    </row>
    <row r="284" ht="6.75" customHeight="1"/>
    <row r="285" spans="1:6" ht="15.75">
      <c r="A285" s="55" t="s">
        <v>95</v>
      </c>
      <c r="B285" s="55"/>
      <c r="C285" s="55"/>
      <c r="D285" s="55"/>
      <c r="E285" s="55"/>
      <c r="F285" s="55"/>
    </row>
    <row r="286" spans="1:6" ht="8.25" customHeight="1">
      <c r="A286" s="28"/>
      <c r="B286" s="28"/>
      <c r="C286" s="28"/>
      <c r="D286" s="28"/>
      <c r="E286" s="28"/>
      <c r="F286" s="28"/>
    </row>
    <row r="287" ht="15.75">
      <c r="A287" s="41" t="s">
        <v>63</v>
      </c>
    </row>
    <row r="288" spans="1:11" ht="15.75">
      <c r="A288" s="7">
        <v>5001</v>
      </c>
      <c r="B288" s="7">
        <v>8891011</v>
      </c>
      <c r="C288" s="8" t="s">
        <v>96</v>
      </c>
      <c r="D288" s="5" t="s">
        <v>40</v>
      </c>
      <c r="E288" s="8" t="s">
        <v>41</v>
      </c>
      <c r="F288" s="6">
        <v>174000</v>
      </c>
      <c r="H288" s="2"/>
      <c r="I288" s="2"/>
      <c r="J288" s="2"/>
      <c r="K288" s="2"/>
    </row>
    <row r="289" spans="1:11" ht="15.75">
      <c r="A289" s="7"/>
      <c r="B289" s="7">
        <v>8891011</v>
      </c>
      <c r="C289" s="8" t="s">
        <v>96</v>
      </c>
      <c r="D289" s="5" t="s">
        <v>7</v>
      </c>
      <c r="E289" s="8" t="s">
        <v>8</v>
      </c>
      <c r="F289" s="6">
        <v>3379</v>
      </c>
      <c r="H289" s="2"/>
      <c r="I289" s="2"/>
      <c r="J289" s="2"/>
      <c r="K289" s="2"/>
    </row>
    <row r="290" spans="1:11" ht="15.75">
      <c r="A290" s="7"/>
      <c r="B290" s="7">
        <v>8891011</v>
      </c>
      <c r="C290" s="8" t="s">
        <v>96</v>
      </c>
      <c r="D290" s="5" t="s">
        <v>167</v>
      </c>
      <c r="E290" s="8" t="s">
        <v>168</v>
      </c>
      <c r="F290" s="6">
        <f>15639-6822</f>
        <v>8817</v>
      </c>
      <c r="H290" s="2"/>
      <c r="I290" s="2"/>
      <c r="J290" s="2"/>
      <c r="K290" s="2"/>
    </row>
    <row r="291" spans="1:11" ht="15.75">
      <c r="A291" s="7"/>
      <c r="B291" s="7">
        <v>8891031</v>
      </c>
      <c r="C291" s="8" t="s">
        <v>115</v>
      </c>
      <c r="D291" s="5" t="s">
        <v>97</v>
      </c>
      <c r="E291" s="8" t="s">
        <v>114</v>
      </c>
      <c r="F291" s="6">
        <v>14123</v>
      </c>
      <c r="H291" s="2"/>
      <c r="I291" s="2"/>
      <c r="J291" s="2"/>
      <c r="K291" s="2"/>
    </row>
    <row r="292" spans="1:11" ht="15.75">
      <c r="A292" s="20"/>
      <c r="B292" s="20"/>
      <c r="C292" s="11"/>
      <c r="D292" s="10"/>
      <c r="E292" s="11"/>
      <c r="F292" s="21">
        <f>SUM(F288:F291)</f>
        <v>200319</v>
      </c>
      <c r="H292" s="2"/>
      <c r="I292" s="2"/>
      <c r="J292" s="2"/>
      <c r="K292" s="2"/>
    </row>
    <row r="293" spans="1:11" ht="15.75">
      <c r="A293" s="29" t="s">
        <v>62</v>
      </c>
      <c r="B293" s="27"/>
      <c r="C293" s="9"/>
      <c r="D293" s="22"/>
      <c r="E293" s="9"/>
      <c r="F293" s="23"/>
      <c r="H293" s="2"/>
      <c r="I293" s="2"/>
      <c r="J293" s="2"/>
      <c r="K293" s="2"/>
    </row>
    <row r="294" spans="1:11" ht="15.75">
      <c r="A294" s="7">
        <v>5001</v>
      </c>
      <c r="B294" s="7">
        <v>9990001</v>
      </c>
      <c r="C294" s="8" t="s">
        <v>165</v>
      </c>
      <c r="D294" s="5" t="s">
        <v>7</v>
      </c>
      <c r="E294" s="8" t="s">
        <v>8</v>
      </c>
      <c r="F294" s="6">
        <f>189102+1750</f>
        <v>190852</v>
      </c>
      <c r="H294" s="2"/>
      <c r="I294" s="2"/>
      <c r="J294" s="2"/>
      <c r="K294" s="2"/>
    </row>
    <row r="295" spans="1:11" ht="15.75">
      <c r="A295" s="30"/>
      <c r="B295" s="7">
        <v>8891031</v>
      </c>
      <c r="C295" s="8" t="s">
        <v>115</v>
      </c>
      <c r="D295" s="5" t="s">
        <v>97</v>
      </c>
      <c r="E295" s="8" t="s">
        <v>114</v>
      </c>
      <c r="F295" s="6">
        <v>9467</v>
      </c>
      <c r="H295" s="2"/>
      <c r="I295" s="2"/>
      <c r="J295" s="2"/>
      <c r="K295" s="2"/>
    </row>
    <row r="296" spans="1:11" ht="15.75">
      <c r="A296" s="29"/>
      <c r="B296" s="27"/>
      <c r="C296" s="9"/>
      <c r="D296" s="22"/>
      <c r="E296" s="9"/>
      <c r="F296" s="13">
        <f>SUM(F294:F295)</f>
        <v>200319</v>
      </c>
      <c r="H296" s="2"/>
      <c r="I296" s="2"/>
      <c r="J296" s="2"/>
      <c r="K296" s="2"/>
    </row>
    <row r="297" spans="1:11" ht="7.5" customHeight="1">
      <c r="A297" s="29"/>
      <c r="B297" s="27"/>
      <c r="C297" s="9"/>
      <c r="D297" s="22"/>
      <c r="E297" s="9"/>
      <c r="F297" s="23"/>
      <c r="H297" s="2"/>
      <c r="I297" s="2"/>
      <c r="J297" s="2"/>
      <c r="K297" s="2"/>
    </row>
    <row r="298" spans="1:11" ht="15.75">
      <c r="A298" s="41" t="s">
        <v>63</v>
      </c>
      <c r="B298" s="44"/>
      <c r="C298" s="15"/>
      <c r="D298" s="14"/>
      <c r="E298" s="15"/>
      <c r="F298" s="16"/>
      <c r="H298" s="2"/>
      <c r="I298" s="2"/>
      <c r="J298" s="2"/>
      <c r="K298" s="2"/>
    </row>
    <row r="299" spans="1:11" ht="15.75">
      <c r="A299" s="7">
        <v>5002</v>
      </c>
      <c r="B299" s="7">
        <v>8810111</v>
      </c>
      <c r="C299" s="8" t="s">
        <v>103</v>
      </c>
      <c r="D299" s="34">
        <v>102031</v>
      </c>
      <c r="E299" s="9" t="s">
        <v>163</v>
      </c>
      <c r="F299" s="6">
        <v>211000</v>
      </c>
      <c r="H299" s="2"/>
      <c r="I299" s="2"/>
      <c r="J299" s="2"/>
      <c r="K299" s="2"/>
    </row>
    <row r="300" spans="1:11" ht="15.75">
      <c r="A300" s="7"/>
      <c r="B300" s="7">
        <v>8899221</v>
      </c>
      <c r="C300" s="8" t="s">
        <v>82</v>
      </c>
      <c r="D300" s="5" t="s">
        <v>104</v>
      </c>
      <c r="E300" s="8" t="s">
        <v>82</v>
      </c>
      <c r="F300" s="6">
        <v>107111</v>
      </c>
      <c r="H300" s="2"/>
      <c r="I300" s="2"/>
      <c r="J300" s="2"/>
      <c r="K300" s="2"/>
    </row>
    <row r="301" spans="1:11" ht="15.75">
      <c r="A301" s="7"/>
      <c r="B301" s="7">
        <v>8730121</v>
      </c>
      <c r="C301" s="8" t="s">
        <v>105</v>
      </c>
      <c r="D301" s="34">
        <v>102025</v>
      </c>
      <c r="E301" s="9" t="s">
        <v>105</v>
      </c>
      <c r="F301" s="6">
        <v>47825</v>
      </c>
      <c r="H301" s="2"/>
      <c r="I301" s="2"/>
      <c r="J301" s="2"/>
      <c r="K301" s="2"/>
    </row>
    <row r="302" spans="1:11" ht="15.75">
      <c r="A302" s="7"/>
      <c r="B302" s="7">
        <v>8899241</v>
      </c>
      <c r="C302" s="8" t="s">
        <v>52</v>
      </c>
      <c r="D302" s="5" t="s">
        <v>172</v>
      </c>
      <c r="E302" s="8" t="s">
        <v>174</v>
      </c>
      <c r="F302" s="6">
        <v>209184</v>
      </c>
      <c r="H302" s="2"/>
      <c r="I302" s="2"/>
      <c r="J302" s="2"/>
      <c r="K302" s="2"/>
    </row>
    <row r="303" spans="1:11" ht="15.75">
      <c r="A303" s="7"/>
      <c r="B303" s="7">
        <v>8899241</v>
      </c>
      <c r="C303" s="8" t="s">
        <v>52</v>
      </c>
      <c r="D303" s="5" t="s">
        <v>173</v>
      </c>
      <c r="E303" s="8" t="s">
        <v>175</v>
      </c>
      <c r="F303" s="6">
        <v>34000</v>
      </c>
      <c r="H303" s="2"/>
      <c r="I303" s="2"/>
      <c r="J303" s="2"/>
      <c r="K303" s="2"/>
    </row>
    <row r="304" spans="1:11" ht="15.75">
      <c r="A304" s="7"/>
      <c r="B304" s="7">
        <v>8899261</v>
      </c>
      <c r="C304" s="8" t="s">
        <v>106</v>
      </c>
      <c r="D304" s="5" t="s">
        <v>107</v>
      </c>
      <c r="E304" s="8" t="s">
        <v>108</v>
      </c>
      <c r="F304" s="6">
        <v>16000</v>
      </c>
      <c r="H304" s="2"/>
      <c r="I304" s="2"/>
      <c r="J304" s="2"/>
      <c r="K304" s="2"/>
    </row>
    <row r="305" spans="1:11" ht="15.75">
      <c r="A305" s="7"/>
      <c r="B305" s="7">
        <v>8899231</v>
      </c>
      <c r="C305" s="8" t="s">
        <v>109</v>
      </c>
      <c r="D305" s="5" t="s">
        <v>110</v>
      </c>
      <c r="E305" s="8" t="s">
        <v>109</v>
      </c>
      <c r="F305" s="6">
        <v>9200</v>
      </c>
      <c r="H305" s="2"/>
      <c r="I305" s="2"/>
      <c r="J305" s="2"/>
      <c r="K305" s="2"/>
    </row>
    <row r="306" spans="1:11" ht="15.75">
      <c r="A306" s="7"/>
      <c r="B306" s="7">
        <v>8899211</v>
      </c>
      <c r="C306" s="8" t="s">
        <v>81</v>
      </c>
      <c r="D306" s="5" t="s">
        <v>111</v>
      </c>
      <c r="E306" s="8" t="s">
        <v>81</v>
      </c>
      <c r="F306" s="6">
        <f>136721-69776</f>
        <v>66945</v>
      </c>
      <c r="H306" s="2"/>
      <c r="I306" s="2"/>
      <c r="J306" s="2"/>
      <c r="K306" s="2"/>
    </row>
    <row r="307" spans="1:11" ht="15.75">
      <c r="A307" s="7"/>
      <c r="B307" s="7">
        <v>8210001</v>
      </c>
      <c r="C307" s="8" t="s">
        <v>169</v>
      </c>
      <c r="D307" s="5" t="s">
        <v>170</v>
      </c>
      <c r="E307" s="8" t="s">
        <v>171</v>
      </c>
      <c r="F307" s="6">
        <v>35000</v>
      </c>
      <c r="H307" s="2"/>
      <c r="I307" s="2"/>
      <c r="J307" s="2"/>
      <c r="K307" s="2"/>
    </row>
    <row r="308" spans="1:11" ht="15.75">
      <c r="A308" s="7"/>
      <c r="B308" s="7">
        <v>9990001</v>
      </c>
      <c r="C308" s="8" t="s">
        <v>165</v>
      </c>
      <c r="D308" s="5" t="s">
        <v>7</v>
      </c>
      <c r="E308" s="8" t="s">
        <v>8</v>
      </c>
      <c r="F308" s="6">
        <v>12158</v>
      </c>
      <c r="H308" s="2"/>
      <c r="I308" s="2"/>
      <c r="J308" s="2"/>
      <c r="K308" s="2"/>
    </row>
    <row r="309" spans="1:11" ht="15.75">
      <c r="A309" s="7"/>
      <c r="B309" s="7">
        <v>9990001</v>
      </c>
      <c r="C309" s="8" t="s">
        <v>165</v>
      </c>
      <c r="D309" s="5" t="s">
        <v>112</v>
      </c>
      <c r="E309" s="8" t="s">
        <v>113</v>
      </c>
      <c r="F309" s="6">
        <v>17842</v>
      </c>
      <c r="H309" s="2"/>
      <c r="I309" s="2"/>
      <c r="J309" s="2"/>
      <c r="K309" s="2"/>
    </row>
    <row r="310" spans="1:11" ht="15.75">
      <c r="A310" s="20"/>
      <c r="B310" s="20"/>
      <c r="C310" s="11"/>
      <c r="D310" s="10"/>
      <c r="E310" s="11"/>
      <c r="F310" s="21">
        <f>SUM(F299:F309)</f>
        <v>766265</v>
      </c>
      <c r="H310" s="2"/>
      <c r="I310" s="2"/>
      <c r="J310" s="2"/>
      <c r="K310" s="2"/>
    </row>
    <row r="311" spans="1:11" ht="15.75">
      <c r="A311" s="29" t="s">
        <v>62</v>
      </c>
      <c r="B311" s="27"/>
      <c r="C311" s="9"/>
      <c r="D311" s="22"/>
      <c r="E311" s="9"/>
      <c r="F311" s="23"/>
      <c r="H311" s="2"/>
      <c r="I311" s="2"/>
      <c r="J311" s="2"/>
      <c r="K311" s="2"/>
    </row>
    <row r="312" spans="1:11" ht="15.75">
      <c r="A312" s="7">
        <v>5002</v>
      </c>
      <c r="B312" s="7">
        <v>9990001</v>
      </c>
      <c r="C312" s="8" t="s">
        <v>165</v>
      </c>
      <c r="D312" s="5" t="s">
        <v>7</v>
      </c>
      <c r="E312" s="8" t="s">
        <v>8</v>
      </c>
      <c r="F312" s="6">
        <f>677479+1106</f>
        <v>678585</v>
      </c>
      <c r="H312" s="2"/>
      <c r="I312" s="2"/>
      <c r="J312" s="2"/>
      <c r="K312" s="2"/>
    </row>
    <row r="313" spans="1:11" ht="15.75">
      <c r="A313" s="7"/>
      <c r="B313" s="7">
        <v>8810111</v>
      </c>
      <c r="C313" s="8" t="s">
        <v>103</v>
      </c>
      <c r="D313" s="5" t="s">
        <v>209</v>
      </c>
      <c r="E313" s="8" t="s">
        <v>163</v>
      </c>
      <c r="F313" s="6">
        <v>12000</v>
      </c>
      <c r="H313" s="2"/>
      <c r="I313" s="2"/>
      <c r="J313" s="2"/>
      <c r="K313" s="2"/>
    </row>
    <row r="314" spans="1:11" ht="15.75">
      <c r="A314" s="30"/>
      <c r="B314" s="7">
        <v>8730121</v>
      </c>
      <c r="C314" s="8" t="s">
        <v>105</v>
      </c>
      <c r="D314" s="42">
        <v>102025</v>
      </c>
      <c r="E314" s="8" t="s">
        <v>105</v>
      </c>
      <c r="F314" s="6">
        <f>10569+11641+3975-8930</f>
        <v>17255</v>
      </c>
      <c r="H314" s="2"/>
      <c r="I314" s="2"/>
      <c r="J314" s="2"/>
      <c r="K314" s="2"/>
    </row>
    <row r="315" spans="1:11" ht="15.75">
      <c r="A315" s="30"/>
      <c r="B315" s="7">
        <v>8899221</v>
      </c>
      <c r="C315" s="8" t="s">
        <v>82</v>
      </c>
      <c r="D315" s="5" t="s">
        <v>104</v>
      </c>
      <c r="E315" s="8" t="s">
        <v>82</v>
      </c>
      <c r="F315" s="6">
        <f>14865</f>
        <v>14865</v>
      </c>
      <c r="H315" s="2"/>
      <c r="I315" s="2"/>
      <c r="J315" s="2"/>
      <c r="K315" s="2"/>
    </row>
    <row r="316" spans="1:11" ht="15.75">
      <c r="A316" s="30"/>
      <c r="B316" s="7">
        <v>8899211</v>
      </c>
      <c r="C316" s="8" t="s">
        <v>81</v>
      </c>
      <c r="D316" s="5" t="s">
        <v>111</v>
      </c>
      <c r="E316" s="8" t="s">
        <v>81</v>
      </c>
      <c r="F316" s="6">
        <v>29560</v>
      </c>
      <c r="H316" s="2"/>
      <c r="I316" s="2"/>
      <c r="J316" s="2"/>
      <c r="K316" s="2"/>
    </row>
    <row r="317" spans="1:11" ht="15.75">
      <c r="A317" s="30"/>
      <c r="B317" s="7">
        <v>9990001</v>
      </c>
      <c r="C317" s="8" t="s">
        <v>165</v>
      </c>
      <c r="D317" s="5" t="s">
        <v>112</v>
      </c>
      <c r="E317" s="8" t="s">
        <v>113</v>
      </c>
      <c r="F317" s="6">
        <v>14000</v>
      </c>
      <c r="H317" s="2"/>
      <c r="I317" s="2"/>
      <c r="J317" s="2"/>
      <c r="K317" s="2"/>
    </row>
    <row r="318" spans="1:11" ht="15.75">
      <c r="A318" s="27"/>
      <c r="B318" s="27"/>
      <c r="C318" s="9"/>
      <c r="D318" s="22"/>
      <c r="E318" s="9"/>
      <c r="F318" s="13">
        <f>SUM(F312:F317)</f>
        <v>766265</v>
      </c>
      <c r="H318" s="2"/>
      <c r="I318" s="2"/>
      <c r="J318" s="2"/>
      <c r="K318" s="2"/>
    </row>
    <row r="319" spans="1:11" ht="7.5" customHeight="1">
      <c r="A319" s="27"/>
      <c r="B319" s="27"/>
      <c r="C319" s="9"/>
      <c r="D319" s="22"/>
      <c r="E319" s="9"/>
      <c r="F319" s="23"/>
      <c r="H319" s="2"/>
      <c r="I319" s="2"/>
      <c r="J319" s="2"/>
      <c r="K319" s="2"/>
    </row>
    <row r="320" spans="1:11" ht="15.75">
      <c r="A320" s="49" t="s">
        <v>63</v>
      </c>
      <c r="B320" s="44"/>
      <c r="C320" s="15"/>
      <c r="D320" s="14"/>
      <c r="E320" s="15"/>
      <c r="F320" s="16"/>
      <c r="H320" s="2"/>
      <c r="I320" s="2"/>
      <c r="J320" s="2"/>
      <c r="K320" s="2"/>
    </row>
    <row r="321" spans="1:11" ht="15.75">
      <c r="A321" s="7">
        <v>5003</v>
      </c>
      <c r="B321" s="7">
        <v>9990001</v>
      </c>
      <c r="C321" s="8" t="s">
        <v>165</v>
      </c>
      <c r="D321" s="5" t="s">
        <v>98</v>
      </c>
      <c r="E321" s="8" t="s">
        <v>99</v>
      </c>
      <c r="F321" s="6">
        <f>127623+1066+259+282</f>
        <v>129230</v>
      </c>
      <c r="H321" s="2"/>
      <c r="I321" s="2"/>
      <c r="J321" s="2"/>
      <c r="K321" s="2"/>
    </row>
    <row r="322" spans="1:11" ht="15.75">
      <c r="A322" s="7"/>
      <c r="B322" s="7">
        <v>9990001</v>
      </c>
      <c r="C322" s="8" t="s">
        <v>165</v>
      </c>
      <c r="D322" s="5" t="s">
        <v>100</v>
      </c>
      <c r="E322" s="8" t="s">
        <v>101</v>
      </c>
      <c r="F322" s="6">
        <f>21530-5000</f>
        <v>16530</v>
      </c>
      <c r="H322" s="2"/>
      <c r="I322" s="2"/>
      <c r="J322" s="2"/>
      <c r="K322" s="2"/>
    </row>
    <row r="323" spans="1:11" ht="15.75">
      <c r="A323" s="7"/>
      <c r="B323" s="7">
        <v>9990001</v>
      </c>
      <c r="C323" s="8" t="s">
        <v>165</v>
      </c>
      <c r="D323" s="5" t="s">
        <v>7</v>
      </c>
      <c r="E323" s="8" t="s">
        <v>8</v>
      </c>
      <c r="F323" s="6">
        <v>952</v>
      </c>
      <c r="H323" s="2"/>
      <c r="I323" s="2"/>
      <c r="J323" s="2"/>
      <c r="K323" s="2"/>
    </row>
    <row r="324" spans="1:11" ht="15.75">
      <c r="A324" s="7"/>
      <c r="B324" s="7">
        <v>5629121</v>
      </c>
      <c r="C324" s="8" t="s">
        <v>102</v>
      </c>
      <c r="D324" s="5" t="s">
        <v>84</v>
      </c>
      <c r="E324" s="8" t="s">
        <v>83</v>
      </c>
      <c r="F324" s="6">
        <v>15071</v>
      </c>
      <c r="H324" s="2"/>
      <c r="I324" s="2"/>
      <c r="J324" s="2"/>
      <c r="K324" s="2"/>
    </row>
    <row r="325" spans="1:11" ht="15.75">
      <c r="A325" s="20"/>
      <c r="B325" s="20"/>
      <c r="C325" s="11"/>
      <c r="D325" s="10"/>
      <c r="E325" s="11"/>
      <c r="F325" s="21">
        <f>SUM(F321:F324)</f>
        <v>161783</v>
      </c>
      <c r="H325" s="2"/>
      <c r="I325" s="2"/>
      <c r="J325" s="2"/>
      <c r="K325" s="2"/>
    </row>
    <row r="326" spans="1:11" ht="15.75">
      <c r="A326" s="29" t="s">
        <v>62</v>
      </c>
      <c r="B326" s="27"/>
      <c r="C326" s="9"/>
      <c r="D326" s="22"/>
      <c r="E326" s="9"/>
      <c r="F326" s="23"/>
      <c r="H326" s="2"/>
      <c r="I326" s="2"/>
      <c r="J326" s="2"/>
      <c r="K326" s="2"/>
    </row>
    <row r="327" spans="1:11" ht="15.75">
      <c r="A327" s="7">
        <v>5003</v>
      </c>
      <c r="B327" s="7">
        <v>9990001</v>
      </c>
      <c r="C327" s="8" t="s">
        <v>165</v>
      </c>
      <c r="D327" s="5" t="s">
        <v>7</v>
      </c>
      <c r="E327" s="8" t="s">
        <v>8</v>
      </c>
      <c r="F327" s="6">
        <f>151455+2540</f>
        <v>153995</v>
      </c>
      <c r="H327" s="2"/>
      <c r="I327" s="2"/>
      <c r="J327" s="2"/>
      <c r="K327" s="2"/>
    </row>
    <row r="328" spans="1:11" ht="15.75">
      <c r="A328" s="30"/>
      <c r="B328" s="7">
        <v>5629121</v>
      </c>
      <c r="C328" s="8" t="s">
        <v>102</v>
      </c>
      <c r="D328" s="5" t="s">
        <v>84</v>
      </c>
      <c r="E328" s="8" t="s">
        <v>83</v>
      </c>
      <c r="F328" s="6">
        <v>7788</v>
      </c>
      <c r="H328" s="2"/>
      <c r="I328" s="2"/>
      <c r="J328" s="2"/>
      <c r="K328" s="2"/>
    </row>
    <row r="329" spans="1:11" ht="15.75">
      <c r="A329" s="27"/>
      <c r="B329" s="27"/>
      <c r="C329" s="9"/>
      <c r="D329" s="22"/>
      <c r="E329" s="9"/>
      <c r="F329" s="13">
        <f>SUM(F327:F328)</f>
        <v>161783</v>
      </c>
      <c r="H329" s="2"/>
      <c r="I329" s="2"/>
      <c r="J329" s="2"/>
      <c r="K329" s="2"/>
    </row>
    <row r="330" spans="1:11" ht="6.75" customHeight="1">
      <c r="A330" s="27"/>
      <c r="B330" s="27"/>
      <c r="C330" s="9"/>
      <c r="D330" s="22"/>
      <c r="E330" s="9"/>
      <c r="F330" s="23"/>
      <c r="H330" s="2"/>
      <c r="I330" s="2"/>
      <c r="J330" s="2"/>
      <c r="K330" s="2"/>
    </row>
    <row r="331" spans="1:11" ht="15.75">
      <c r="A331" s="49" t="s">
        <v>63</v>
      </c>
      <c r="B331" s="44"/>
      <c r="C331" s="15"/>
      <c r="D331" s="14"/>
      <c r="E331" s="15"/>
      <c r="F331" s="16"/>
      <c r="H331" s="2"/>
      <c r="I331" s="2"/>
      <c r="J331" s="2"/>
      <c r="K331" s="2"/>
    </row>
    <row r="332" spans="1:11" ht="15.75">
      <c r="A332" s="7">
        <v>5004</v>
      </c>
      <c r="B332" s="7">
        <v>9990001</v>
      </c>
      <c r="C332" s="8" t="s">
        <v>165</v>
      </c>
      <c r="D332" s="5" t="s">
        <v>98</v>
      </c>
      <c r="E332" s="8" t="s">
        <v>99</v>
      </c>
      <c r="F332" s="6">
        <v>73000</v>
      </c>
      <c r="H332" s="2"/>
      <c r="I332" s="2"/>
      <c r="J332" s="2"/>
      <c r="K332" s="2"/>
    </row>
    <row r="333" spans="1:11" ht="15.75">
      <c r="A333" s="7"/>
      <c r="B333" s="7">
        <v>9990001</v>
      </c>
      <c r="C333" s="8" t="s">
        <v>165</v>
      </c>
      <c r="D333" s="5" t="s">
        <v>100</v>
      </c>
      <c r="E333" s="8" t="s">
        <v>101</v>
      </c>
      <c r="F333" s="6">
        <f>16731+440-2328</f>
        <v>14843</v>
      </c>
      <c r="H333" s="2"/>
      <c r="I333" s="2"/>
      <c r="J333" s="2"/>
      <c r="K333" s="2"/>
    </row>
    <row r="334" spans="1:11" ht="15.75">
      <c r="A334" s="7"/>
      <c r="B334" s="7">
        <v>5629121</v>
      </c>
      <c r="C334" s="8" t="s">
        <v>102</v>
      </c>
      <c r="D334" s="5" t="s">
        <v>84</v>
      </c>
      <c r="E334" s="8" t="s">
        <v>83</v>
      </c>
      <c r="F334" s="6">
        <v>7890</v>
      </c>
      <c r="H334" s="2"/>
      <c r="I334" s="2"/>
      <c r="J334" s="2"/>
      <c r="K334" s="2"/>
    </row>
    <row r="335" spans="1:11" ht="15.75">
      <c r="A335" s="20"/>
      <c r="B335" s="20"/>
      <c r="C335" s="11"/>
      <c r="D335" s="10"/>
      <c r="E335" s="11"/>
      <c r="F335" s="21">
        <f>SUM(F332:F334)</f>
        <v>95733</v>
      </c>
      <c r="H335" s="2"/>
      <c r="I335" s="2"/>
      <c r="J335" s="2"/>
      <c r="K335" s="2"/>
    </row>
    <row r="336" spans="1:11" ht="15.75">
      <c r="A336" s="29" t="s">
        <v>62</v>
      </c>
      <c r="B336" s="27"/>
      <c r="C336" s="9"/>
      <c r="D336" s="22"/>
      <c r="E336" s="9"/>
      <c r="F336" s="23"/>
      <c r="H336" s="2"/>
      <c r="I336" s="2"/>
      <c r="J336" s="2"/>
      <c r="K336" s="2"/>
    </row>
    <row r="337" spans="1:11" ht="15.75">
      <c r="A337" s="7">
        <v>5004</v>
      </c>
      <c r="B337" s="7">
        <v>9990001</v>
      </c>
      <c r="C337" s="8" t="s">
        <v>165</v>
      </c>
      <c r="D337" s="5" t="s">
        <v>7</v>
      </c>
      <c r="E337" s="8" t="s">
        <v>8</v>
      </c>
      <c r="F337" s="6">
        <f>89638+2159</f>
        <v>91797</v>
      </c>
      <c r="H337" s="2"/>
      <c r="I337" s="2"/>
      <c r="J337" s="2"/>
      <c r="K337" s="2"/>
    </row>
    <row r="338" spans="1:11" ht="15.75">
      <c r="A338" s="30"/>
      <c r="B338" s="7">
        <v>5629121</v>
      </c>
      <c r="C338" s="8" t="s">
        <v>102</v>
      </c>
      <c r="D338" s="5" t="s">
        <v>84</v>
      </c>
      <c r="E338" s="8" t="s">
        <v>83</v>
      </c>
      <c r="F338" s="6">
        <v>3936</v>
      </c>
      <c r="H338" s="2"/>
      <c r="I338" s="2"/>
      <c r="J338" s="2"/>
      <c r="K338" s="2"/>
    </row>
    <row r="339" spans="1:11" ht="15.75">
      <c r="A339" s="27"/>
      <c r="B339" s="27"/>
      <c r="C339" s="9"/>
      <c r="D339" s="22"/>
      <c r="E339" s="9"/>
      <c r="F339" s="13">
        <f>SUM(F337:F338)</f>
        <v>95733</v>
      </c>
      <c r="H339" s="2"/>
      <c r="I339" s="2"/>
      <c r="J339" s="2"/>
      <c r="K339" s="2"/>
    </row>
    <row r="340" spans="1:11" ht="6" customHeight="1">
      <c r="A340" s="27"/>
      <c r="B340" s="27"/>
      <c r="C340" s="9"/>
      <c r="D340" s="22"/>
      <c r="E340" s="9"/>
      <c r="F340" s="23"/>
      <c r="H340" s="2"/>
      <c r="I340" s="2"/>
      <c r="J340" s="2"/>
      <c r="K340" s="2"/>
    </row>
    <row r="341" spans="1:11" ht="15.75">
      <c r="A341" s="49" t="s">
        <v>63</v>
      </c>
      <c r="B341" s="44"/>
      <c r="C341" s="15"/>
      <c r="D341" s="14"/>
      <c r="E341" s="15"/>
      <c r="F341" s="16"/>
      <c r="H341" s="2"/>
      <c r="I341" s="2"/>
      <c r="J341" s="2"/>
      <c r="K341" s="2"/>
    </row>
    <row r="342" spans="1:11" ht="15.75">
      <c r="A342" s="7">
        <v>5005</v>
      </c>
      <c r="B342" s="7">
        <v>9990001</v>
      </c>
      <c r="C342" s="8" t="s">
        <v>165</v>
      </c>
      <c r="D342" s="5" t="s">
        <v>98</v>
      </c>
      <c r="E342" s="8" t="s">
        <v>99</v>
      </c>
      <c r="F342" s="6">
        <f>121068+1492+297+753</f>
        <v>123610</v>
      </c>
      <c r="H342" s="2"/>
      <c r="I342" s="2"/>
      <c r="J342" s="2"/>
      <c r="K342" s="2"/>
    </row>
    <row r="343" spans="1:11" ht="15.75">
      <c r="A343" s="7"/>
      <c r="B343" s="7">
        <v>9990001</v>
      </c>
      <c r="C343" s="8" t="s">
        <v>165</v>
      </c>
      <c r="D343" s="5" t="s">
        <v>100</v>
      </c>
      <c r="E343" s="8" t="s">
        <v>101</v>
      </c>
      <c r="F343" s="6">
        <v>39378</v>
      </c>
      <c r="H343" s="2"/>
      <c r="I343" s="2"/>
      <c r="J343" s="2"/>
      <c r="K343" s="2"/>
    </row>
    <row r="344" spans="1:11" ht="15.75">
      <c r="A344" s="7"/>
      <c r="B344" s="7">
        <v>9990001</v>
      </c>
      <c r="C344" s="8" t="s">
        <v>165</v>
      </c>
      <c r="D344" s="5" t="s">
        <v>7</v>
      </c>
      <c r="E344" s="8" t="s">
        <v>8</v>
      </c>
      <c r="F344" s="6">
        <v>474</v>
      </c>
      <c r="H344" s="2"/>
      <c r="I344" s="2"/>
      <c r="J344" s="2"/>
      <c r="K344" s="2"/>
    </row>
    <row r="345" spans="1:11" ht="15.75">
      <c r="A345" s="7"/>
      <c r="B345" s="7">
        <v>5629121</v>
      </c>
      <c r="C345" s="8" t="s">
        <v>102</v>
      </c>
      <c r="D345" s="5" t="s">
        <v>84</v>
      </c>
      <c r="E345" s="8" t="s">
        <v>83</v>
      </c>
      <c r="F345" s="6">
        <v>11098</v>
      </c>
      <c r="H345" s="2"/>
      <c r="I345" s="2"/>
      <c r="J345" s="2"/>
      <c r="K345" s="2"/>
    </row>
    <row r="346" spans="1:11" ht="15.75">
      <c r="A346" s="20"/>
      <c r="B346" s="20"/>
      <c r="C346" s="11"/>
      <c r="D346" s="10"/>
      <c r="E346" s="11"/>
      <c r="F346" s="21">
        <f>SUM(F342:F345)</f>
        <v>174560</v>
      </c>
      <c r="H346" s="2"/>
      <c r="I346" s="2"/>
      <c r="J346" s="2"/>
      <c r="K346" s="2"/>
    </row>
    <row r="347" spans="1:11" ht="7.5" customHeight="1">
      <c r="A347" s="27"/>
      <c r="B347" s="27"/>
      <c r="C347" s="9"/>
      <c r="D347" s="22"/>
      <c r="E347" s="9"/>
      <c r="F347" s="23"/>
      <c r="H347" s="2"/>
      <c r="I347" s="2"/>
      <c r="J347" s="2"/>
      <c r="K347" s="2"/>
    </row>
    <row r="348" spans="1:11" ht="15.75">
      <c r="A348" s="29" t="s">
        <v>62</v>
      </c>
      <c r="B348" s="27"/>
      <c r="C348" s="9"/>
      <c r="D348" s="22"/>
      <c r="E348" s="9"/>
      <c r="F348" s="23"/>
      <c r="H348" s="2"/>
      <c r="I348" s="2"/>
      <c r="J348" s="2"/>
      <c r="K348" s="2"/>
    </row>
    <row r="349" spans="1:11" ht="15.75">
      <c r="A349" s="7">
        <v>5005</v>
      </c>
      <c r="B349" s="7">
        <v>9990001</v>
      </c>
      <c r="C349" s="8" t="s">
        <v>165</v>
      </c>
      <c r="D349" s="5" t="s">
        <v>7</v>
      </c>
      <c r="E349" s="8" t="s">
        <v>8</v>
      </c>
      <c r="F349" s="6">
        <f>147157+2540</f>
        <v>149697</v>
      </c>
      <c r="H349" s="2"/>
      <c r="I349" s="2"/>
      <c r="J349" s="2"/>
      <c r="K349" s="2"/>
    </row>
    <row r="350" spans="1:11" ht="15.75">
      <c r="A350" s="30"/>
      <c r="B350" s="7">
        <v>5629121</v>
      </c>
      <c r="C350" s="8" t="s">
        <v>102</v>
      </c>
      <c r="D350" s="5" t="s">
        <v>84</v>
      </c>
      <c r="E350" s="8" t="s">
        <v>83</v>
      </c>
      <c r="F350" s="6">
        <v>24863</v>
      </c>
      <c r="H350" s="2"/>
      <c r="I350" s="2"/>
      <c r="J350" s="2"/>
      <c r="K350" s="2"/>
    </row>
    <row r="351" spans="1:11" ht="15.75">
      <c r="A351" s="27"/>
      <c r="B351" s="27"/>
      <c r="C351" s="9"/>
      <c r="D351" s="22"/>
      <c r="E351" s="9"/>
      <c r="F351" s="13">
        <f>SUM(F349:F350)</f>
        <v>174560</v>
      </c>
      <c r="H351" s="2"/>
      <c r="I351" s="2"/>
      <c r="J351" s="2"/>
      <c r="K351" s="2"/>
    </row>
    <row r="352" spans="1:11" ht="9" customHeight="1">
      <c r="A352" s="27"/>
      <c r="B352" s="27"/>
      <c r="C352" s="9"/>
      <c r="D352" s="22"/>
      <c r="E352" s="9"/>
      <c r="F352" s="23"/>
      <c r="H352" s="2"/>
      <c r="I352" s="2"/>
      <c r="J352" s="2"/>
      <c r="K352" s="2"/>
    </row>
    <row r="353" spans="1:11" ht="15.75">
      <c r="A353" s="49" t="s">
        <v>63</v>
      </c>
      <c r="B353" s="44"/>
      <c r="C353" s="15"/>
      <c r="D353" s="14"/>
      <c r="E353" s="15"/>
      <c r="F353" s="16"/>
      <c r="H353" s="2"/>
      <c r="I353" s="2"/>
      <c r="J353" s="2"/>
      <c r="K353" s="2"/>
    </row>
    <row r="354" spans="1:11" ht="15.75">
      <c r="A354" s="7">
        <v>5006</v>
      </c>
      <c r="B354" s="7">
        <v>9990001</v>
      </c>
      <c r="C354" s="8" t="s">
        <v>165</v>
      </c>
      <c r="D354" s="5" t="s">
        <v>98</v>
      </c>
      <c r="E354" s="8" t="s">
        <v>99</v>
      </c>
      <c r="F354" s="6">
        <f>105496+16879+29+573-16582</f>
        <v>106395</v>
      </c>
      <c r="H354" s="2"/>
      <c r="I354" s="2"/>
      <c r="J354" s="2"/>
      <c r="K354" s="2"/>
    </row>
    <row r="355" spans="1:11" ht="15.75">
      <c r="A355" s="7"/>
      <c r="B355" s="7">
        <v>9990001</v>
      </c>
      <c r="C355" s="8" t="s">
        <v>165</v>
      </c>
      <c r="D355" s="5" t="s">
        <v>100</v>
      </c>
      <c r="E355" s="8" t="s">
        <v>101</v>
      </c>
      <c r="F355" s="6">
        <f>16915+754</f>
        <v>17669</v>
      </c>
      <c r="H355" s="2"/>
      <c r="I355" s="2"/>
      <c r="J355" s="2"/>
      <c r="K355" s="2"/>
    </row>
    <row r="356" spans="1:11" ht="15.75">
      <c r="A356" s="7"/>
      <c r="B356" s="7">
        <v>9990001</v>
      </c>
      <c r="C356" s="8" t="s">
        <v>165</v>
      </c>
      <c r="D356" s="5" t="s">
        <v>7</v>
      </c>
      <c r="E356" s="8" t="s">
        <v>8</v>
      </c>
      <c r="F356" s="6">
        <v>16582</v>
      </c>
      <c r="H356" s="2"/>
      <c r="I356" s="2"/>
      <c r="J356" s="2"/>
      <c r="K356" s="2"/>
    </row>
    <row r="357" spans="1:11" ht="15.75">
      <c r="A357" s="7"/>
      <c r="B357" s="7">
        <v>5629121</v>
      </c>
      <c r="C357" s="8" t="s">
        <v>102</v>
      </c>
      <c r="D357" s="5" t="s">
        <v>84</v>
      </c>
      <c r="E357" s="8" t="s">
        <v>83</v>
      </c>
      <c r="F357" s="6">
        <v>7915</v>
      </c>
      <c r="H357" s="2"/>
      <c r="I357" s="2"/>
      <c r="J357" s="2"/>
      <c r="K357" s="2"/>
    </row>
    <row r="358" spans="1:11" ht="15" customHeight="1">
      <c r="A358" s="20"/>
      <c r="B358" s="20"/>
      <c r="C358" s="11"/>
      <c r="D358" s="10"/>
      <c r="E358" s="11"/>
      <c r="F358" s="21">
        <f>SUM(F354:F357)</f>
        <v>148561</v>
      </c>
      <c r="H358" s="2"/>
      <c r="I358" s="2"/>
      <c r="J358" s="2"/>
      <c r="K358" s="2"/>
    </row>
    <row r="359" spans="1:11" ht="15.75">
      <c r="A359" s="29" t="s">
        <v>62</v>
      </c>
      <c r="B359" s="27"/>
      <c r="C359" s="9"/>
      <c r="D359" s="22"/>
      <c r="E359" s="9"/>
      <c r="F359" s="23"/>
      <c r="H359" s="2"/>
      <c r="I359" s="2"/>
      <c r="J359" s="2"/>
      <c r="K359" s="2"/>
    </row>
    <row r="360" spans="1:11" ht="15.75">
      <c r="A360" s="7">
        <v>5006</v>
      </c>
      <c r="B360" s="7">
        <v>9990001</v>
      </c>
      <c r="C360" s="8" t="s">
        <v>165</v>
      </c>
      <c r="D360" s="5" t="s">
        <v>7</v>
      </c>
      <c r="E360" s="8" t="s">
        <v>8</v>
      </c>
      <c r="F360" s="6">
        <f>126681+1400</f>
        <v>128081</v>
      </c>
      <c r="H360" s="2"/>
      <c r="I360" s="2"/>
      <c r="J360" s="2"/>
      <c r="K360" s="2"/>
    </row>
    <row r="361" spans="1:11" ht="15.75">
      <c r="A361" s="30"/>
      <c r="B361" s="7">
        <v>5629121</v>
      </c>
      <c r="C361" s="8" t="s">
        <v>102</v>
      </c>
      <c r="D361" s="5" t="s">
        <v>84</v>
      </c>
      <c r="E361" s="8" t="s">
        <v>83</v>
      </c>
      <c r="F361" s="6">
        <v>20480</v>
      </c>
      <c r="H361" s="2"/>
      <c r="I361" s="2"/>
      <c r="J361" s="2"/>
      <c r="K361" s="2"/>
    </row>
    <row r="362" spans="6:11" ht="15.75">
      <c r="F362" s="26">
        <f>SUM(F360:F361)</f>
        <v>148561</v>
      </c>
      <c r="H362" s="2"/>
      <c r="I362" s="2"/>
      <c r="J362" s="2"/>
      <c r="K362" s="2"/>
    </row>
    <row r="363" spans="6:11" ht="6.75" customHeight="1" thickBot="1">
      <c r="F363" s="26"/>
      <c r="H363" s="2"/>
      <c r="I363" s="2"/>
      <c r="J363" s="2"/>
      <c r="K363" s="2"/>
    </row>
    <row r="364" spans="1:11" ht="16.5" thickBot="1">
      <c r="A364" s="53" t="s">
        <v>152</v>
      </c>
      <c r="B364" s="54"/>
      <c r="C364" s="54"/>
      <c r="D364" s="54"/>
      <c r="E364" s="54"/>
      <c r="F364" s="32">
        <f>+F292+F310+F325+F335+F346+F358</f>
        <v>1547221</v>
      </c>
      <c r="H364" s="2"/>
      <c r="I364" s="2"/>
      <c r="J364" s="2"/>
      <c r="K364" s="2"/>
    </row>
    <row r="365" spans="1:11" ht="16.5" thickBot="1">
      <c r="A365" s="53" t="s">
        <v>153</v>
      </c>
      <c r="B365" s="54"/>
      <c r="C365" s="54"/>
      <c r="D365" s="54"/>
      <c r="E365" s="54"/>
      <c r="F365" s="32">
        <f>+F296+F318+F329+F339+F351+F362</f>
        <v>1547221</v>
      </c>
      <c r="H365" s="2"/>
      <c r="I365" s="2"/>
      <c r="J365" s="2"/>
      <c r="K365" s="2"/>
    </row>
    <row r="366" spans="8:11" ht="6" customHeight="1" thickBot="1">
      <c r="H366" s="2"/>
      <c r="I366" s="2"/>
      <c r="J366" s="2"/>
      <c r="K366" s="2"/>
    </row>
    <row r="367" spans="1:11" ht="16.5" thickBot="1">
      <c r="A367" s="53" t="s">
        <v>154</v>
      </c>
      <c r="B367" s="54"/>
      <c r="C367" s="54"/>
      <c r="D367" s="54"/>
      <c r="E367" s="54"/>
      <c r="F367" s="32">
        <f>+F167+F282+F364</f>
        <v>36390253</v>
      </c>
      <c r="H367" s="2"/>
      <c r="I367" s="2"/>
      <c r="J367" s="2"/>
      <c r="K367" s="2"/>
    </row>
    <row r="368" spans="1:11" ht="16.5" thickBot="1">
      <c r="A368" s="53" t="s">
        <v>155</v>
      </c>
      <c r="B368" s="54"/>
      <c r="C368" s="54"/>
      <c r="D368" s="54"/>
      <c r="E368" s="54"/>
      <c r="F368" s="32">
        <f>+F207+F283+F365</f>
        <v>36390253</v>
      </c>
      <c r="H368" s="2"/>
      <c r="I368" s="2"/>
      <c r="J368" s="2"/>
      <c r="K368" s="2"/>
    </row>
    <row r="369" spans="8:11" ht="6.75" customHeight="1" thickBot="1">
      <c r="H369" s="2"/>
      <c r="I369" s="2"/>
      <c r="J369" s="2"/>
      <c r="K369" s="2"/>
    </row>
    <row r="370" spans="1:11" ht="16.5" thickBot="1">
      <c r="A370" s="53" t="s">
        <v>156</v>
      </c>
      <c r="B370" s="54"/>
      <c r="C370" s="54"/>
      <c r="D370" s="54"/>
      <c r="E370" s="54"/>
      <c r="F370" s="32">
        <f>-F108-F109-F110-F111</f>
        <v>-5063202</v>
      </c>
      <c r="H370" s="2"/>
      <c r="I370" s="2"/>
      <c r="J370" s="2"/>
      <c r="K370" s="2"/>
    </row>
    <row r="371" spans="1:11" ht="16.5" thickBot="1">
      <c r="A371" s="53" t="s">
        <v>157</v>
      </c>
      <c r="B371" s="54"/>
      <c r="C371" s="54"/>
      <c r="D371" s="54"/>
      <c r="E371" s="54"/>
      <c r="F371" s="32">
        <v>-5063202</v>
      </c>
      <c r="H371" s="2"/>
      <c r="I371" s="2"/>
      <c r="J371" s="2"/>
      <c r="K371" s="2"/>
    </row>
    <row r="372" spans="6:11" ht="3.75" customHeight="1" thickBot="1">
      <c r="F372" s="26"/>
      <c r="H372" s="2"/>
      <c r="I372" s="2"/>
      <c r="J372" s="2"/>
      <c r="K372" s="2"/>
    </row>
    <row r="373" spans="1:11" ht="16.5" thickBot="1">
      <c r="A373" s="53" t="s">
        <v>158</v>
      </c>
      <c r="B373" s="54"/>
      <c r="C373" s="54"/>
      <c r="D373" s="54"/>
      <c r="E373" s="54"/>
      <c r="F373" s="32">
        <v>-379000</v>
      </c>
      <c r="H373" s="2"/>
      <c r="I373" s="2"/>
      <c r="J373" s="2"/>
      <c r="K373" s="2"/>
    </row>
    <row r="374" spans="1:11" ht="16.5" thickBot="1">
      <c r="A374" s="53" t="s">
        <v>159</v>
      </c>
      <c r="B374" s="54"/>
      <c r="C374" s="54"/>
      <c r="D374" s="54"/>
      <c r="E374" s="54"/>
      <c r="F374" s="32">
        <v>-379000</v>
      </c>
      <c r="H374" s="2"/>
      <c r="I374" s="2"/>
      <c r="J374" s="2"/>
      <c r="K374" s="2"/>
    </row>
    <row r="375" spans="8:11" ht="5.25" customHeight="1" thickBot="1">
      <c r="H375" s="2"/>
      <c r="I375" s="2"/>
      <c r="J375" s="2"/>
      <c r="K375" s="2"/>
    </row>
    <row r="376" spans="1:11" ht="16.5" thickBot="1">
      <c r="A376" s="51" t="s">
        <v>160</v>
      </c>
      <c r="B376" s="52"/>
      <c r="C376" s="52"/>
      <c r="D376" s="52"/>
      <c r="E376" s="52"/>
      <c r="F376" s="32">
        <f>+F367+F370+F373</f>
        <v>30948051</v>
      </c>
      <c r="H376" s="2"/>
      <c r="I376" s="2"/>
      <c r="J376" s="2"/>
      <c r="K376" s="2"/>
    </row>
    <row r="377" spans="1:11" ht="16.5" thickBot="1">
      <c r="A377" s="51" t="s">
        <v>161</v>
      </c>
      <c r="B377" s="52"/>
      <c r="C377" s="52"/>
      <c r="D377" s="52"/>
      <c r="E377" s="52"/>
      <c r="F377" s="32">
        <f>+F368+F371+F374</f>
        <v>30948051</v>
      </c>
      <c r="H377" s="2"/>
      <c r="I377" s="2"/>
      <c r="J377" s="2"/>
      <c r="K377" s="2"/>
    </row>
  </sheetData>
  <sheetProtection/>
  <mergeCells count="30">
    <mergeCell ref="A205:F205"/>
    <mergeCell ref="A374:E374"/>
    <mergeCell ref="A376:E376"/>
    <mergeCell ref="A377:E377"/>
    <mergeCell ref="A367:E367"/>
    <mergeCell ref="A368:E368"/>
    <mergeCell ref="A370:E370"/>
    <mergeCell ref="A371:E371"/>
    <mergeCell ref="A373:E373"/>
    <mergeCell ref="A282:E282"/>
    <mergeCell ref="A283:E283"/>
    <mergeCell ref="A364:E364"/>
    <mergeCell ref="A365:E365"/>
    <mergeCell ref="A285:F285"/>
    <mergeCell ref="A3:F3"/>
    <mergeCell ref="A65:D65"/>
    <mergeCell ref="A106:D106"/>
    <mergeCell ref="A114:E114"/>
    <mergeCell ref="A255:D255"/>
    <mergeCell ref="A243:D243"/>
    <mergeCell ref="A212:D212"/>
    <mergeCell ref="A140:E140"/>
    <mergeCell ref="A144:E144"/>
    <mergeCell ref="A163:E163"/>
    <mergeCell ref="A167:E167"/>
    <mergeCell ref="A189:E189"/>
    <mergeCell ref="A196:E196"/>
    <mergeCell ref="A201:E201"/>
    <mergeCell ref="A207:E207"/>
    <mergeCell ref="A210:F210"/>
  </mergeCells>
  <printOptions horizontalCentered="1"/>
  <pageMargins left="0" right="0" top="0" bottom="0" header="0.31496062992125984" footer="0.31496062992125984"/>
  <pageSetup horizontalDpi="600" verticalDpi="600" orientation="portrait" paperSize="9" scale="57" r:id="rId1"/>
  <rowBreaks count="2" manualBreakCount="2">
    <brk id="140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2017-01-19T12:39:57Z</dcterms:modified>
  <cp:category/>
  <cp:version/>
  <cp:contentType/>
  <cp:contentStatus/>
</cp:coreProperties>
</file>