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firstSheet="19" activeTab="22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KV 1 mell" sheetId="5" r:id="rId5"/>
    <sheet name="2 mell" sheetId="6" r:id="rId6"/>
    <sheet name="3. M " sheetId="7" r:id="rId7"/>
    <sheet name="4 mell" sheetId="8" r:id="rId8"/>
    <sheet name="5. M " sheetId="9" r:id="rId9"/>
    <sheet name="6. melléklet" sheetId="10" r:id="rId10"/>
    <sheet name="9 mell" sheetId="11" r:id="rId11"/>
    <sheet name="10.M  " sheetId="12" r:id="rId12"/>
    <sheet name="11.Mód" sheetId="13" r:id="rId13"/>
    <sheet name="14módosítás" sheetId="14" r:id="rId14"/>
    <sheet name="15ovi2015" sheetId="15" r:id="rId15"/>
    <sheet name="16művh2015" sheetId="16" r:id="rId16"/>
    <sheet name="17pmh2015" sheetId="17" r:id="rId17"/>
    <sheet name="18VÜKI" sheetId="18" r:id="rId18"/>
    <sheet name="19 önkormányzat" sheetId="19" r:id="rId19"/>
    <sheet name="20KÖT FEL" sheetId="20" r:id="rId20"/>
    <sheet name="21 céltartalék" sheetId="21" r:id="rId21"/>
    <sheet name="21 kötelező feladat" sheetId="22" state="hidden" r:id="rId22"/>
    <sheet name="ÖNK ÖSSZESITŐ" sheetId="23" r:id="rId23"/>
    <sheet name="Munkalap27" sheetId="24" state="hidden" r:id="rId24"/>
  </sheets>
  <definedNames>
    <definedName name="Excel_BuiltIn__FilterDatabase" localSheetId="19">'20KÖT FEL'!$A$9:$E$9</definedName>
    <definedName name="Excel_BuiltIn__FilterDatabase" localSheetId="21">NA()</definedName>
    <definedName name="Excel_BuiltIn__FilterDatabase" localSheetId="9">'6. melléklet'!$A$12:$I$32</definedName>
    <definedName name="Excel_BuiltIn__FilterDatabase" localSheetId="22">'ÖNK ÖSSZESITŐ'!$A$51:$D$89</definedName>
    <definedName name="Excel_BuiltIn_Print_Area" localSheetId="14">'15ovi2015'!$A$1:$D$64</definedName>
    <definedName name="Excel_BuiltIn_Print_Area" localSheetId="15">'16művh2015'!$A$1:$D$44</definedName>
    <definedName name="Excel_BuiltIn_Print_Area" localSheetId="16">'17pmh2015'!$A$1:$D$47</definedName>
    <definedName name="Excel_BuiltIn_Print_Area" localSheetId="17">'18VÜKI'!$A$1:$D$83</definedName>
    <definedName name="Excel_BuiltIn_Print_Area" localSheetId="18">'19 önkormányzat'!$A$1:$F$144</definedName>
    <definedName name="Excel_BuiltIn_Print_Area" localSheetId="0">'2'!$A$1:$A$21</definedName>
    <definedName name="Excel_BuiltIn_Print_Area" localSheetId="19">'20KÖT FEL'!$A$1:$E$51</definedName>
    <definedName name="Excel_BuiltIn_Print_Area" localSheetId="8">'5. M '!$A$1:$E$244</definedName>
    <definedName name="Excel_BuiltIn_Print_Area" localSheetId="4">'KV 1 mell'!$A$1:$F$58</definedName>
    <definedName name="Excel_BuiltIn_Print_Area" localSheetId="22">'ÖNK ÖSSZESITŐ'!$A$2:$D$110</definedName>
    <definedName name="_xlnm.Print_Titles" localSheetId="18">'19 önkormányzat'!$33:$34</definedName>
    <definedName name="_xlnm.Print_Titles" localSheetId="21">'21 kötelező feladat'!$1:$3</definedName>
    <definedName name="_xlnm.Print_Titles" localSheetId="8">'5. M '!$5:$12</definedName>
    <definedName name="_xlnm.Print_Titles" localSheetId="22">'ÖNK ÖSSZESITŐ'!$51:$52</definedName>
    <definedName name="_xlnm.Print_Area" localSheetId="11">'10.M  '!$A$1:$F$22</definedName>
    <definedName name="_xlnm.Print_Area" localSheetId="12">'11.Mód'!$A$1:$N$34</definedName>
    <definedName name="_xlnm.Print_Area" localSheetId="1">'12'!$A$1:$B$11</definedName>
    <definedName name="_xlnm.Print_Area" localSheetId="2">'14adóss'!$A$1:$G$30</definedName>
    <definedName name="_xlnm.Print_Area" localSheetId="3">'15 3éves'!$A$1:$E$55</definedName>
    <definedName name="_xlnm.Print_Area" localSheetId="14">'15ovi2015'!$A$1:$I$63</definedName>
    <definedName name="_xlnm.Print_Area" localSheetId="15">'16művh2015'!$A$1:$I$43</definedName>
    <definedName name="_xlnm.Print_Area" localSheetId="16">'17pmh2015'!$A$1:$I$46</definedName>
    <definedName name="_xlnm.Print_Area" localSheetId="17">'18VÜKI'!$A$1:$I$82</definedName>
    <definedName name="_xlnm.Print_Area" localSheetId="18">'19 önkormányzat'!$A$1:$I$143</definedName>
    <definedName name="_xlnm.Print_Area" localSheetId="0">'2'!$A$1:$D$21</definedName>
    <definedName name="_xlnm.Print_Area" localSheetId="5">'2 mell'!$A$1:$I$48</definedName>
    <definedName name="_xlnm.Print_Area" localSheetId="19">'20KÖT FEL'!$A$1:$Q$51</definedName>
    <definedName name="_xlnm.Print_Area" localSheetId="21">'21 kötelező feladat'!$A$1:$E$23</definedName>
    <definedName name="_xlnm.Print_Area" localSheetId="6">'3. M '!$A$1:$I$46</definedName>
    <definedName name="_xlnm.Print_Area" localSheetId="7">'4 mell'!$A$1:$H$80</definedName>
    <definedName name="_xlnm.Print_Area" localSheetId="8">'5. M '!$A$1:$H$248</definedName>
    <definedName name="_xlnm.Print_Area" localSheetId="9">'6. melléklet'!$A$1:$I$61</definedName>
    <definedName name="_xlnm.Print_Area" localSheetId="10">'9 mell'!$A$1:$P$32</definedName>
    <definedName name="_xlnm.Print_Area" localSheetId="4">'KV 1 mell'!$A$1:$I$68</definedName>
    <definedName name="_xlnm.Print_Area" localSheetId="22">'ÖNK ÖSSZESITŐ'!$A$2:$I$107</definedName>
  </definedNames>
  <calcPr fullCalcOnLoad="1"/>
</workbook>
</file>

<file path=xl/sharedStrings.xml><?xml version="1.0" encoding="utf-8"?>
<sst xmlns="http://schemas.openxmlformats.org/spreadsheetml/2006/main" count="2861" uniqueCount="965">
  <si>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</si>
  <si>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</si>
  <si>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</si>
  <si>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</si>
  <si>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</si>
  <si>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</si>
  <si>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</si>
  <si>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</si>
  <si>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</si>
  <si>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</si>
  <si>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</si>
  <si>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</si>
  <si>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</si>
  <si>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</si>
  <si>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</si>
  <si>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</si>
  <si>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</si>
  <si>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</si>
  <si>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</si>
  <si>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</si>
  <si>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</si>
  <si>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</si>
  <si>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</si>
  <si>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</si>
  <si>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</si>
  <si>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</si>
  <si>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</si>
  <si>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</si>
  <si>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</si>
  <si>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</si>
  <si>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</si>
  <si>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</si>
  <si>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</si>
  <si>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</si>
  <si>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</si>
  <si>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</si>
  <si>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</si>
  <si>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</si>
  <si>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</si>
  <si>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</si>
  <si>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</si>
  <si>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</si>
  <si>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</si>
  <si>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</si>
  <si>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</si>
  <si>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</si>
  <si>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</si>
  <si>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</si>
  <si>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</si>
  <si>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</si>
  <si>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</si>
  <si>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</si>
  <si>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</si>
  <si>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</si>
  <si>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</si>
  <si>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</si>
  <si>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</si>
  <si>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</si>
  <si>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</si>
  <si>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</si>
  <si>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</si>
  <si>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</si>
  <si>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</si>
  <si>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</si>
  <si>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</si>
  <si>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</si>
  <si>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</si>
  <si>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</si>
  <si>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</si>
  <si>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</si>
  <si>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</si>
  <si>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</si>
  <si>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</si>
  <si>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</si>
  <si>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</si>
  <si>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</si>
  <si>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</si>
  <si>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</si>
  <si>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</si>
  <si>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</si>
  <si>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</si>
  <si>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</si>
  <si>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</si>
  <si>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</si>
  <si>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</si>
  <si>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</si>
  <si>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</si>
  <si>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</si>
  <si>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</si>
  <si>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</si>
  <si>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</si>
  <si>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</si>
  <si>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</si>
  <si>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</si>
  <si>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</si>
  <si>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</si>
  <si>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</si>
  <si>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</si>
  <si>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</si>
  <si>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</si>
  <si>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</si>
  <si>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</si>
  <si>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</si>
  <si>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</si>
  <si>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</si>
  <si>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</si>
  <si>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</si>
  <si>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</si>
  <si>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</si>
  <si>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</si>
  <si>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</si>
  <si>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</si>
  <si>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</si>
  <si>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</si>
  <si>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</si>
  <si>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</si>
  <si>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</si>
  <si>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</si>
  <si>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</si>
  <si>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</si>
  <si>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</si>
  <si>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</si>
  <si>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</si>
  <si>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</si>
  <si>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</si>
  <si>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</si>
  <si>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</si>
  <si>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</si>
  <si>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</si>
  <si>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</si>
  <si>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</si>
  <si>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</si>
  <si>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</si>
  <si>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</si>
  <si>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</si>
  <si>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</si>
  <si>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</si>
  <si>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</si>
  <si>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</si>
  <si>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</si>
  <si>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</si>
  <si>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</si>
  <si>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</si>
  <si>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</si>
  <si>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</si>
  <si>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</si>
  <si>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</si>
  <si>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</si>
  <si>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</si>
  <si>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</si>
  <si>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</si>
  <si>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</si>
  <si>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</si>
  <si>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</si>
  <si>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</si>
  <si>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ezer Ft-ban</t>
  </si>
  <si>
    <t>Sor szám</t>
  </si>
  <si>
    <t>Bevételek</t>
  </si>
  <si>
    <t>2015. évi előirányzat</t>
  </si>
  <si>
    <t>2016. évi előirányzat</t>
  </si>
  <si>
    <t>2015. évi %-ában</t>
  </si>
  <si>
    <t xml:space="preserve">Módosított I. </t>
  </si>
  <si>
    <t>Módosított II.</t>
  </si>
  <si>
    <t>A</t>
  </si>
  <si>
    <t>B</t>
  </si>
  <si>
    <t>C</t>
  </si>
  <si>
    <t>D</t>
  </si>
  <si>
    <t>E</t>
  </si>
  <si>
    <t>F</t>
  </si>
  <si>
    <t>I.</t>
  </si>
  <si>
    <t>Intézményi működéssel kapcsolatos bevételek</t>
  </si>
  <si>
    <t>Általános forgalmi adó</t>
  </si>
  <si>
    <t>Kamat bevételek</t>
  </si>
  <si>
    <t>II.</t>
  </si>
  <si>
    <t>Önkormányzat sajátos működési bevételei</t>
  </si>
  <si>
    <t>Egyéb sajátos bevétel</t>
  </si>
  <si>
    <t>Bírság, pótlék</t>
  </si>
  <si>
    <t>III.</t>
  </si>
  <si>
    <t>Működési támogatások</t>
  </si>
  <si>
    <t>IV.</t>
  </si>
  <si>
    <t>V.</t>
  </si>
  <si>
    <t>Felhalmozási célú átvett pénzeszköz</t>
  </si>
  <si>
    <t>VI.</t>
  </si>
  <si>
    <t>Kölcsön törlesztés</t>
  </si>
  <si>
    <t>VII.</t>
  </si>
  <si>
    <t>Önkormányzat felhalmozási költségvetési támogatása</t>
  </si>
  <si>
    <t>VIII.</t>
  </si>
  <si>
    <t>Támogatásértékű bevételek</t>
  </si>
  <si>
    <t>Működési célú pénzeszköz átvétel</t>
  </si>
  <si>
    <t>Működési célú pénzeszköz á.v. ÁH-on kív.</t>
  </si>
  <si>
    <t>Költségvetési bevételek összesen</t>
  </si>
  <si>
    <t>IX.</t>
  </si>
  <si>
    <t>Finanszírozási bevételek</t>
  </si>
  <si>
    <t>Felhalmozási célú hitel felvétel</t>
  </si>
  <si>
    <t>Államháztartáson belüli megelőlegezés</t>
  </si>
  <si>
    <t>Lekötött bankbetétek</t>
  </si>
  <si>
    <t>X.</t>
  </si>
  <si>
    <t xml:space="preserve"> Költségvetési maradvány</t>
  </si>
  <si>
    <t>Ebből felhalmozási célú</t>
  </si>
  <si>
    <t xml:space="preserve">         működési célú</t>
  </si>
  <si>
    <t>BEVÉTELEK ÖSSZESEN</t>
  </si>
  <si>
    <t>Módosított I.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</si>
  <si>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</si>
  <si>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</si>
  <si>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</si>
  <si>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</si>
  <si>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</si>
  <si>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 xml:space="preserve">          Támogatásértékű kiadás áht-n belül</t>
  </si>
  <si>
    <t xml:space="preserve">           Működési célú támogatás</t>
  </si>
  <si>
    <t xml:space="preserve">           Szociális juttatás, ellátottak juttatása</t>
  </si>
  <si>
    <t>Elvonások befizetések</t>
  </si>
  <si>
    <t>Költségvetési kiadások</t>
  </si>
  <si>
    <t>Felhalmozási célú pénzeszköz átadás</t>
  </si>
  <si>
    <t>48.</t>
  </si>
  <si>
    <t>Államháztartáson belüli megelőlegezés visszafizetése</t>
  </si>
  <si>
    <t>49.</t>
  </si>
  <si>
    <t>50.</t>
  </si>
  <si>
    <t>Hiteltörlesztés, hitelkiváltás</t>
  </si>
  <si>
    <t>51.</t>
  </si>
  <si>
    <t>Finanszírozási kiadások</t>
  </si>
  <si>
    <t>52.</t>
  </si>
  <si>
    <t>KIADÁSOK ÖSSZESEN</t>
  </si>
  <si>
    <t xml:space="preserve">2.melléklet </t>
  </si>
  <si>
    <t>Herend Város Önkormányzat 2016. évi működési és felhalmozási mérlege</t>
  </si>
  <si>
    <t xml:space="preserve">                                                                                                                                                                 </t>
  </si>
  <si>
    <t>MEGNEVEZÉS</t>
  </si>
  <si>
    <t>Előirányzat változás</t>
  </si>
  <si>
    <t xml:space="preserve">E </t>
  </si>
  <si>
    <t>G</t>
  </si>
  <si>
    <t>Intézményi működési bevételek</t>
  </si>
  <si>
    <t>Önkormányzat sajátos működési bevételei (helyi és átengedett adók)</t>
  </si>
  <si>
    <t>Költségvetési támogatás</t>
  </si>
  <si>
    <t>Előző évi költségvetési maradvány</t>
  </si>
  <si>
    <t>Kölcsön  törlesztés</t>
  </si>
  <si>
    <t>Működési bevételek összesen</t>
  </si>
  <si>
    <t>Munkaadói járulék</t>
  </si>
  <si>
    <t>Dologi és egyéb folyó kiadások</t>
  </si>
  <si>
    <t>Támogatásértékű kiadás</t>
  </si>
  <si>
    <t>Működési célú pénzeszköz átadás ÁH-on kiv.</t>
  </si>
  <si>
    <t>Szociális juttatások</t>
  </si>
  <si>
    <t>Elvonások, befizetések</t>
  </si>
  <si>
    <t>Működési kiadások összesen</t>
  </si>
  <si>
    <t>Finanszírozási bevétel</t>
  </si>
  <si>
    <t>Államháztartáson belüli megelőlegezés visszafizetés</t>
  </si>
  <si>
    <t>Lekötött bankbetétek megszüntetése</t>
  </si>
  <si>
    <t>Hiteltörlesztés</t>
  </si>
  <si>
    <t>Kommunális adó</t>
  </si>
  <si>
    <t>Felhalmozási célú hitel felvétele</t>
  </si>
  <si>
    <t xml:space="preserve">Önkormányzati lakásértékesítés </t>
  </si>
  <si>
    <t>Felhalmozási pénzmaradvány</t>
  </si>
  <si>
    <t>Felhalmozási bevételek összesen</t>
  </si>
  <si>
    <t>Felújítás, beruházás</t>
  </si>
  <si>
    <t>Felhalmozási kiadások összesen</t>
  </si>
  <si>
    <t xml:space="preserve"> BEVÉTELEK ÖSSZESEN</t>
  </si>
  <si>
    <t>KÖLTSÉGVETÉSI KIADÁSOK ÖSSZESEN</t>
  </si>
  <si>
    <t xml:space="preserve">3.melléklet </t>
  </si>
  <si>
    <t>Herend Város Önkormányzat 2016. évi bevételi előirányzatai forrásonként</t>
  </si>
  <si>
    <t>Előirányzat változás %</t>
  </si>
  <si>
    <t>Átengedett közponit adók</t>
  </si>
  <si>
    <t>Önkormányzatok sajátos működési bevételei összesen</t>
  </si>
  <si>
    <t>Normatív támogatások</t>
  </si>
  <si>
    <t>Normatív kötött támogatások</t>
  </si>
  <si>
    <t>Központosított támogatások</t>
  </si>
  <si>
    <t>Egyéb központi támogatás</t>
  </si>
  <si>
    <t>Támogatások összesen</t>
  </si>
  <si>
    <t>Tárgyi eszközök , immateriális javak értékesítése</t>
  </si>
  <si>
    <t>Felhalmozási célú pénzeszköz átvétele</t>
  </si>
  <si>
    <t>Felhalmozási költségvetési maradvány</t>
  </si>
  <si>
    <t>OEP finanszírozás egészségügy működtetésre</t>
  </si>
  <si>
    <t>Elkülönített állami pénzalaptól pénzeszköz átvétel</t>
  </si>
  <si>
    <t>Önkormányzati költségvetési szervtől</t>
  </si>
  <si>
    <t>Központi költségvetési szervtől</t>
  </si>
  <si>
    <t>Előző évi költségvetési elszámolás</t>
  </si>
  <si>
    <t>Működési célú pénzeszköz átvétel Áh-on kiv.</t>
  </si>
  <si>
    <t>Véglegesen átvett pénzeszköz összesen</t>
  </si>
  <si>
    <t>Lekötött bankbetét</t>
  </si>
  <si>
    <t>Költségvetési maradvány</t>
  </si>
  <si>
    <t>XI.</t>
  </si>
  <si>
    <t>Felhalmozási célú hitel</t>
  </si>
  <si>
    <t xml:space="preserve">4.melléklet </t>
  </si>
  <si>
    <t>Herend Város Önkormányzat önállóan működő intézményei bevétele</t>
  </si>
  <si>
    <t>Önkormányzat</t>
  </si>
  <si>
    <t xml:space="preserve">2015.évi előirányzat   </t>
  </si>
  <si>
    <t>Működési bevétel</t>
  </si>
  <si>
    <t>Lakóingatlan bérbeadás</t>
  </si>
  <si>
    <t>Nem lakóingatlan bérbeadás</t>
  </si>
  <si>
    <t>Sportlétesítmény bérbeadás</t>
  </si>
  <si>
    <t>Állategészségügyi ellátás</t>
  </si>
  <si>
    <t>Temetőfenntartás</t>
  </si>
  <si>
    <t>Adóbevételek, és pótlék bírság bevétel</t>
  </si>
  <si>
    <t>ebből Polgármesteri Hivatal támogatása</t>
  </si>
  <si>
    <t xml:space="preserve">    Óvoda és bölcsőde működtetésre</t>
  </si>
  <si>
    <t xml:space="preserve">    Családsegítő szolgálat támogatása</t>
  </si>
  <si>
    <t xml:space="preserve">     Intézményi étkeztetés támogatás</t>
  </si>
  <si>
    <t xml:space="preserve">     Önkormányzati feladatok támogatása</t>
  </si>
  <si>
    <t>Kötött támogatások és egyéb támogatások</t>
  </si>
  <si>
    <t>ebből Művelődési ház támogatása</t>
  </si>
  <si>
    <t>Működéscélú péneszközátvétel  államháztartáson kívülről</t>
  </si>
  <si>
    <t xml:space="preserve">OEP finanszírozás </t>
  </si>
  <si>
    <t>Kamatbevétel</t>
  </si>
  <si>
    <t>Ingatlan,immateriális javak, tárgyi eszk. Értékesítés</t>
  </si>
  <si>
    <t>Értékesített telkek közmű hj</t>
  </si>
  <si>
    <t>Átvett pénzeszközök felhalmozásra</t>
  </si>
  <si>
    <t>Felhalmozási célú támogatások</t>
  </si>
  <si>
    <t>Felhalmozási célú hitelfelvétel</t>
  </si>
  <si>
    <t>Kölcsön visszatérülés, igénybe vétel</t>
  </si>
  <si>
    <t>Önkormányzat összesen</t>
  </si>
  <si>
    <t>Polgármesteri Hivatal</t>
  </si>
  <si>
    <t>Működési célú támogatások (választás)</t>
  </si>
  <si>
    <t>Hivatali működés támogatása elismert létszám alapján</t>
  </si>
  <si>
    <t>Herend önk.támogatása</t>
  </si>
  <si>
    <t>Polgármesteri Hivatal összesen</t>
  </si>
  <si>
    <t>Herendi Hétszínvilág Óvoda és Bölcsőde</t>
  </si>
  <si>
    <t>Óvodai intézményi ellátási díj bevétel</t>
  </si>
  <si>
    <t>Bölcsődei intézményi ellátási díj bevétel</t>
  </si>
  <si>
    <t>Óvodai alkalmazottak étkezés térítése</t>
  </si>
  <si>
    <t>ÁFA bevételek</t>
  </si>
  <si>
    <t xml:space="preserve">Óvoda működési bevétele </t>
  </si>
  <si>
    <t>Működési célú átvett pénzeszköz</t>
  </si>
  <si>
    <t xml:space="preserve">Költségvetési támogatás </t>
  </si>
  <si>
    <t>Támogatás, átvett pénzeszközök összesen</t>
  </si>
  <si>
    <t>Óvoda bevétele összesen</t>
  </si>
  <si>
    <t>Művelődési Ház és Könyvtár</t>
  </si>
  <si>
    <t>Helyiségek bérbeadása</t>
  </si>
  <si>
    <t>Művelődési ház bevétele összesen</t>
  </si>
  <si>
    <t>Herendi Városüzemeltetési Közszolgáltató Intézmény</t>
  </si>
  <si>
    <t>Egyéb működési célú támogatás</t>
  </si>
  <si>
    <t>Herendi Városüzemeltetési Közszolgáltató Intézmény bevétele összesen</t>
  </si>
  <si>
    <t>ÖNKORMÁNYZAT ÖSSZESEN</t>
  </si>
  <si>
    <t xml:space="preserve">5.melléklet </t>
  </si>
  <si>
    <t>Herend Város Önkormányzat és költségvetési szervei 2016. évi működési és felhalmozási  kiadási előirányzatai  kormányzati funkciónként</t>
  </si>
  <si>
    <t>Szakfeladat</t>
  </si>
  <si>
    <t>2016. Engedélyezett létszám</t>
  </si>
  <si>
    <t>2016.évi előirányzat</t>
  </si>
  <si>
    <t>ÖNKORMÁNYZATI FELADATOK</t>
  </si>
  <si>
    <t>Televízió-műsor szolg. És tám.</t>
  </si>
  <si>
    <t>Ebből: Dologi kiadás</t>
  </si>
  <si>
    <t>Lakóingatlan hasznosítás</t>
  </si>
  <si>
    <t xml:space="preserve">          Felhalmozási kiadás</t>
  </si>
  <si>
    <t>Önkormányzati vagyonnal való gazd.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</si>
  <si>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</si>
  <si>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</si>
  <si>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</si>
  <si>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</si>
  <si>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</si>
  <si>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</si>
  <si>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</si>
  <si>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</si>
  <si>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</si>
  <si>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</si>
  <si>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Pénzeszköz átadás társulásnak</t>
  </si>
  <si>
    <t>Nonprofit szervezetek támogatása</t>
  </si>
  <si>
    <t>Közvetett támogatások</t>
  </si>
  <si>
    <t>Önkormányzat által folyósított ellátások</t>
  </si>
  <si>
    <t>Köztemetés , és dologi</t>
  </si>
  <si>
    <t>Rendszeres szociális segély</t>
  </si>
  <si>
    <t>Lakásfenntartási támogatás</t>
  </si>
  <si>
    <t>Települési támogatások</t>
  </si>
  <si>
    <t>- önkormányzati segély</t>
  </si>
  <si>
    <t>- lakhatáshoz kapcsolódó támogatás</t>
  </si>
  <si>
    <t>- Gyógyszerkiadásokhoz kapcsolódó támogatás</t>
  </si>
  <si>
    <t>- temetési kiadásokhoz kapcsolódó támogatás</t>
  </si>
  <si>
    <t>- Rendkívüli települési támogatás</t>
  </si>
  <si>
    <t>Átmeneti segély</t>
  </si>
  <si>
    <t>Természetben nyújtott átmeneti</t>
  </si>
  <si>
    <t>Temetési segély</t>
  </si>
  <si>
    <t>Rendkivüli gyermekvédelmi támogatás</t>
  </si>
  <si>
    <t>Foglalkozás helyettesítő támogatás</t>
  </si>
  <si>
    <t>Egyéb pénzbeli ellátás</t>
  </si>
  <si>
    <t>Közgyógy ellátás</t>
  </si>
  <si>
    <t>Önkormányzati ig tevékenység</t>
  </si>
  <si>
    <t>53.</t>
  </si>
  <si>
    <t>54.</t>
  </si>
  <si>
    <t>55.</t>
  </si>
  <si>
    <t xml:space="preserve">          Tartalékok</t>
  </si>
  <si>
    <t>56.</t>
  </si>
  <si>
    <t>Beruházás</t>
  </si>
  <si>
    <t>57.</t>
  </si>
  <si>
    <t>Egyéb műkődési célú kiadások</t>
  </si>
  <si>
    <t>58.</t>
  </si>
  <si>
    <t>59.</t>
  </si>
  <si>
    <t>60.</t>
  </si>
  <si>
    <t>61.</t>
  </si>
  <si>
    <t>Elvonások,befizetések</t>
  </si>
  <si>
    <t>62.</t>
  </si>
  <si>
    <t>Önkormányzatok elszámolásai</t>
  </si>
  <si>
    <t>63.</t>
  </si>
  <si>
    <t>64.</t>
  </si>
  <si>
    <t>Közfoglalkoztatás hosszabb időtartamban</t>
  </si>
  <si>
    <t>65.</t>
  </si>
  <si>
    <t>66.</t>
  </si>
  <si>
    <t>67.</t>
  </si>
  <si>
    <t>68.</t>
  </si>
  <si>
    <t>Város és község gazdálkodás</t>
  </si>
  <si>
    <t>69.</t>
  </si>
  <si>
    <t>70.</t>
  </si>
  <si>
    <t>71.</t>
  </si>
  <si>
    <t>Téli közfoglalkoztatás</t>
  </si>
  <si>
    <t>72.</t>
  </si>
  <si>
    <t>73.</t>
  </si>
  <si>
    <t>74.</t>
  </si>
  <si>
    <t>75.</t>
  </si>
  <si>
    <t>Önkormányzatok elszámolásai költségvetési szerveikkel</t>
  </si>
  <si>
    <t>76.</t>
  </si>
  <si>
    <t xml:space="preserve">        Intézményfinanszírozás</t>
  </si>
  <si>
    <t>77.</t>
  </si>
  <si>
    <t>78.</t>
  </si>
  <si>
    <t>79.</t>
  </si>
  <si>
    <t>80.</t>
  </si>
  <si>
    <t>81.</t>
  </si>
  <si>
    <t>82.</t>
  </si>
  <si>
    <t xml:space="preserve">         Önkormányzat által folyósított ellátások</t>
  </si>
  <si>
    <t>83.</t>
  </si>
  <si>
    <t xml:space="preserve">         Felhalmozási kiadás</t>
  </si>
  <si>
    <t>84.</t>
  </si>
  <si>
    <t xml:space="preserve">         Finanszírozási műveletek</t>
  </si>
  <si>
    <t>85.</t>
  </si>
  <si>
    <t>86.</t>
  </si>
  <si>
    <t>87.</t>
  </si>
  <si>
    <t>88.</t>
  </si>
  <si>
    <t>89.</t>
  </si>
  <si>
    <t>90.</t>
  </si>
  <si>
    <t>Működési célú visszatérítendő kölcsön</t>
  </si>
  <si>
    <t>91.</t>
  </si>
  <si>
    <t>POLGÁRMESTERI HIVATAL</t>
  </si>
  <si>
    <t>92.</t>
  </si>
  <si>
    <t>93.</t>
  </si>
  <si>
    <t>94.</t>
  </si>
  <si>
    <t>95.</t>
  </si>
  <si>
    <t>96.</t>
  </si>
  <si>
    <t>97.</t>
  </si>
  <si>
    <t>98.</t>
  </si>
  <si>
    <t>Adó, vám és jővedéki igazgatás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</si>
  <si>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</si>
  <si>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</si>
  <si>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</si>
  <si>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</si>
  <si>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</si>
  <si>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</si>
  <si>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</si>
  <si>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</si>
  <si>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</si>
  <si>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</si>
  <si>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HÉTSZÍNVILÁG ÓVODA ÉS BÖLCSŐDE</t>
  </si>
  <si>
    <t>Óvodai intézményi étkeztetés</t>
  </si>
  <si>
    <t>109.</t>
  </si>
  <si>
    <t>110.</t>
  </si>
  <si>
    <t>111.</t>
  </si>
  <si>
    <t>112.</t>
  </si>
  <si>
    <t>Étkeztetés a bölcsödében</t>
  </si>
  <si>
    <t>113.</t>
  </si>
  <si>
    <t>114.</t>
  </si>
  <si>
    <t>115.</t>
  </si>
  <si>
    <t>116.</t>
  </si>
  <si>
    <t>Óvodai nevelés, iskola előkészítés</t>
  </si>
  <si>
    <t>117.</t>
  </si>
  <si>
    <t>118.</t>
  </si>
  <si>
    <t>119.</t>
  </si>
  <si>
    <t>120.</t>
  </si>
  <si>
    <t>121.</t>
  </si>
  <si>
    <t>Sajátos nev.</t>
  </si>
  <si>
    <t>122.</t>
  </si>
  <si>
    <t>123.</t>
  </si>
  <si>
    <t>124.</t>
  </si>
  <si>
    <t>125.</t>
  </si>
  <si>
    <t>Nemzetiségi óvodai nevelés</t>
  </si>
  <si>
    <t>126.</t>
  </si>
  <si>
    <t>127.</t>
  </si>
  <si>
    <t>128.</t>
  </si>
  <si>
    <t>129.</t>
  </si>
  <si>
    <t>Bölcsődei ellátás</t>
  </si>
  <si>
    <t>130.</t>
  </si>
  <si>
    <t>131.</t>
  </si>
  <si>
    <t>132.</t>
  </si>
  <si>
    <t>133.</t>
  </si>
  <si>
    <t>134.</t>
  </si>
  <si>
    <t>Óvodai ellátás működtetés</t>
  </si>
  <si>
    <t>135.</t>
  </si>
  <si>
    <t>136.</t>
  </si>
  <si>
    <t xml:space="preserve">           Járulékok</t>
  </si>
  <si>
    <t>137.</t>
  </si>
  <si>
    <t xml:space="preserve">           Dologi</t>
  </si>
  <si>
    <t>138.</t>
  </si>
  <si>
    <t>139.</t>
  </si>
  <si>
    <t>Óvodai nevelés összesen</t>
  </si>
  <si>
    <t>140.</t>
  </si>
  <si>
    <t>141.</t>
  </si>
  <si>
    <t>142.</t>
  </si>
  <si>
    <t>143.</t>
  </si>
  <si>
    <t>144.</t>
  </si>
  <si>
    <t>145.</t>
  </si>
  <si>
    <t>MŰVELŐDÉSI HÁZ ÉS KÖNYVTÁR</t>
  </si>
  <si>
    <t>146.</t>
  </si>
  <si>
    <t>Közművelődési intézmény működtetése</t>
  </si>
  <si>
    <t>147.</t>
  </si>
  <si>
    <t>148.</t>
  </si>
  <si>
    <t>149.</t>
  </si>
  <si>
    <t>150.</t>
  </si>
  <si>
    <t>151.</t>
  </si>
  <si>
    <t>Könyvtár</t>
  </si>
  <si>
    <t>152.</t>
  </si>
  <si>
    <t>153.</t>
  </si>
  <si>
    <t>154.</t>
  </si>
  <si>
    <t>155.</t>
  </si>
  <si>
    <t>Művelődési ház és könyvtár összesen</t>
  </si>
  <si>
    <t>156.</t>
  </si>
  <si>
    <t>157.</t>
  </si>
  <si>
    <t>158.</t>
  </si>
  <si>
    <t>159.</t>
  </si>
  <si>
    <t>160.</t>
  </si>
  <si>
    <t>161.</t>
  </si>
  <si>
    <t>Gyermekétkeztetés köznevelési intézményben</t>
  </si>
  <si>
    <t>162.</t>
  </si>
  <si>
    <t>163.</t>
  </si>
  <si>
    <t>164.</t>
  </si>
  <si>
    <t>165.</t>
  </si>
  <si>
    <t>Munkahelyi étkezés köznevelési intézményben</t>
  </si>
  <si>
    <t>166.</t>
  </si>
  <si>
    <t>167.</t>
  </si>
  <si>
    <t>168.</t>
  </si>
  <si>
    <t>169.</t>
  </si>
  <si>
    <t>Intézményen kívüli gyermekétkeztetés</t>
  </si>
  <si>
    <t>170.</t>
  </si>
  <si>
    <t>171.</t>
  </si>
  <si>
    <t>172.</t>
  </si>
  <si>
    <t>173.</t>
  </si>
  <si>
    <t>174.</t>
  </si>
  <si>
    <t>Közutak,hidak üzemeltetése</t>
  </si>
  <si>
    <t>175.</t>
  </si>
  <si>
    <t>176.</t>
  </si>
  <si>
    <t>177.</t>
  </si>
  <si>
    <t>Köztemető fenntartás</t>
  </si>
  <si>
    <t>178.</t>
  </si>
  <si>
    <t>179.</t>
  </si>
  <si>
    <t>180.</t>
  </si>
  <si>
    <t>181.</t>
  </si>
  <si>
    <t>182.</t>
  </si>
  <si>
    <t>183.</t>
  </si>
  <si>
    <t>184.</t>
  </si>
  <si>
    <t>Sportlétesítmények fenntartása</t>
  </si>
  <si>
    <t>185.</t>
  </si>
  <si>
    <t>186.</t>
  </si>
  <si>
    <t>187.</t>
  </si>
  <si>
    <t>188.</t>
  </si>
  <si>
    <t>Állategészségügy</t>
  </si>
  <si>
    <t>189.</t>
  </si>
  <si>
    <t>190.</t>
  </si>
  <si>
    <t>Iskola működtetése</t>
  </si>
  <si>
    <t>191.</t>
  </si>
  <si>
    <t>192.</t>
  </si>
  <si>
    <t>193.</t>
  </si>
  <si>
    <t>194.</t>
  </si>
  <si>
    <t xml:space="preserve">           beruházás</t>
  </si>
  <si>
    <t>195.</t>
  </si>
  <si>
    <t>Zöldterület fenntartása</t>
  </si>
  <si>
    <t>196.</t>
  </si>
  <si>
    <t>197.</t>
  </si>
  <si>
    <t>198.</t>
  </si>
  <si>
    <t>199.</t>
  </si>
  <si>
    <t>200.</t>
  </si>
  <si>
    <t>201.</t>
  </si>
  <si>
    <t xml:space="preserve">           Beruházás</t>
  </si>
  <si>
    <t>202.</t>
  </si>
  <si>
    <t>203.</t>
  </si>
  <si>
    <t>204.</t>
  </si>
  <si>
    <t>205.</t>
  </si>
  <si>
    <t>206.</t>
  </si>
  <si>
    <t>207.</t>
  </si>
  <si>
    <t>ÖNKORMÁNYZAT ÉS INTÉZMÉNYEI ÖSSZESEN</t>
  </si>
  <si>
    <t>208.</t>
  </si>
  <si>
    <t>209.</t>
  </si>
  <si>
    <t>210.</t>
  </si>
  <si>
    <t>211.</t>
  </si>
  <si>
    <t xml:space="preserve">          Működési célú pénzeszköz             átadás</t>
  </si>
  <si>
    <t>212.</t>
  </si>
  <si>
    <t xml:space="preserve">          Önkormányzat által folyósított ellátások</t>
  </si>
  <si>
    <t>213.</t>
  </si>
  <si>
    <t>214.</t>
  </si>
  <si>
    <t xml:space="preserve">          Finanszírozási kiadások</t>
  </si>
  <si>
    <t>215.</t>
  </si>
  <si>
    <t xml:space="preserve">          Tartalék</t>
  </si>
  <si>
    <t>216.</t>
  </si>
  <si>
    <t>217.</t>
  </si>
  <si>
    <t>218.</t>
  </si>
  <si>
    <t>219.</t>
  </si>
  <si>
    <t xml:space="preserve">6.melléklet </t>
  </si>
  <si>
    <t>Herend Város Önkormányzat 2016.évi felhalmozási kiadások előirányzata feladatonként</t>
  </si>
  <si>
    <t>Beruházás megnevezés</t>
  </si>
  <si>
    <t>2016. évi módosított I.</t>
  </si>
  <si>
    <t>2016. évi módosított II.</t>
  </si>
  <si>
    <t xml:space="preserve">A </t>
  </si>
  <si>
    <t>Felújítás</t>
  </si>
  <si>
    <t>Művelődési ház szennyvízelvezető r. és vészkijárat felújítás</t>
  </si>
  <si>
    <t>Polgármesteri Hivatal épület lábazatának mészkő burkolása</t>
  </si>
  <si>
    <t>Iskola tornacsarnok terasz szigetelés</t>
  </si>
  <si>
    <t>Herendi Művelődési ház villamos főelosztó kiépítése, energiaellátás szabványosítása</t>
  </si>
  <si>
    <t>Herendi Hétszínvilág Óvoda és Bölcsőde villamos főelosztó kiépítése, szabványosítás</t>
  </si>
  <si>
    <t>Polgármesteri Hiv. gép, berendezés</t>
  </si>
  <si>
    <t>Herendi Hétszínvilág Óvoda és Bölcsőde inf. Gép beszerzés</t>
  </si>
  <si>
    <t>Herendi Hétszínvilág Óvoda és bölcsőde egyéb gép vásárlás</t>
  </si>
  <si>
    <t>Herend 795/29 hrsz.-ú lakóutca vízellátása és szennyvízelvezetése</t>
  </si>
  <si>
    <t>Kossuth utcai ivóvízvezeték cserére</t>
  </si>
  <si>
    <t>Egyéb gép, berendezés iskola</t>
  </si>
  <si>
    <t>Egyéb gép, berendezés városüzemeltetés</t>
  </si>
  <si>
    <t>Herendi Hétszínvilág Óvoda és Bölcsőde épületének tető cseréje</t>
  </si>
  <si>
    <t>Önkormányzat egyéb , géb berendezés (ajtó, számítógép)</t>
  </si>
  <si>
    <t>Eon Kossuth utca villanyoszlop csere</t>
  </si>
  <si>
    <t>CGR program f</t>
  </si>
  <si>
    <t>7.melléklet</t>
  </si>
  <si>
    <t xml:space="preserve">Herend Város Önkormányzat 2016.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</si>
  <si>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</si>
  <si>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</si>
  <si>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</si>
  <si>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</si>
  <si>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</si>
  <si>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</si>
  <si>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Kisebbség rezsi</t>
  </si>
  <si>
    <t>Rendőrség rezsi</t>
  </si>
  <si>
    <t>Fogorvos rezsi</t>
  </si>
  <si>
    <t>Lakosság</t>
  </si>
  <si>
    <t>8.melléklet</t>
  </si>
  <si>
    <t>2016. évi működési és felhalmozási bevételek mérlegszerűen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</si>
  <si>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</si>
  <si>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</si>
  <si>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</si>
  <si>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</si>
  <si>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</si>
  <si>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</si>
  <si>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</si>
  <si>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</si>
  <si>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</si>
  <si>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</si>
  <si>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Munkaadókat terhelő járulék</t>
  </si>
  <si>
    <t>Dologi kiadás</t>
  </si>
  <si>
    <t>Önkormányzatok sajátos műk. Bev.</t>
  </si>
  <si>
    <t>Egyéb folyó kiadások</t>
  </si>
  <si>
    <t>Működési célú hitelek felvétele</t>
  </si>
  <si>
    <t>Támogatás értékű működési kiadások</t>
  </si>
  <si>
    <t xml:space="preserve">Államháztartáson belüli megelőlegezés </t>
  </si>
  <si>
    <t>Támogatásértékű bevételek működési célra</t>
  </si>
  <si>
    <t>Ellátottak juttatásai</t>
  </si>
  <si>
    <t>Társadalom és szociálpolitikai jutt.</t>
  </si>
  <si>
    <t>Költségvetési támogatásból intézményeknek</t>
  </si>
  <si>
    <t>Felügyelet alá tart kv.szerv tám.</t>
  </si>
  <si>
    <t>OEP finanszírozás</t>
  </si>
  <si>
    <t>Önkormányzati támogatás</t>
  </si>
  <si>
    <t>Felhalmozási bevétel, ingataln értékesítés</t>
  </si>
  <si>
    <t>Normatív hozzáj felhalm. célú része</t>
  </si>
  <si>
    <t>Támogatás értékű felhalm. kiadások</t>
  </si>
  <si>
    <t>Helyi adó felhalmozási célra</t>
  </si>
  <si>
    <t>Pénzeszköz átadások</t>
  </si>
  <si>
    <t>Önkormányztai támogatás felhalmozási célú</t>
  </si>
  <si>
    <t>Értékpapír vásárlása</t>
  </si>
  <si>
    <t>Felhalmozás célú hitel</t>
  </si>
  <si>
    <t>Céltartalék</t>
  </si>
  <si>
    <t>Kölcsön visszatérülés</t>
  </si>
  <si>
    <t>Kamatkiadás</t>
  </si>
  <si>
    <t>Felhalmozási célú pe. Átvétel áht-n belül</t>
  </si>
  <si>
    <t>Kiadások mindösszesen:</t>
  </si>
  <si>
    <t>Bevételek mindösszesen:</t>
  </si>
  <si>
    <t>2016. évi előirányzat felhasználási ütemterv</t>
  </si>
  <si>
    <t>Adatok  ezer 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</si>
  <si>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</si>
  <si>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</si>
  <si>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</si>
  <si>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</si>
  <si>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</si>
  <si>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</si>
  <si>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</si>
  <si>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</si>
  <si>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</si>
  <si>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</si>
  <si>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</si>
  <si>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</si>
  <si>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</si>
  <si>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Sajátos bevételek</t>
  </si>
  <si>
    <t>Átvett pénzeszköz</t>
  </si>
  <si>
    <t>Felhalmozási hitelfelvétel</t>
  </si>
  <si>
    <t>Felhalmozási célú pénzeszköz átvétel</t>
  </si>
  <si>
    <t>Lekötött betét</t>
  </si>
  <si>
    <t>Összes bevétel</t>
  </si>
  <si>
    <t>Működési kiadás</t>
  </si>
  <si>
    <t>Támogatásértékű pe átadás áht-n belül</t>
  </si>
  <si>
    <t>Működési célú pe. Átadás áht-n kívül</t>
  </si>
  <si>
    <t>Lekötött betét megszüntetése</t>
  </si>
  <si>
    <t>Összes kiadás</t>
  </si>
  <si>
    <t>Havi egyenleg</t>
  </si>
  <si>
    <t>Halmozott egyenleg</t>
  </si>
  <si>
    <t>H</t>
  </si>
  <si>
    <t>2016-2018 évre tervezett bevételei és kiadásai</t>
  </si>
  <si>
    <t>Adatok  ezer Ft-ban</t>
  </si>
  <si>
    <t>2016.év</t>
  </si>
  <si>
    <t>2017.év</t>
  </si>
  <si>
    <t>2018. év</t>
  </si>
  <si>
    <t>2019. év</t>
  </si>
  <si>
    <t>Felhalmozási célú átvett pénzeszközök</t>
  </si>
  <si>
    <t>Elvonások , befizetések</t>
  </si>
  <si>
    <t>Hiteltőrlesztés</t>
  </si>
  <si>
    <t>Herendi Hétszínvilág Óvoda és Bölcsőde költségvetése</t>
  </si>
  <si>
    <t>2016. évi módosított I. előirányzat</t>
  </si>
  <si>
    <t>2016. évi módosított II. előirányzat</t>
  </si>
  <si>
    <t>Óvodai alkalmazottak térítési díja</t>
  </si>
  <si>
    <t>Egyéb működési bevételek</t>
  </si>
  <si>
    <t>Működési célú átvett pénzeszköz, támgatások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</si>
  <si>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</si>
  <si>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</si>
  <si>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</si>
  <si>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</si>
  <si>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</si>
  <si>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>Finanszírozási bevétek</t>
  </si>
  <si>
    <t xml:space="preserve">Létszám </t>
  </si>
  <si>
    <t>Étkeztetés bölcsődében</t>
  </si>
  <si>
    <t>Munkahelyi étkeztetés</t>
  </si>
  <si>
    <t>Sajátos nevelési ig</t>
  </si>
  <si>
    <t>VII:</t>
  </si>
  <si>
    <t>Ebből: személyi juttatás</t>
  </si>
  <si>
    <t>Járulékok</t>
  </si>
  <si>
    <t>Óvodai kiadás összesen</t>
  </si>
  <si>
    <t>16. melléklet</t>
  </si>
  <si>
    <t>Herendi Művelődési Ház és Könyvtár  költségvetése</t>
  </si>
  <si>
    <t xml:space="preserve">Intézmény finanszírozás </t>
  </si>
  <si>
    <t>Létszám</t>
  </si>
  <si>
    <t>Művelődési ház és könyvtár kiadások összesen</t>
  </si>
  <si>
    <t>17. melléklet</t>
  </si>
  <si>
    <t>Herend Város Polgármesteri Hivatal  költségvetése</t>
  </si>
  <si>
    <t>Módosított I</t>
  </si>
  <si>
    <t>Saját működési bevétel</t>
  </si>
  <si>
    <t>Működési célú támogatások</t>
  </si>
  <si>
    <t>előző évi költségvetési maradvány</t>
  </si>
  <si>
    <t xml:space="preserve">         Önkormányzati forrás</t>
  </si>
  <si>
    <t>Országgyűlési választás</t>
  </si>
  <si>
    <t>módosított I.</t>
  </si>
  <si>
    <t>módosított II.</t>
  </si>
  <si>
    <t>Egyéb működési célú pe. Átvétel</t>
  </si>
  <si>
    <t>KIADÁSOK  Kormányzati funkció</t>
  </si>
  <si>
    <t>Munkahelyi étkeztetés köznevelési intézményben</t>
  </si>
  <si>
    <t>Közutak, hidak üzemeltetése</t>
  </si>
  <si>
    <t>Köztemető fennt. Üzemeltetés</t>
  </si>
  <si>
    <t>Önkormányztai vagyonnal való gazdálkodás</t>
  </si>
  <si>
    <t>Egyéb város és k gazd.</t>
  </si>
  <si>
    <t>Sport</t>
  </si>
  <si>
    <t>Iskola működtetés</t>
  </si>
  <si>
    <t>Ebből Dologi kiadás</t>
  </si>
  <si>
    <t>Herendi Városüzemeltetési Közszolgáltató Intézmény összesen</t>
  </si>
  <si>
    <t>Herend Város Önkormányzat  költségvetése</t>
  </si>
  <si>
    <t>Adóbevételek</t>
  </si>
  <si>
    <t>Költségvetési támogatás (normatív és lakosságsz.)</t>
  </si>
  <si>
    <t>Átvett pénzeszközök, támogatások (közfogi)</t>
  </si>
  <si>
    <t>Működési célú pénzeszközátvétel államháztartáson kívülről</t>
  </si>
  <si>
    <t xml:space="preserve">OEP finanszírozás  </t>
  </si>
  <si>
    <t>Önkormányzati lakásértékesítés bevétel</t>
  </si>
  <si>
    <t>Felhalmozási bevétel, ingatlanértékesítésből</t>
  </si>
  <si>
    <t>Értékesített telkek közműhj áthárítás</t>
  </si>
  <si>
    <t>Felhalmozási bevétel tárgyi eszköz értékesítés</t>
  </si>
  <si>
    <t>Kölcsön visszatérülése</t>
  </si>
  <si>
    <t>Hosszú lejáratú hitelek, kölcsönök felvétele p.ü. Vál.</t>
  </si>
  <si>
    <t>083050-1 Televízió-műsor szolg. és tám.</t>
  </si>
  <si>
    <t>013350-1 Önkormányzati vagyonnal való gazd.</t>
  </si>
  <si>
    <t>Köztemető</t>
  </si>
  <si>
    <t xml:space="preserve">          dologi kiadások</t>
  </si>
  <si>
    <t>Állat egészségügy</t>
  </si>
  <si>
    <t>Szennyvíz gyűjtése</t>
  </si>
  <si>
    <t>Közutak hidak üzemeltetése</t>
  </si>
  <si>
    <t>064010-1 Közvilágítás</t>
  </si>
  <si>
    <t>XII.</t>
  </si>
  <si>
    <t>Iskola eü. Egyéb egészségügyi ellátás</t>
  </si>
  <si>
    <t>XIII.</t>
  </si>
  <si>
    <t>Könyvtári szolgáltatások</t>
  </si>
  <si>
    <t>egyéb mükődéi kiadások</t>
  </si>
  <si>
    <t>XIV.</t>
  </si>
  <si>
    <t>Pénzeszköz átadás (Cssk-Társulás)</t>
  </si>
  <si>
    <t>Nonprofit szervezetek támogatás</t>
  </si>
  <si>
    <t>Dologi</t>
  </si>
  <si>
    <t>XV.</t>
  </si>
  <si>
    <t>Köztemetés</t>
  </si>
  <si>
    <t>Foglalkoztatást helyettesítő támogatás</t>
  </si>
  <si>
    <t>önkormányzati segély</t>
  </si>
  <si>
    <t>Lakhatáshoz kapcsolódó tám.</t>
  </si>
  <si>
    <t>Gyógyszerkiadásokhoz kapcs. Tám.</t>
  </si>
  <si>
    <t>rendkívüli települési támogatás</t>
  </si>
  <si>
    <t>Intézményi ellátottak pénzbeli juttatásai(rendkívüli gyv.)</t>
  </si>
  <si>
    <t>Betegséggel és fogyatékossággal kapcsolats nem tb ellátások</t>
  </si>
  <si>
    <t>Rendkívüli gyermekvédelmi tám</t>
  </si>
  <si>
    <t>Ápolási díj</t>
  </si>
  <si>
    <t>természetben nyújtott átmeneti</t>
  </si>
  <si>
    <t>XVI.</t>
  </si>
  <si>
    <t>egyéb működési célú kiadások</t>
  </si>
  <si>
    <t>Felhalmozási célú támogatások áhn kivülre</t>
  </si>
  <si>
    <t>Tervezett tartalék</t>
  </si>
  <si>
    <t>Államháztartáson belüli megelőlegezés visszafiz</t>
  </si>
  <si>
    <t>XVII.</t>
  </si>
  <si>
    <t>elvonások, befizetések</t>
  </si>
  <si>
    <t>XVIII.</t>
  </si>
  <si>
    <t>XIX.</t>
  </si>
  <si>
    <t>Város községgazdálkodás</t>
  </si>
  <si>
    <t>XX.</t>
  </si>
  <si>
    <t>XXI:</t>
  </si>
  <si>
    <t>Forgatási és befektetési célúfin. Műv.</t>
  </si>
  <si>
    <t>XXII.</t>
  </si>
  <si>
    <t>Támogatási célú finanszírózási műveletek</t>
  </si>
  <si>
    <t>Felhalmozási pénzeszköz átadás</t>
  </si>
  <si>
    <t>tervezett céltartalék</t>
  </si>
  <si>
    <t>Müködési célú visszatérítendő kölcsön</t>
  </si>
  <si>
    <t>Főösszeg egyeztető</t>
  </si>
  <si>
    <t>Kötelező , önként vállalt és állami (államigazgatási) feladatainak kiadásai 2016. évre</t>
  </si>
  <si>
    <t>Intézmény</t>
  </si>
  <si>
    <t>Kiadás összesen</t>
  </si>
  <si>
    <t>Eredeti előirányzat</t>
  </si>
  <si>
    <t>Módosítás I.</t>
  </si>
  <si>
    <t>Módosítás II.</t>
  </si>
  <si>
    <t>kötelező</t>
  </si>
  <si>
    <t>önként vállalt</t>
  </si>
  <si>
    <t>állami (igazgatási)</t>
  </si>
  <si>
    <t>lakó és nem lakó ingatlan hasznosítás</t>
  </si>
  <si>
    <t>közvilágítás</t>
  </si>
  <si>
    <t>ár és belvízvédelem</t>
  </si>
  <si>
    <t>háziorvosi alapellátás, iskola eü</t>
  </si>
  <si>
    <t>önkormányzat által folyósított ellátások</t>
  </si>
  <si>
    <t>önkormányzat és a képviselőtestület működtetése</t>
  </si>
  <si>
    <t>Önkormányzatok elszámolása költségvetési szervvel</t>
  </si>
  <si>
    <t xml:space="preserve"> </t>
  </si>
  <si>
    <t>Önkormányzati vagyonnal való gazdálkodás</t>
  </si>
  <si>
    <t>városi és kábel tv üzemeltetés, településen video felvétel készítés</t>
  </si>
  <si>
    <t>Városüzemeltetési Közszolgáltató Intézmény</t>
  </si>
  <si>
    <t>utak, hidak üzemeltetése</t>
  </si>
  <si>
    <t>köztemető fenntartás</t>
  </si>
  <si>
    <t>egyéb város és k. gazd.</t>
  </si>
  <si>
    <t>Állategészségügyi tevékenység</t>
  </si>
  <si>
    <t>köznevelési feladatokat ellátó intézmény működtetése</t>
  </si>
  <si>
    <t>Zöldterületek kezelése, fenntartása</t>
  </si>
  <si>
    <t>közfoglalkoztatás</t>
  </si>
  <si>
    <t>polgármesteri hivatal működtetés</t>
  </si>
  <si>
    <t>Hétszínvilág Óvoda és Bölcsőde</t>
  </si>
  <si>
    <t>Óvodai nevelés</t>
  </si>
  <si>
    <t>nemzetiségi óvodai nevelés</t>
  </si>
  <si>
    <t>óvodai étkeztetls</t>
  </si>
  <si>
    <t>sajátos nevelés</t>
  </si>
  <si>
    <t>étkeztetés bölcsődében</t>
  </si>
  <si>
    <t>bölcsődei ellátás</t>
  </si>
  <si>
    <t>Óvodai mükődtetés</t>
  </si>
  <si>
    <t xml:space="preserve"> Ebből: művelődési ház és könyvtár működtetés</t>
  </si>
  <si>
    <t xml:space="preserve">           rendezvények, közösségi programok szervezése</t>
  </si>
  <si>
    <t xml:space="preserve">          időszaki önkormányzati lap kiadás</t>
  </si>
  <si>
    <t>21.melléklet</t>
  </si>
  <si>
    <t>CÉLTARTALÉK FELHALSZNÁLÁSA</t>
  </si>
  <si>
    <t>KÖZTERÜLETEK, Építmények beszerzése, FELÚJÍTÁSA</t>
  </si>
  <si>
    <t>Rendkívüli belvíz elvezetési problémák</t>
  </si>
  <si>
    <t>Top-2.1.2. Zöld város kialakítása</t>
  </si>
  <si>
    <t>TOP-2.3.1.-15 Fenntartaható települési közlekedés fejlesztése</t>
  </si>
  <si>
    <t>TOP-2.1.3.-15 Települési környezetvédelmi infrastruktúra fejlesztése</t>
  </si>
  <si>
    <t>TOP-1.2.1-15 Társadalmi és környezeti szempontból fenntartható turizmus fejlesztése</t>
  </si>
  <si>
    <t>TOP-4.3.1-15 Leromlott területek rehabilitációja</t>
  </si>
  <si>
    <t>TOP-5.2.1-15 A társadalmi együttműködés erősítését szolgáló helyi szintű komplex programok</t>
  </si>
  <si>
    <t>TOP-4.2.1-15 Szociális alapszolgáltatások infrastruktúrájának bővítése ( CSSK)</t>
  </si>
  <si>
    <t>Kossuth utcai villanyoszlopok cseréje nyomvonal módosítással tervezési díj</t>
  </si>
  <si>
    <t>Rendezési terv módosítása és integrált város fejlesztési stratégia</t>
  </si>
  <si>
    <t>ÖSSZESEN</t>
  </si>
  <si>
    <t>GÉP, BERENDEZÉS FELSZERELÉS VÁSÁRLÁS</t>
  </si>
  <si>
    <t>Közművelődési Érdekeltségnövelő támogatás önerő</t>
  </si>
  <si>
    <t>B LAKÓÖVEZET KÖZMŰVESÍTÉSE</t>
  </si>
  <si>
    <t>Murvázott közút és csapadékvíz elvezető árok kiépítése</t>
  </si>
  <si>
    <t xml:space="preserve">Közvilágítási  kiépítése </t>
  </si>
  <si>
    <t>ÉPÜLETEK FELÚJÍTÁSA</t>
  </si>
  <si>
    <t>VP6-7.4.1.1-15 Településképet meghatározó épületek külső rekonstrukciója pályázat (Műv ház))</t>
  </si>
  <si>
    <t>Kossuth u. 60. Idősek klubja-Nemzetiségi Ház villamoshálózat korszerűsítése</t>
  </si>
  <si>
    <t>TOP-4.1.1.-15 Egészségügyi alapellátás infrastruktúrájának fejlesztése</t>
  </si>
  <si>
    <t>TOP-3.2.1.-15 Önkormányzati épületek energetikai korszerűsítése (Egészségház)</t>
  </si>
  <si>
    <t>MINDÖSSZESEN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</si>
  <si>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</si>
  <si>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</si>
  <si>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</si>
  <si>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</si>
  <si>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</si>
  <si>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</si>
  <si>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 polgármesteri hivatal működtetés</t>
  </si>
  <si>
    <t xml:space="preserve">  városüzemeltetés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</si>
  <si>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</si>
  <si>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</si>
  <si>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</si>
  <si>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</si>
  <si>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</si>
  <si>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</si>
  <si>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</si>
  <si>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Támogatás, pénzeszköz átvétel(finanszírozás)</t>
  </si>
  <si>
    <t>támogatás, pénzeszköz átvétel (finanszírozás)</t>
  </si>
  <si>
    <t>működési célú támogatás</t>
  </si>
  <si>
    <t>Városüzemeltetési Közszolg.Int.</t>
  </si>
  <si>
    <t>támogatás, pénzeszköz átvétel</t>
  </si>
  <si>
    <t>Kölcsön megtérülés</t>
  </si>
  <si>
    <t>Működési támogatás</t>
  </si>
  <si>
    <t>Sajátos bevétel</t>
  </si>
  <si>
    <t>lekötött betét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</si>
  <si>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</si>
  <si>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</si>
  <si>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</si>
  <si>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</si>
  <si>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Önkormányzat által folyósított ellátások</t>
  </si>
  <si>
    <t xml:space="preserve">           Felhalmozási kiadás</t>
  </si>
  <si>
    <t xml:space="preserve">           Finanszírozási műveletek</t>
  </si>
  <si>
    <t>Mükődési célú visszatérítendő támogatás</t>
  </si>
  <si>
    <t>MINDÖSSZESEN INTÉZM FINANSZÍROZÁSSAL</t>
  </si>
  <si>
    <t>Működési kiadás összesítő</t>
  </si>
  <si>
    <t>SZEMÉLYI</t>
  </si>
  <si>
    <t>JÁRULÉK</t>
  </si>
  <si>
    <t>DOLOGI</t>
  </si>
  <si>
    <t>Módosított III.</t>
  </si>
  <si>
    <t>Országos népszavazás</t>
  </si>
  <si>
    <t>Módosítás III.</t>
  </si>
  <si>
    <t>2016. évi módosított III. előirányzat</t>
  </si>
  <si>
    <t>módosított III.</t>
  </si>
  <si>
    <t>Időszaki lapkiadás</t>
  </si>
  <si>
    <t>Táj Ház</t>
  </si>
  <si>
    <t>2016. évi módosított III.</t>
  </si>
  <si>
    <t>Herend Város Önkormányzat 2016. évi létszámkerete költségvetési szervenként  és a közfoglalkoztatottak száma (fő)</t>
  </si>
  <si>
    <t>Teljes munkaidőben foglalkoztatottak</t>
  </si>
  <si>
    <t>Részmunka -időben foglalkoztatottak</t>
  </si>
  <si>
    <t>Állományba nem tartozók</t>
  </si>
  <si>
    <t>Háziorvosi szolgálat</t>
  </si>
  <si>
    <t>Nem lakó ingatlan hasznosítás</t>
  </si>
  <si>
    <t>Intézményi étkeztetés</t>
  </si>
  <si>
    <t>Munkahelyi vendéglátás</t>
  </si>
  <si>
    <t>Sport létesítmény üzemeltetés</t>
  </si>
  <si>
    <t>Városüzemeltetési Közsz.Int.</t>
  </si>
  <si>
    <t>Művelődési ház és könyvtár</t>
  </si>
  <si>
    <t>Közcélú foglalkoztatás</t>
  </si>
  <si>
    <t>Mindösszesen</t>
  </si>
  <si>
    <t xml:space="preserve">          Táj Ház</t>
  </si>
  <si>
    <t>Felhalmozási célű pénzezsköz átvétel</t>
  </si>
  <si>
    <t>fénytechnikai rendszer Műv. Ház</t>
  </si>
  <si>
    <t xml:space="preserve">         felhalmozási pénzeszköz átadás</t>
  </si>
  <si>
    <t xml:space="preserve">           Felhalmozási pénzeszköz átadás</t>
  </si>
  <si>
    <t xml:space="preserve">          Felhalmozási célú pénzeszköz átadás</t>
  </si>
  <si>
    <t>Felhalmozási célú pe. Átvétel áhn kivűl</t>
  </si>
  <si>
    <t>XI:</t>
  </si>
  <si>
    <t>Felhalmozási pénz. Átvétel</t>
  </si>
  <si>
    <t xml:space="preserve">          Felhalmozási pénzeszköz átvétel</t>
  </si>
  <si>
    <t xml:space="preserve">          Felhalmozási célú pénzeszköz átvétel</t>
  </si>
  <si>
    <t>220.</t>
  </si>
  <si>
    <t>20/2016.(XI.30.) önkormányzati rendelethez</t>
  </si>
  <si>
    <t>"1. melléklet a 4/2016.(II.29.) önkormányzati rendelethez"</t>
  </si>
  <si>
    <t>"2. melléklet a 4/2016.(II.29.) önkormányzati rendelethez"</t>
  </si>
  <si>
    <t>"3. melléklet a 4/2016.(II.29.) önkormányzati rendelethez"</t>
  </si>
  <si>
    <t>"4. melléklet a 4/2016.(II.29.) önkormányzati rendelethez"</t>
  </si>
  <si>
    <t>"5. melléklet a 4/2016.(II.29.) önkormányzati rendelethez"</t>
  </si>
  <si>
    <t>"6. melléklet a 4/2016.(II.29.) önkormányzati rendelethez"</t>
  </si>
  <si>
    <t>"7. melléklet a 4/2016.(II.29.) önkormányzati rendelethez"</t>
  </si>
  <si>
    <t>"9. melléklet a 4/2016.(II.29.) önkormányzati rendelethez"</t>
  </si>
  <si>
    <t>"10. melléklet a 4/2016.(II.29.) önkormányzati rendelethez"</t>
  </si>
  <si>
    <t>"11. melléklet a 4/2016.(II.29.) önkormányzati rendelethez"</t>
  </si>
  <si>
    <t>"14. melléklet a 4/2016.(II.29.) önkormányzati rendelethez"</t>
  </si>
  <si>
    <t xml:space="preserve">9.melléklet </t>
  </si>
  <si>
    <t>10.melléklet</t>
  </si>
  <si>
    <t xml:space="preserve">11.melléklet </t>
  </si>
  <si>
    <t>"15. melléklet a 4/2016.(II.29.) önkormányzati rendelethez"</t>
  </si>
  <si>
    <t xml:space="preserve">12.  melléklet </t>
  </si>
  <si>
    <t>"16. melléklet a 4/2016.(II.29.) önkormányzati rendelethez"</t>
  </si>
  <si>
    <t>13. melléklet</t>
  </si>
  <si>
    <t>"17. melléklet a 4/2016.(II.29.) önkormányzati rendelethez"</t>
  </si>
  <si>
    <t>14. melléklet</t>
  </si>
  <si>
    <t>"18. melléklet a 4/2016.(II.29.) önkormányzati rendelethez"</t>
  </si>
  <si>
    <t>15. melléklet</t>
  </si>
  <si>
    <t>"19. melléklet a 4/2016.(II.29.) önkormányzati rendelethez"</t>
  </si>
  <si>
    <t>"20. melléklet a 4/2016.(II.29.) önkormányzati rendelethez"</t>
  </si>
  <si>
    <t>"21. melléklet a 4/2016.(II.29.) önkormányzati rendelethez"</t>
  </si>
  <si>
    <t>18.melléklet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</si>
</sst>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"/>
    <numFmt numFmtId="168" formatCode="#,##0.0"/>
  </numFmts>
  <fonts count="7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ill="0" applyBorder="0" applyAlignment="0" applyProtection="0"/>
  </cellStyleXfs>
  <cellXfs count="15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0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165" fontId="2" fillId="33" borderId="20" xfId="46" applyNumberFormat="1" applyFont="1" applyFill="1" applyBorder="1" applyAlignment="1" applyProtection="1">
      <alignment horizontal="center" vertical="center" wrapText="1"/>
      <protection/>
    </xf>
    <xf numFmtId="9" fontId="2" fillId="33" borderId="21" xfId="60" applyFont="1" applyFill="1" applyBorder="1" applyAlignment="1" applyProtection="1">
      <alignment horizontal="center" vertical="center" wrapText="1"/>
      <protection/>
    </xf>
    <xf numFmtId="165" fontId="2" fillId="33" borderId="22" xfId="46" applyNumberFormat="1" applyFont="1" applyFill="1" applyBorder="1" applyAlignment="1" applyProtection="1">
      <alignment horizontal="center" vertical="center" wrapText="1"/>
      <protection/>
    </xf>
    <xf numFmtId="3" fontId="2" fillId="33" borderId="23" xfId="0" applyNumberFormat="1" applyFont="1" applyFill="1" applyBorder="1" applyAlignment="1">
      <alignment horizontal="center" vertical="center"/>
    </xf>
    <xf numFmtId="165" fontId="2" fillId="33" borderId="24" xfId="46" applyNumberFormat="1" applyFont="1" applyFill="1" applyBorder="1" applyAlignment="1" applyProtection="1">
      <alignment horizontal="center"/>
      <protection/>
    </xf>
    <xf numFmtId="165" fontId="2" fillId="33" borderId="25" xfId="46" applyNumberFormat="1" applyFont="1" applyFill="1" applyBorder="1" applyAlignment="1" applyProtection="1">
      <alignment horizontal="center"/>
      <protection/>
    </xf>
    <xf numFmtId="9" fontId="2" fillId="33" borderId="26" xfId="60" applyFont="1" applyFill="1" applyBorder="1" applyAlignment="1" applyProtection="1">
      <alignment horizontal="center"/>
      <protection/>
    </xf>
    <xf numFmtId="165" fontId="2" fillId="33" borderId="27" xfId="46" applyNumberFormat="1" applyFont="1" applyFill="1" applyBorder="1" applyAlignment="1" applyProtection="1">
      <alignment horizontal="center"/>
      <protection/>
    </xf>
    <xf numFmtId="3" fontId="2" fillId="0" borderId="2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left" vertical="center"/>
    </xf>
    <xf numFmtId="165" fontId="2" fillId="0" borderId="28" xfId="46" applyNumberFormat="1" applyFont="1" applyFill="1" applyBorder="1" applyAlignment="1" applyProtection="1">
      <alignment/>
      <protection/>
    </xf>
    <xf numFmtId="165" fontId="2" fillId="0" borderId="14" xfId="46" applyNumberFormat="1" applyFont="1" applyFill="1" applyBorder="1" applyAlignment="1" applyProtection="1">
      <alignment/>
      <protection/>
    </xf>
    <xf numFmtId="9" fontId="0" fillId="0" borderId="30" xfId="60" applyFill="1" applyBorder="1" applyAlignment="1" applyProtection="1">
      <alignment/>
      <protection/>
    </xf>
    <xf numFmtId="165" fontId="2" fillId="0" borderId="31" xfId="46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5" fontId="0" fillId="0" borderId="32" xfId="46" applyNumberForma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9" fontId="0" fillId="0" borderId="33" xfId="60" applyFill="1" applyBorder="1" applyAlignment="1" applyProtection="1">
      <alignment/>
      <protection/>
    </xf>
    <xf numFmtId="165" fontId="0" fillId="36" borderId="34" xfId="46" applyNumberFormat="1" applyFill="1" applyBorder="1" applyAlignment="1" applyProtection="1">
      <alignment/>
      <protection/>
    </xf>
    <xf numFmtId="3" fontId="2" fillId="0" borderId="3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65" fontId="2" fillId="0" borderId="32" xfId="46" applyNumberFormat="1" applyFont="1" applyFill="1" applyBorder="1" applyAlignment="1" applyProtection="1">
      <alignment/>
      <protection/>
    </xf>
    <xf numFmtId="165" fontId="2" fillId="36" borderId="12" xfId="46" applyNumberFormat="1" applyFont="1" applyFill="1" applyBorder="1" applyAlignment="1" applyProtection="1">
      <alignment/>
      <protection/>
    </xf>
    <xf numFmtId="165" fontId="2" fillId="36" borderId="34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/>
    </xf>
    <xf numFmtId="165" fontId="2" fillId="0" borderId="24" xfId="46" applyNumberFormat="1" applyFont="1" applyFill="1" applyBorder="1" applyAlignment="1" applyProtection="1">
      <alignment/>
      <protection/>
    </xf>
    <xf numFmtId="165" fontId="2" fillId="36" borderId="25" xfId="46" applyNumberFormat="1" applyFont="1" applyFill="1" applyBorder="1" applyAlignment="1" applyProtection="1">
      <alignment/>
      <protection/>
    </xf>
    <xf numFmtId="9" fontId="0" fillId="0" borderId="26" xfId="60" applyFill="1" applyBorder="1" applyAlignment="1" applyProtection="1">
      <alignment/>
      <protection/>
    </xf>
    <xf numFmtId="165" fontId="2" fillId="36" borderId="38" xfId="46" applyNumberFormat="1" applyFont="1" applyFill="1" applyBorder="1" applyAlignment="1" applyProtection="1">
      <alignment/>
      <protection/>
    </xf>
    <xf numFmtId="3" fontId="6" fillId="0" borderId="39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165" fontId="6" fillId="0" borderId="39" xfId="46" applyNumberFormat="1" applyFont="1" applyFill="1" applyBorder="1" applyAlignment="1" applyProtection="1">
      <alignment/>
      <protection/>
    </xf>
    <xf numFmtId="165" fontId="6" fillId="36" borderId="40" xfId="46" applyNumberFormat="1" applyFont="1" applyFill="1" applyBorder="1" applyAlignment="1" applyProtection="1">
      <alignment/>
      <protection/>
    </xf>
    <xf numFmtId="9" fontId="6" fillId="0" borderId="42" xfId="46" applyNumberFormat="1" applyFont="1" applyFill="1" applyBorder="1" applyAlignment="1" applyProtection="1">
      <alignment/>
      <protection/>
    </xf>
    <xf numFmtId="165" fontId="6" fillId="36" borderId="4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/>
    </xf>
    <xf numFmtId="165" fontId="2" fillId="0" borderId="44" xfId="46" applyNumberFormat="1" applyFont="1" applyFill="1" applyBorder="1" applyAlignment="1" applyProtection="1">
      <alignment/>
      <protection/>
    </xf>
    <xf numFmtId="165" fontId="2" fillId="36" borderId="44" xfId="46" applyNumberFormat="1" applyFont="1" applyFill="1" applyBorder="1" applyAlignment="1" applyProtection="1">
      <alignment/>
      <protection/>
    </xf>
    <xf numFmtId="9" fontId="0" fillId="0" borderId="45" xfId="60" applyFill="1" applyBorder="1" applyAlignment="1" applyProtection="1">
      <alignment/>
      <protection/>
    </xf>
    <xf numFmtId="165" fontId="2" fillId="36" borderId="45" xfId="46" applyNumberFormat="1" applyFont="1" applyFill="1" applyBorder="1" applyAlignment="1" applyProtection="1">
      <alignment/>
      <protection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165" fontId="2" fillId="0" borderId="39" xfId="46" applyNumberFormat="1" applyFont="1" applyFill="1" applyBorder="1" applyAlignment="1" applyProtection="1">
      <alignment/>
      <protection/>
    </xf>
    <xf numFmtId="165" fontId="2" fillId="36" borderId="40" xfId="46" applyNumberFormat="1" applyFont="1" applyFill="1" applyBorder="1" applyAlignment="1" applyProtection="1">
      <alignment/>
      <protection/>
    </xf>
    <xf numFmtId="9" fontId="0" fillId="0" borderId="42" xfId="60" applyFill="1" applyBorder="1" applyAlignment="1" applyProtection="1">
      <alignment/>
      <protection/>
    </xf>
    <xf numFmtId="165" fontId="2" fillId="36" borderId="46" xfId="46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165" fontId="0" fillId="0" borderId="28" xfId="46" applyNumberFormat="1" applyFill="1" applyBorder="1" applyAlignment="1" applyProtection="1">
      <alignment/>
      <protection/>
    </xf>
    <xf numFmtId="165" fontId="0" fillId="36" borderId="14" xfId="46" applyNumberFormat="1" applyFill="1" applyBorder="1" applyAlignment="1" applyProtection="1">
      <alignment/>
      <protection/>
    </xf>
    <xf numFmtId="165" fontId="0" fillId="36" borderId="47" xfId="46" applyNumberFormat="1" applyFill="1" applyBorder="1" applyAlignment="1" applyProtection="1">
      <alignment/>
      <protection/>
    </xf>
    <xf numFmtId="165" fontId="0" fillId="36" borderId="48" xfId="46" applyNumberFormat="1" applyFill="1" applyBorder="1" applyAlignment="1" applyProtection="1">
      <alignment/>
      <protection/>
    </xf>
    <xf numFmtId="3" fontId="0" fillId="0" borderId="35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/>
    </xf>
    <xf numFmtId="165" fontId="0" fillId="0" borderId="35" xfId="46" applyNumberFormat="1" applyFill="1" applyBorder="1" applyAlignment="1" applyProtection="1">
      <alignment/>
      <protection/>
    </xf>
    <xf numFmtId="165" fontId="0" fillId="36" borderId="36" xfId="46" applyNumberFormat="1" applyFill="1" applyBorder="1" applyAlignment="1" applyProtection="1">
      <alignment/>
      <protection/>
    </xf>
    <xf numFmtId="9" fontId="0" fillId="0" borderId="49" xfId="60" applyFill="1" applyBorder="1" applyAlignment="1" applyProtection="1">
      <alignment/>
      <protection/>
    </xf>
    <xf numFmtId="165" fontId="0" fillId="36" borderId="50" xfId="46" applyNumberFormat="1" applyFill="1" applyBorder="1" applyAlignment="1" applyProtection="1">
      <alignment/>
      <protection/>
    </xf>
    <xf numFmtId="165" fontId="2" fillId="36" borderId="39" xfId="46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/>
    </xf>
    <xf numFmtId="165" fontId="9" fillId="0" borderId="28" xfId="46" applyNumberFormat="1" applyFont="1" applyFill="1" applyBorder="1" applyAlignment="1" applyProtection="1">
      <alignment/>
      <protection/>
    </xf>
    <xf numFmtId="165" fontId="9" fillId="36" borderId="14" xfId="46" applyNumberFormat="1" applyFont="1" applyFill="1" applyBorder="1" applyAlignment="1" applyProtection="1">
      <alignment/>
      <protection/>
    </xf>
    <xf numFmtId="9" fontId="9" fillId="0" borderId="30" xfId="60" applyFont="1" applyFill="1" applyBorder="1" applyAlignment="1" applyProtection="1">
      <alignment/>
      <protection/>
    </xf>
    <xf numFmtId="165" fontId="9" fillId="36" borderId="47" xfId="46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3" fontId="9" fillId="0" borderId="3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/>
    </xf>
    <xf numFmtId="165" fontId="9" fillId="0" borderId="35" xfId="46" applyNumberFormat="1" applyFont="1" applyFill="1" applyBorder="1" applyAlignment="1" applyProtection="1">
      <alignment/>
      <protection/>
    </xf>
    <xf numFmtId="165" fontId="9" fillId="0" borderId="36" xfId="46" applyNumberFormat="1" applyFont="1" applyFill="1" applyBorder="1" applyAlignment="1" applyProtection="1">
      <alignment/>
      <protection/>
    </xf>
    <xf numFmtId="9" fontId="9" fillId="0" borderId="49" xfId="60" applyFont="1" applyFill="1" applyBorder="1" applyAlignment="1" applyProtection="1">
      <alignment/>
      <protection/>
    </xf>
    <xf numFmtId="165" fontId="9" fillId="0" borderId="50" xfId="46" applyNumberFormat="1" applyFont="1" applyFill="1" applyBorder="1" applyAlignment="1" applyProtection="1">
      <alignment/>
      <protection/>
    </xf>
    <xf numFmtId="3" fontId="5" fillId="33" borderId="39" xfId="0" applyNumberFormat="1" applyFont="1" applyFill="1" applyBorder="1" applyAlignment="1">
      <alignment horizontal="center"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165" fontId="5" fillId="33" borderId="39" xfId="46" applyNumberFormat="1" applyFont="1" applyFill="1" applyBorder="1" applyAlignment="1" applyProtection="1">
      <alignment vertical="center"/>
      <protection/>
    </xf>
    <xf numFmtId="165" fontId="5" fillId="37" borderId="40" xfId="46" applyNumberFormat="1" applyFont="1" applyFill="1" applyBorder="1" applyAlignment="1" applyProtection="1">
      <alignment vertical="center"/>
      <protection/>
    </xf>
    <xf numFmtId="9" fontId="5" fillId="37" borderId="42" xfId="60" applyFont="1" applyFill="1" applyBorder="1" applyAlignment="1" applyProtection="1">
      <alignment vertical="center"/>
      <protection/>
    </xf>
    <xf numFmtId="165" fontId="5" fillId="37" borderId="46" xfId="46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165" fontId="2" fillId="33" borderId="32" xfId="46" applyNumberFormat="1" applyFont="1" applyFill="1" applyBorder="1" applyAlignment="1" applyProtection="1">
      <alignment horizontal="center"/>
      <protection/>
    </xf>
    <xf numFmtId="165" fontId="2" fillId="33" borderId="12" xfId="46" applyNumberFormat="1" applyFont="1" applyFill="1" applyBorder="1" applyAlignment="1" applyProtection="1">
      <alignment horizontal="center"/>
      <protection/>
    </xf>
    <xf numFmtId="9" fontId="2" fillId="33" borderId="33" xfId="60" applyFont="1" applyFill="1" applyBorder="1" applyAlignment="1" applyProtection="1">
      <alignment horizontal="center"/>
      <protection/>
    </xf>
    <xf numFmtId="165" fontId="2" fillId="33" borderId="34" xfId="46" applyNumberFormat="1" applyFont="1" applyFill="1" applyBorder="1" applyAlignment="1" applyProtection="1">
      <alignment horizontal="center"/>
      <protection/>
    </xf>
    <xf numFmtId="165" fontId="2" fillId="0" borderId="12" xfId="46" applyNumberFormat="1" applyFont="1" applyFill="1" applyBorder="1" applyAlignment="1" applyProtection="1">
      <alignment/>
      <protection/>
    </xf>
    <xf numFmtId="9" fontId="2" fillId="0" borderId="33" xfId="60" applyFont="1" applyFill="1" applyBorder="1" applyAlignment="1" applyProtection="1">
      <alignment/>
      <protection/>
    </xf>
    <xf numFmtId="165" fontId="2" fillId="0" borderId="34" xfId="46" applyNumberFormat="1" applyFont="1" applyFill="1" applyBorder="1" applyAlignment="1" applyProtection="1">
      <alignment/>
      <protection/>
    </xf>
    <xf numFmtId="165" fontId="0" fillId="0" borderId="12" xfId="46" applyNumberFormat="1" applyFill="1" applyBorder="1" applyAlignment="1" applyProtection="1">
      <alignment/>
      <protection/>
    </xf>
    <xf numFmtId="165" fontId="0" fillId="0" borderId="34" xfId="46" applyNumberFormat="1" applyFill="1" applyBorder="1" applyAlignment="1" applyProtection="1">
      <alignment/>
      <protection/>
    </xf>
    <xf numFmtId="165" fontId="0" fillId="36" borderId="32" xfId="46" applyNumberFormat="1" applyFill="1" applyBorder="1" applyAlignment="1" applyProtection="1">
      <alignment/>
      <protection/>
    </xf>
    <xf numFmtId="165" fontId="0" fillId="36" borderId="32" xfId="46" applyNumberFormat="1" applyFont="1" applyFill="1" applyBorder="1" applyAlignment="1" applyProtection="1">
      <alignment/>
      <protection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36" borderId="34" xfId="46" applyNumberFormat="1" applyFont="1" applyFill="1" applyBorder="1" applyAlignment="1" applyProtection="1">
      <alignment/>
      <protection/>
    </xf>
    <xf numFmtId="3" fontId="2" fillId="0" borderId="36" xfId="0" applyNumberFormat="1" applyFont="1" applyFill="1" applyBorder="1" applyAlignment="1">
      <alignment/>
    </xf>
    <xf numFmtId="165" fontId="2" fillId="0" borderId="35" xfId="46" applyNumberFormat="1" applyFont="1" applyFill="1" applyBorder="1" applyAlignment="1" applyProtection="1">
      <alignment/>
      <protection/>
    </xf>
    <xf numFmtId="165" fontId="2" fillId="0" borderId="36" xfId="46" applyNumberFormat="1" applyFont="1" applyFill="1" applyBorder="1" applyAlignment="1" applyProtection="1">
      <alignment/>
      <protection/>
    </xf>
    <xf numFmtId="165" fontId="2" fillId="0" borderId="38" xfId="46" applyNumberFormat="1" applyFont="1" applyFill="1" applyBorder="1" applyAlignment="1" applyProtection="1">
      <alignment/>
      <protection/>
    </xf>
    <xf numFmtId="3" fontId="2" fillId="0" borderId="3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165" fontId="2" fillId="36" borderId="32" xfId="46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5" fontId="0" fillId="0" borderId="35" xfId="46" applyNumberFormat="1" applyFont="1" applyFill="1" applyBorder="1" applyAlignment="1" applyProtection="1">
      <alignment/>
      <protection/>
    </xf>
    <xf numFmtId="165" fontId="0" fillId="0" borderId="36" xfId="46" applyNumberFormat="1" applyFont="1" applyFill="1" applyBorder="1" applyAlignment="1" applyProtection="1">
      <alignment/>
      <protection/>
    </xf>
    <xf numFmtId="165" fontId="0" fillId="0" borderId="38" xfId="46" applyNumberFormat="1" applyFont="1" applyFill="1" applyBorder="1" applyAlignment="1" applyProtection="1">
      <alignment/>
      <protection/>
    </xf>
    <xf numFmtId="3" fontId="6" fillId="36" borderId="41" xfId="0" applyNumberFormat="1" applyFont="1" applyFill="1" applyBorder="1" applyAlignment="1">
      <alignment horizontal="center" vertical="center" wrapText="1"/>
    </xf>
    <xf numFmtId="165" fontId="6" fillId="36" borderId="39" xfId="46" applyNumberFormat="1" applyFont="1" applyFill="1" applyBorder="1" applyAlignment="1" applyProtection="1">
      <alignment vertical="center"/>
      <protection/>
    </xf>
    <xf numFmtId="165" fontId="6" fillId="36" borderId="40" xfId="46" applyNumberFormat="1" applyFont="1" applyFill="1" applyBorder="1" applyAlignment="1" applyProtection="1">
      <alignment vertical="center"/>
      <protection/>
    </xf>
    <xf numFmtId="9" fontId="2" fillId="0" borderId="42" xfId="60" applyFont="1" applyFill="1" applyBorder="1" applyAlignment="1" applyProtection="1">
      <alignment vertical="center"/>
      <protection/>
    </xf>
    <xf numFmtId="165" fontId="6" fillId="36" borderId="51" xfId="46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/>
    </xf>
    <xf numFmtId="165" fontId="2" fillId="36" borderId="28" xfId="46" applyNumberFormat="1" applyFont="1" applyFill="1" applyBorder="1" applyAlignment="1" applyProtection="1">
      <alignment/>
      <protection/>
    </xf>
    <xf numFmtId="165" fontId="2" fillId="36" borderId="14" xfId="46" applyNumberFormat="1" applyFont="1" applyFill="1" applyBorder="1" applyAlignment="1" applyProtection="1">
      <alignment/>
      <protection/>
    </xf>
    <xf numFmtId="165" fontId="2" fillId="36" borderId="31" xfId="46" applyNumberFormat="1" applyFont="1" applyFill="1" applyBorder="1" applyAlignment="1" applyProtection="1">
      <alignment/>
      <protection/>
    </xf>
    <xf numFmtId="3" fontId="2" fillId="0" borderId="36" xfId="0" applyNumberFormat="1" applyFont="1" applyFill="1" applyBorder="1" applyAlignment="1">
      <alignment horizontal="center"/>
    </xf>
    <xf numFmtId="165" fontId="2" fillId="36" borderId="35" xfId="46" applyNumberFormat="1" applyFont="1" applyFill="1" applyBorder="1" applyAlignment="1" applyProtection="1">
      <alignment/>
      <protection/>
    </xf>
    <xf numFmtId="165" fontId="2" fillId="36" borderId="36" xfId="46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>
      <alignment/>
    </xf>
    <xf numFmtId="3" fontId="2" fillId="0" borderId="29" xfId="0" applyNumberFormat="1" applyFont="1" applyFill="1" applyBorder="1" applyAlignment="1">
      <alignment wrapText="1"/>
    </xf>
    <xf numFmtId="3" fontId="6" fillId="0" borderId="52" xfId="0" applyNumberFormat="1" applyFont="1" applyFill="1" applyBorder="1" applyAlignment="1">
      <alignment horizontal="center" vertical="center"/>
    </xf>
    <xf numFmtId="165" fontId="6" fillId="0" borderId="53" xfId="46" applyNumberFormat="1" applyFont="1" applyFill="1" applyBorder="1" applyAlignment="1" applyProtection="1">
      <alignment vertical="center"/>
      <protection/>
    </xf>
    <xf numFmtId="165" fontId="6" fillId="0" borderId="54" xfId="46" applyNumberFormat="1" applyFont="1" applyFill="1" applyBorder="1" applyAlignment="1" applyProtection="1">
      <alignment vertical="center"/>
      <protection/>
    </xf>
    <xf numFmtId="9" fontId="2" fillId="0" borderId="55" xfId="60" applyFont="1" applyFill="1" applyBorder="1" applyAlignment="1" applyProtection="1">
      <alignment vertical="center"/>
      <protection/>
    </xf>
    <xf numFmtId="165" fontId="6" fillId="0" borderId="56" xfId="46" applyNumberFormat="1" applyFont="1" applyFill="1" applyBorder="1" applyAlignment="1" applyProtection="1">
      <alignment vertical="center"/>
      <protection/>
    </xf>
    <xf numFmtId="3" fontId="5" fillId="37" borderId="41" xfId="0" applyNumberFormat="1" applyFont="1" applyFill="1" applyBorder="1" applyAlignment="1">
      <alignment horizontal="center" vertical="center"/>
    </xf>
    <xf numFmtId="165" fontId="5" fillId="37" borderId="39" xfId="46" applyNumberFormat="1" applyFont="1" applyFill="1" applyBorder="1" applyAlignment="1" applyProtection="1">
      <alignment horizontal="center" vertical="center"/>
      <protection/>
    </xf>
    <xf numFmtId="165" fontId="5" fillId="37" borderId="40" xfId="46" applyNumberFormat="1" applyFont="1" applyFill="1" applyBorder="1" applyAlignment="1" applyProtection="1">
      <alignment horizontal="center" vertical="center"/>
      <protection/>
    </xf>
    <xf numFmtId="9" fontId="5" fillId="37" borderId="42" xfId="60" applyFont="1" applyFill="1" applyBorder="1" applyAlignment="1" applyProtection="1">
      <alignment horizontal="center" vertical="center"/>
      <protection/>
    </xf>
    <xf numFmtId="165" fontId="5" fillId="37" borderId="51" xfId="46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2" fillId="37" borderId="57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 vertical="center" wrapText="1"/>
    </xf>
    <xf numFmtId="3" fontId="2" fillId="37" borderId="59" xfId="0" applyNumberFormat="1" applyFont="1" applyFill="1" applyBorder="1" applyAlignment="1">
      <alignment horizontal="center" vertical="center" wrapText="1"/>
    </xf>
    <xf numFmtId="3" fontId="2" fillId="37" borderId="60" xfId="0" applyNumberFormat="1" applyFont="1" applyFill="1" applyBorder="1" applyAlignment="1">
      <alignment horizontal="center" vertical="center" wrapText="1"/>
    </xf>
    <xf numFmtId="3" fontId="2" fillId="37" borderId="5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165" fontId="9" fillId="36" borderId="28" xfId="46" applyNumberFormat="1" applyFont="1" applyFill="1" applyBorder="1" applyAlignment="1" applyProtection="1">
      <alignment/>
      <protection/>
    </xf>
    <xf numFmtId="9" fontId="3" fillId="0" borderId="31" xfId="0" applyNumberFormat="1" applyFont="1" applyBorder="1" applyAlignment="1">
      <alignment/>
    </xf>
    <xf numFmtId="165" fontId="9" fillId="36" borderId="31" xfId="46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5" fontId="9" fillId="36" borderId="32" xfId="46" applyNumberFormat="1" applyFont="1" applyFill="1" applyBorder="1" applyAlignment="1" applyProtection="1">
      <alignment/>
      <protection/>
    </xf>
    <xf numFmtId="165" fontId="9" fillId="36" borderId="12" xfId="46" applyNumberFormat="1" applyFont="1" applyFill="1" applyBorder="1" applyAlignment="1" applyProtection="1">
      <alignment/>
      <protection/>
    </xf>
    <xf numFmtId="9" fontId="3" fillId="0" borderId="34" xfId="0" applyNumberFormat="1" applyFont="1" applyBorder="1" applyAlignment="1">
      <alignment/>
    </xf>
    <xf numFmtId="165" fontId="9" fillId="36" borderId="34" xfId="46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165" fontId="1" fillId="36" borderId="32" xfId="46" applyNumberFormat="1" applyFont="1" applyFill="1" applyBorder="1" applyAlignment="1" applyProtection="1">
      <alignment/>
      <protection/>
    </xf>
    <xf numFmtId="165" fontId="1" fillId="36" borderId="12" xfId="46" applyNumberFormat="1" applyFont="1" applyFill="1" applyBorder="1" applyAlignment="1" applyProtection="1">
      <alignment/>
      <protection/>
    </xf>
    <xf numFmtId="165" fontId="1" fillId="36" borderId="34" xfId="4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9" fontId="13" fillId="0" borderId="34" xfId="0" applyNumberFormat="1" applyFont="1" applyBorder="1" applyAlignment="1">
      <alignment/>
    </xf>
    <xf numFmtId="0" fontId="3" fillId="0" borderId="37" xfId="0" applyFont="1" applyFill="1" applyBorder="1" applyAlignment="1">
      <alignment wrapText="1"/>
    </xf>
    <xf numFmtId="165" fontId="9" fillId="36" borderId="35" xfId="46" applyNumberFormat="1" applyFont="1" applyFill="1" applyBorder="1" applyAlignment="1" applyProtection="1">
      <alignment/>
      <protection/>
    </xf>
    <xf numFmtId="165" fontId="9" fillId="36" borderId="36" xfId="46" applyNumberFormat="1" applyFont="1" applyFill="1" applyBorder="1" applyAlignment="1" applyProtection="1">
      <alignment/>
      <protection/>
    </xf>
    <xf numFmtId="165" fontId="9" fillId="36" borderId="38" xfId="46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29" xfId="0" applyFont="1" applyBorder="1" applyAlignment="1">
      <alignment/>
    </xf>
    <xf numFmtId="165" fontId="0" fillId="36" borderId="28" xfId="46" applyNumberFormat="1" applyFont="1" applyFill="1" applyBorder="1" applyAlignment="1" applyProtection="1">
      <alignment/>
      <protection/>
    </xf>
    <xf numFmtId="165" fontId="0" fillId="36" borderId="14" xfId="46" applyNumberFormat="1" applyFont="1" applyFill="1" applyBorder="1" applyAlignment="1" applyProtection="1">
      <alignment/>
      <protection/>
    </xf>
    <xf numFmtId="165" fontId="0" fillId="36" borderId="31" xfId="4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3" fontId="2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165" fontId="0" fillId="36" borderId="35" xfId="46" applyNumberFormat="1" applyFont="1" applyFill="1" applyBorder="1" applyAlignment="1" applyProtection="1">
      <alignment/>
      <protection/>
    </xf>
    <xf numFmtId="165" fontId="0" fillId="36" borderId="36" xfId="46" applyNumberFormat="1" applyFont="1" applyFill="1" applyBorder="1" applyAlignment="1" applyProtection="1">
      <alignment/>
      <protection/>
    </xf>
    <xf numFmtId="165" fontId="0" fillId="36" borderId="38" xfId="46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>
      <alignment horizontal="center"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9" fontId="13" fillId="0" borderId="38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165" fontId="2" fillId="36" borderId="24" xfId="46" applyNumberFormat="1" applyFont="1" applyFill="1" applyBorder="1" applyAlignment="1" applyProtection="1">
      <alignment/>
      <protection/>
    </xf>
    <xf numFmtId="9" fontId="13" fillId="0" borderId="27" xfId="0" applyNumberFormat="1" applyFont="1" applyBorder="1" applyAlignment="1">
      <alignment/>
    </xf>
    <xf numFmtId="165" fontId="2" fillId="36" borderId="27" xfId="46" applyNumberFormat="1" applyFont="1" applyFill="1" applyBorder="1" applyAlignment="1" applyProtection="1">
      <alignment/>
      <protection/>
    </xf>
    <xf numFmtId="9" fontId="13" fillId="0" borderId="62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2" fillId="33" borderId="63" xfId="0" applyNumberFormat="1" applyFont="1" applyFill="1" applyBorder="1" applyAlignment="1">
      <alignment horizontal="center" vertical="center"/>
    </xf>
    <xf numFmtId="3" fontId="2" fillId="33" borderId="64" xfId="0" applyNumberFormat="1" applyFont="1" applyFill="1" applyBorder="1" applyAlignment="1">
      <alignment horizontal="center" vertical="center" wrapText="1"/>
    </xf>
    <xf numFmtId="3" fontId="2" fillId="33" borderId="65" xfId="0" applyNumberFormat="1" applyFont="1" applyFill="1" applyBorder="1" applyAlignment="1">
      <alignment horizontal="center" vertical="center" wrapText="1"/>
    </xf>
    <xf numFmtId="3" fontId="2" fillId="33" borderId="66" xfId="0" applyNumberFormat="1" applyFont="1" applyFill="1" applyBorder="1" applyAlignment="1">
      <alignment horizontal="center" vertical="center" wrapText="1"/>
    </xf>
    <xf numFmtId="3" fontId="2" fillId="33" borderId="67" xfId="0" applyNumberFormat="1" applyFont="1" applyFill="1" applyBorder="1" applyAlignment="1">
      <alignment horizontal="center" vertical="center" wrapText="1"/>
    </xf>
    <xf numFmtId="3" fontId="2" fillId="33" borderId="68" xfId="0" applyNumberFormat="1" applyFont="1" applyFill="1" applyBorder="1" applyAlignment="1">
      <alignment horizontal="center" vertical="center"/>
    </xf>
    <xf numFmtId="3" fontId="2" fillId="33" borderId="69" xfId="0" applyNumberFormat="1" applyFont="1" applyFill="1" applyBorder="1" applyAlignment="1">
      <alignment horizontal="center" vertical="center"/>
    </xf>
    <xf numFmtId="3" fontId="2" fillId="33" borderId="70" xfId="0" applyNumberFormat="1" applyFont="1" applyFill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71" xfId="0" applyNumberFormat="1" applyFont="1" applyFill="1" applyBorder="1" applyAlignment="1">
      <alignment horizontal="center" vertical="center"/>
    </xf>
    <xf numFmtId="3" fontId="0" fillId="0" borderId="7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7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2" fillId="37" borderId="76" xfId="0" applyNumberFormat="1" applyFont="1" applyFill="1" applyBorder="1" applyAlignment="1">
      <alignment horizontal="center"/>
    </xf>
    <xf numFmtId="3" fontId="0" fillId="37" borderId="13" xfId="0" applyNumberFormat="1" applyFont="1" applyFill="1" applyBorder="1" applyAlignment="1">
      <alignment horizontal="center"/>
    </xf>
    <xf numFmtId="3" fontId="2" fillId="37" borderId="75" xfId="0" applyNumberFormat="1" applyFont="1" applyFill="1" applyBorder="1" applyAlignment="1">
      <alignment/>
    </xf>
    <xf numFmtId="3" fontId="2" fillId="37" borderId="3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9" fontId="0" fillId="37" borderId="33" xfId="0" applyNumberFormat="1" applyFill="1" applyBorder="1" applyAlignment="1">
      <alignment/>
    </xf>
    <xf numFmtId="3" fontId="2" fillId="37" borderId="34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76" xfId="0" applyNumberFormat="1" applyFont="1" applyBorder="1" applyAlignment="1">
      <alignment horizontal="center"/>
    </xf>
    <xf numFmtId="3" fontId="2" fillId="37" borderId="75" xfId="0" applyNumberFormat="1" applyFont="1" applyFill="1" applyBorder="1" applyAlignment="1">
      <alignment wrapText="1"/>
    </xf>
    <xf numFmtId="3" fontId="2" fillId="33" borderId="76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2" fillId="33" borderId="75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0" borderId="7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75" xfId="0" applyNumberFormat="1" applyFont="1" applyBorder="1" applyAlignment="1">
      <alignment/>
    </xf>
    <xf numFmtId="3" fontId="2" fillId="33" borderId="61" xfId="0" applyNumberFormat="1" applyFont="1" applyFill="1" applyBorder="1" applyAlignment="1">
      <alignment horizontal="center"/>
    </xf>
    <xf numFmtId="3" fontId="2" fillId="33" borderId="77" xfId="0" applyNumberFormat="1" applyFont="1" applyFill="1" applyBorder="1" applyAlignment="1">
      <alignment/>
    </xf>
    <xf numFmtId="3" fontId="2" fillId="0" borderId="77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9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78" xfId="0" applyNumberFormat="1" applyFont="1" applyFill="1" applyBorder="1" applyAlignment="1">
      <alignment horizontal="center"/>
    </xf>
    <xf numFmtId="3" fontId="0" fillId="33" borderId="70" xfId="0" applyNumberFormat="1" applyFont="1" applyFill="1" applyBorder="1" applyAlignment="1">
      <alignment horizontal="center"/>
    </xf>
    <xf numFmtId="3" fontId="2" fillId="33" borderId="68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9" fontId="0" fillId="37" borderId="26" xfId="0" applyNumberForma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79" xfId="0" applyNumberFormat="1" applyFont="1" applyFill="1" applyBorder="1" applyAlignment="1">
      <alignment horizontal="center" vertical="center"/>
    </xf>
    <xf numFmtId="165" fontId="2" fillId="33" borderId="80" xfId="46" applyNumberFormat="1" applyFont="1" applyFill="1" applyBorder="1" applyAlignment="1" applyProtection="1">
      <alignment horizontal="center" vertical="center" wrapText="1"/>
      <protection/>
    </xf>
    <xf numFmtId="165" fontId="2" fillId="33" borderId="21" xfId="46" applyNumberFormat="1" applyFont="1" applyFill="1" applyBorder="1" applyAlignment="1" applyProtection="1">
      <alignment horizontal="center" vertical="center" wrapText="1"/>
      <protection/>
    </xf>
    <xf numFmtId="165" fontId="2" fillId="33" borderId="81" xfId="46" applyNumberFormat="1" applyFont="1" applyFill="1" applyBorder="1" applyAlignment="1" applyProtection="1">
      <alignment horizontal="center" vertical="center" wrapText="1"/>
      <protection/>
    </xf>
    <xf numFmtId="165" fontId="2" fillId="33" borderId="26" xfId="46" applyNumberFormat="1" applyFont="1" applyFill="1" applyBorder="1" applyAlignment="1" applyProtection="1">
      <alignment horizontal="center"/>
      <protection/>
    </xf>
    <xf numFmtId="165" fontId="2" fillId="33" borderId="82" xfId="46" applyNumberFormat="1" applyFont="1" applyFill="1" applyBorder="1" applyAlignment="1" applyProtection="1">
      <alignment horizontal="center"/>
      <protection/>
    </xf>
    <xf numFmtId="3" fontId="3" fillId="0" borderId="2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165" fontId="0" fillId="0" borderId="30" xfId="46" applyNumberFormat="1" applyFill="1" applyBorder="1" applyAlignment="1" applyProtection="1">
      <alignment/>
      <protection/>
    </xf>
    <xf numFmtId="165" fontId="0" fillId="0" borderId="47" xfId="46" applyNumberFormat="1" applyFill="1" applyBorder="1" applyAlignment="1" applyProtection="1">
      <alignment/>
      <protection/>
    </xf>
    <xf numFmtId="3" fontId="3" fillId="0" borderId="3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5" fontId="0" fillId="0" borderId="33" xfId="46" applyNumberFormat="1" applyFill="1" applyBorder="1" applyAlignment="1" applyProtection="1">
      <alignment/>
      <protection/>
    </xf>
    <xf numFmtId="165" fontId="0" fillId="0" borderId="48" xfId="46" applyNumberFormat="1" applyFill="1" applyBorder="1" applyAlignment="1" applyProtection="1">
      <alignment/>
      <protection/>
    </xf>
    <xf numFmtId="3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wrapText="1"/>
    </xf>
    <xf numFmtId="3" fontId="0" fillId="0" borderId="3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wrapText="1"/>
    </xf>
    <xf numFmtId="165" fontId="0" fillId="0" borderId="32" xfId="46" applyNumberFormat="1" applyFont="1" applyFill="1" applyBorder="1" applyAlignment="1" applyProtection="1">
      <alignment/>
      <protection/>
    </xf>
    <xf numFmtId="165" fontId="0" fillId="0" borderId="33" xfId="46" applyNumberFormat="1" applyFont="1" applyFill="1" applyBorder="1" applyAlignment="1" applyProtection="1">
      <alignment/>
      <protection/>
    </xf>
    <xf numFmtId="165" fontId="0" fillId="0" borderId="48" xfId="46" applyNumberFormat="1" applyFont="1" applyFill="1" applyBorder="1" applyAlignment="1" applyProtection="1">
      <alignment/>
      <protection/>
    </xf>
    <xf numFmtId="3" fontId="2" fillId="33" borderId="24" xfId="0" applyNumberFormat="1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165" fontId="2" fillId="33" borderId="24" xfId="46" applyNumberFormat="1" applyFont="1" applyFill="1" applyBorder="1" applyAlignment="1" applyProtection="1">
      <alignment/>
      <protection/>
    </xf>
    <xf numFmtId="165" fontId="2" fillId="33" borderId="26" xfId="46" applyNumberFormat="1" applyFont="1" applyFill="1" applyBorder="1" applyAlignment="1" applyProtection="1">
      <alignment/>
      <protection/>
    </xf>
    <xf numFmtId="165" fontId="2" fillId="33" borderId="82" xfId="46" applyNumberFormat="1" applyFont="1" applyFill="1" applyBorder="1" applyAlignment="1" applyProtection="1">
      <alignment/>
      <protection/>
    </xf>
    <xf numFmtId="165" fontId="0" fillId="0" borderId="0" xfId="46" applyNumberFormat="1" applyFill="1" applyBorder="1" applyAlignment="1" applyProtection="1">
      <alignment horizontal="center"/>
      <protection/>
    </xf>
    <xf numFmtId="3" fontId="2" fillId="33" borderId="83" xfId="0" applyNumberFormat="1" applyFont="1" applyFill="1" applyBorder="1" applyAlignment="1">
      <alignment horizontal="center" vertical="center"/>
    </xf>
    <xf numFmtId="165" fontId="2" fillId="33" borderId="84" xfId="46" applyNumberFormat="1" applyFont="1" applyFill="1" applyBorder="1" applyAlignment="1" applyProtection="1">
      <alignment horizontal="center"/>
      <protection/>
    </xf>
    <xf numFmtId="165" fontId="2" fillId="33" borderId="33" xfId="46" applyNumberFormat="1" applyFont="1" applyFill="1" applyBorder="1" applyAlignment="1" applyProtection="1">
      <alignment horizontal="center" vertical="center" wrapText="1"/>
      <protection/>
    </xf>
    <xf numFmtId="165" fontId="2" fillId="33" borderId="48" xfId="46" applyNumberFormat="1" applyFont="1" applyFill="1" applyBorder="1" applyAlignment="1" applyProtection="1">
      <alignment horizontal="center" vertical="center" wrapText="1"/>
      <protection/>
    </xf>
    <xf numFmtId="3" fontId="3" fillId="0" borderId="74" xfId="0" applyNumberFormat="1" applyFont="1" applyBorder="1" applyAlignment="1">
      <alignment horizontal="center"/>
    </xf>
    <xf numFmtId="165" fontId="2" fillId="33" borderId="34" xfId="46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74" xfId="0" applyNumberFormat="1" applyFont="1" applyBorder="1" applyAlignment="1">
      <alignment horizontal="center"/>
    </xf>
    <xf numFmtId="165" fontId="2" fillId="0" borderId="33" xfId="4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165" fontId="2" fillId="33" borderId="27" xfId="46" applyNumberFormat="1" applyFont="1" applyFill="1" applyBorder="1" applyAlignment="1" applyProtection="1">
      <alignment/>
      <protection/>
    </xf>
    <xf numFmtId="165" fontId="2" fillId="33" borderId="66" xfId="46" applyNumberFormat="1" applyFont="1" applyFill="1" applyBorder="1" applyAlignment="1" applyProtection="1">
      <alignment horizontal="center" vertical="center" wrapText="1"/>
      <protection/>
    </xf>
    <xf numFmtId="165" fontId="2" fillId="33" borderId="85" xfId="46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" fillId="33" borderId="86" xfId="46" applyNumberFormat="1" applyFont="1" applyFill="1" applyBorder="1" applyAlignment="1" applyProtection="1">
      <alignment horizontal="center" vertical="center" wrapText="1"/>
      <protection/>
    </xf>
    <xf numFmtId="165" fontId="0" fillId="0" borderId="30" xfId="46" applyNumberFormat="1" applyFill="1" applyBorder="1" applyAlignment="1" applyProtection="1">
      <alignment horizontal="center"/>
      <protection/>
    </xf>
    <xf numFmtId="165" fontId="0" fillId="0" borderId="31" xfId="46" applyNumberFormat="1" applyFill="1" applyBorder="1" applyAlignment="1" applyProtection="1">
      <alignment horizontal="center"/>
      <protection/>
    </xf>
    <xf numFmtId="165" fontId="0" fillId="0" borderId="33" xfId="46" applyNumberFormat="1" applyFill="1" applyBorder="1" applyAlignment="1" applyProtection="1">
      <alignment horizontal="center"/>
      <protection/>
    </xf>
    <xf numFmtId="165" fontId="0" fillId="0" borderId="34" xfId="46" applyNumberFormat="1" applyFill="1" applyBorder="1" applyAlignment="1" applyProtection="1">
      <alignment horizontal="center"/>
      <protection/>
    </xf>
    <xf numFmtId="3" fontId="3" fillId="0" borderId="87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5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33" borderId="20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>
      <alignment horizontal="center" vertical="center" wrapText="1"/>
    </xf>
    <xf numFmtId="165" fontId="2" fillId="33" borderId="23" xfId="46" applyNumberFormat="1" applyFont="1" applyFill="1" applyBorder="1" applyAlignment="1" applyProtection="1">
      <alignment horizontal="center"/>
      <protection/>
    </xf>
    <xf numFmtId="3" fontId="2" fillId="0" borderId="72" xfId="0" applyNumberFormat="1" applyFont="1" applyFill="1" applyBorder="1" applyAlignment="1">
      <alignment horizontal="center"/>
    </xf>
    <xf numFmtId="3" fontId="17" fillId="0" borderId="62" xfId="0" applyNumberFormat="1" applyFont="1" applyFill="1" applyBorder="1" applyAlignment="1">
      <alignment horizontal="center" wrapText="1"/>
    </xf>
    <xf numFmtId="3" fontId="16" fillId="0" borderId="88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2" fillId="0" borderId="7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165" fontId="2" fillId="0" borderId="11" xfId="46" applyNumberFormat="1" applyFont="1" applyFill="1" applyBorder="1" applyAlignment="1" applyProtection="1">
      <alignment/>
      <protection/>
    </xf>
    <xf numFmtId="165" fontId="2" fillId="0" borderId="48" xfId="46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65" fontId="0" fillId="0" borderId="11" xfId="46" applyNumberFormat="1" applyFill="1" applyBorder="1" applyAlignment="1" applyProtection="1">
      <alignment/>
      <protection/>
    </xf>
    <xf numFmtId="167" fontId="2" fillId="0" borderId="11" xfId="0" applyNumberFormat="1" applyFont="1" applyBorder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" fontId="0" fillId="0" borderId="9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7" fontId="0" fillId="0" borderId="29" xfId="0" applyNumberFormat="1" applyFont="1" applyBorder="1" applyAlignment="1">
      <alignment/>
    </xf>
    <xf numFmtId="3" fontId="2" fillId="0" borderId="9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3" fontId="1" fillId="33" borderId="32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/>
    </xf>
    <xf numFmtId="165" fontId="2" fillId="33" borderId="11" xfId="46" applyNumberFormat="1" applyFont="1" applyFill="1" applyBorder="1" applyAlignment="1" applyProtection="1">
      <alignment/>
      <protection/>
    </xf>
    <xf numFmtId="165" fontId="2" fillId="33" borderId="48" xfId="46" applyNumberFormat="1" applyFont="1" applyFill="1" applyBorder="1" applyAlignment="1" applyProtection="1">
      <alignment/>
      <protection/>
    </xf>
    <xf numFmtId="3" fontId="0" fillId="33" borderId="72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165" fontId="0" fillId="33" borderId="29" xfId="46" applyNumberFormat="1" applyFill="1" applyBorder="1" applyAlignment="1" applyProtection="1">
      <alignment/>
      <protection/>
    </xf>
    <xf numFmtId="165" fontId="0" fillId="33" borderId="47" xfId="46" applyNumberFormat="1" applyFill="1" applyBorder="1" applyAlignment="1" applyProtection="1">
      <alignment/>
      <protection/>
    </xf>
    <xf numFmtId="3" fontId="0" fillId="33" borderId="74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3" fontId="0" fillId="33" borderId="75" xfId="0" applyNumberFormat="1" applyFill="1" applyBorder="1" applyAlignment="1">
      <alignment/>
    </xf>
    <xf numFmtId="165" fontId="0" fillId="33" borderId="75" xfId="46" applyNumberFormat="1" applyFill="1" applyBorder="1" applyAlignment="1" applyProtection="1">
      <alignment/>
      <protection/>
    </xf>
    <xf numFmtId="165" fontId="0" fillId="33" borderId="91" xfId="46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>
      <alignment/>
    </xf>
    <xf numFmtId="165" fontId="0" fillId="33" borderId="83" xfId="46" applyNumberFormat="1" applyFill="1" applyBorder="1" applyAlignment="1" applyProtection="1">
      <alignment/>
      <protection/>
    </xf>
    <xf numFmtId="165" fontId="0" fillId="33" borderId="92" xfId="46" applyNumberFormat="1" applyFill="1" applyBorder="1" applyAlignment="1" applyProtection="1">
      <alignment/>
      <protection/>
    </xf>
    <xf numFmtId="3" fontId="0" fillId="33" borderId="93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/>
    </xf>
    <xf numFmtId="165" fontId="0" fillId="33" borderId="11" xfId="46" applyNumberFormat="1" applyFill="1" applyBorder="1" applyAlignment="1" applyProtection="1">
      <alignment/>
      <protection/>
    </xf>
    <xf numFmtId="165" fontId="0" fillId="33" borderId="48" xfId="46" applyNumberFormat="1" applyFill="1" applyBorder="1" applyAlignment="1" applyProtection="1">
      <alignment/>
      <protection/>
    </xf>
    <xf numFmtId="3" fontId="0" fillId="33" borderId="94" xfId="0" applyNumberFormat="1" applyFont="1" applyFill="1" applyBorder="1" applyAlignment="1">
      <alignment horizontal="center"/>
    </xf>
    <xf numFmtId="165" fontId="0" fillId="33" borderId="34" xfId="46" applyNumberFormat="1" applyFill="1" applyBorder="1" applyAlignment="1" applyProtection="1">
      <alignment/>
      <protection/>
    </xf>
    <xf numFmtId="3" fontId="0" fillId="33" borderId="95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/>
    </xf>
    <xf numFmtId="165" fontId="0" fillId="33" borderId="49" xfId="46" applyNumberFormat="1" applyFill="1" applyBorder="1" applyAlignment="1" applyProtection="1">
      <alignment/>
      <protection/>
    </xf>
    <xf numFmtId="165" fontId="0" fillId="33" borderId="50" xfId="46" applyNumberFormat="1" applyFill="1" applyBorder="1" applyAlignment="1" applyProtection="1">
      <alignment/>
      <protection/>
    </xf>
    <xf numFmtId="3" fontId="0" fillId="33" borderId="76" xfId="0" applyNumberFormat="1" applyFont="1" applyFill="1" applyBorder="1" applyAlignment="1">
      <alignment horizontal="center"/>
    </xf>
    <xf numFmtId="165" fontId="0" fillId="33" borderId="33" xfId="46" applyNumberFormat="1" applyFill="1" applyBorder="1" applyAlignment="1" applyProtection="1">
      <alignment/>
      <protection/>
    </xf>
    <xf numFmtId="3" fontId="0" fillId="33" borderId="84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2" fillId="0" borderId="96" xfId="0" applyNumberFormat="1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167" fontId="2" fillId="0" borderId="73" xfId="0" applyNumberFormat="1" applyFont="1" applyFill="1" applyBorder="1" applyAlignment="1">
      <alignment/>
    </xf>
    <xf numFmtId="165" fontId="2" fillId="0" borderId="29" xfId="46" applyNumberFormat="1" applyFont="1" applyFill="1" applyBorder="1" applyAlignment="1" applyProtection="1">
      <alignment/>
      <protection/>
    </xf>
    <xf numFmtId="165" fontId="2" fillId="0" borderId="47" xfId="46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167" fontId="0" fillId="0" borderId="89" xfId="0" applyNumberFormat="1" applyFont="1" applyFill="1" applyBorder="1" applyAlignment="1">
      <alignment/>
    </xf>
    <xf numFmtId="3" fontId="0" fillId="0" borderId="98" xfId="0" applyNumberFormat="1" applyFont="1" applyFill="1" applyBorder="1" applyAlignment="1">
      <alignment horizontal="center"/>
    </xf>
    <xf numFmtId="167" fontId="2" fillId="0" borderId="89" xfId="0" applyNumberFormat="1" applyFont="1" applyFill="1" applyBorder="1" applyAlignment="1">
      <alignment/>
    </xf>
    <xf numFmtId="3" fontId="1" fillId="33" borderId="72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 horizontal="center"/>
    </xf>
    <xf numFmtId="3" fontId="0" fillId="33" borderId="62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 horizontal="center"/>
    </xf>
    <xf numFmtId="3" fontId="0" fillId="33" borderId="97" xfId="0" applyNumberFormat="1" applyFont="1" applyFill="1" applyBorder="1" applyAlignment="1">
      <alignment horizontal="center"/>
    </xf>
    <xf numFmtId="3" fontId="0" fillId="33" borderId="32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/>
    </xf>
    <xf numFmtId="167" fontId="11" fillId="0" borderId="16" xfId="0" applyNumberFormat="1" applyFont="1" applyFill="1" applyBorder="1" applyAlignment="1">
      <alignment/>
    </xf>
    <xf numFmtId="165" fontId="0" fillId="0" borderId="29" xfId="46" applyNumberFormat="1" applyFill="1" applyBorder="1" applyAlignment="1" applyProtection="1">
      <alignment/>
      <protection/>
    </xf>
    <xf numFmtId="3" fontId="2" fillId="0" borderId="62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0" borderId="37" xfId="0" applyNumberFormat="1" applyFont="1" applyFill="1" applyBorder="1" applyAlignment="1">
      <alignment/>
    </xf>
    <xf numFmtId="165" fontId="0" fillId="0" borderId="37" xfId="46" applyNumberFormat="1" applyFill="1" applyBorder="1" applyAlignment="1" applyProtection="1">
      <alignment/>
      <protection/>
    </xf>
    <xf numFmtId="165" fontId="0" fillId="0" borderId="50" xfId="46" applyNumberFormat="1" applyFill="1" applyBorder="1" applyAlignment="1" applyProtection="1">
      <alignment/>
      <protection/>
    </xf>
    <xf numFmtId="3" fontId="0" fillId="33" borderId="89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3" fontId="0" fillId="33" borderId="98" xfId="0" applyNumberFormat="1" applyFont="1" applyFill="1" applyBorder="1" applyAlignment="1">
      <alignment horizontal="center"/>
    </xf>
    <xf numFmtId="165" fontId="0" fillId="33" borderId="37" xfId="46" applyNumberFormat="1" applyFill="1" applyBorder="1" applyAlignment="1" applyProtection="1">
      <alignment/>
      <protection/>
    </xf>
    <xf numFmtId="3" fontId="2" fillId="0" borderId="99" xfId="0" applyNumberFormat="1" applyFont="1" applyFill="1" applyBorder="1" applyAlignment="1">
      <alignment horizontal="center"/>
    </xf>
    <xf numFmtId="3" fontId="17" fillId="0" borderId="40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 vertical="center" wrapText="1"/>
    </xf>
    <xf numFmtId="167" fontId="17" fillId="0" borderId="40" xfId="0" applyNumberFormat="1" applyFont="1" applyFill="1" applyBorder="1" applyAlignment="1">
      <alignment/>
    </xf>
    <xf numFmtId="165" fontId="0" fillId="0" borderId="41" xfId="46" applyNumberFormat="1" applyFill="1" applyBorder="1" applyAlignment="1" applyProtection="1">
      <alignment/>
      <protection/>
    </xf>
    <xf numFmtId="165" fontId="0" fillId="0" borderId="46" xfId="46" applyNumberFormat="1" applyFill="1" applyBorder="1" applyAlignment="1" applyProtection="1">
      <alignment/>
      <protection/>
    </xf>
    <xf numFmtId="3" fontId="2" fillId="0" borderId="14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2" fillId="0" borderId="99" xfId="0" applyNumberFormat="1" applyFont="1" applyFill="1" applyBorder="1" applyAlignment="1">
      <alignment horizontal="center" vertical="center"/>
    </xf>
    <xf numFmtId="3" fontId="17" fillId="0" borderId="40" xfId="0" applyNumberFormat="1" applyFont="1" applyFill="1" applyBorder="1" applyAlignment="1">
      <alignment horizontal="center" vertical="center"/>
    </xf>
    <xf numFmtId="3" fontId="0" fillId="0" borderId="46" xfId="0" applyNumberFormat="1" applyFill="1" applyBorder="1" applyAlignment="1">
      <alignment vertical="center"/>
    </xf>
    <xf numFmtId="3" fontId="2" fillId="0" borderId="14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 horizontal="center"/>
    </xf>
    <xf numFmtId="165" fontId="2" fillId="36" borderId="11" xfId="46" applyNumberFormat="1" applyFont="1" applyFill="1" applyBorder="1" applyAlignment="1" applyProtection="1">
      <alignment horizontal="right" vertical="center"/>
      <protection/>
    </xf>
    <xf numFmtId="165" fontId="2" fillId="36" borderId="48" xfId="46" applyNumberFormat="1" applyFont="1" applyFill="1" applyBorder="1" applyAlignment="1" applyProtection="1">
      <alignment horizontal="right" vertical="center"/>
      <protection/>
    </xf>
    <xf numFmtId="167" fontId="0" fillId="0" borderId="12" xfId="0" applyNumberFormat="1" applyFont="1" applyFill="1" applyBorder="1" applyAlignment="1">
      <alignment horizontal="center"/>
    </xf>
    <xf numFmtId="165" fontId="0" fillId="36" borderId="11" xfId="46" applyNumberFormat="1" applyFill="1" applyBorder="1" applyAlignment="1" applyProtection="1">
      <alignment horizontal="right" vertical="center"/>
      <protection/>
    </xf>
    <xf numFmtId="165" fontId="0" fillId="36" borderId="48" xfId="46" applyNumberFormat="1" applyFill="1" applyBorder="1" applyAlignment="1" applyProtection="1">
      <alignment horizontal="right" vertical="center"/>
      <protection/>
    </xf>
    <xf numFmtId="3" fontId="0" fillId="0" borderId="36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165" fontId="2" fillId="0" borderId="11" xfId="46" applyNumberFormat="1" applyFont="1" applyFill="1" applyBorder="1" applyAlignment="1" applyProtection="1">
      <alignment horizontal="center" vertical="center"/>
      <protection/>
    </xf>
    <xf numFmtId="165" fontId="2" fillId="0" borderId="48" xfId="46" applyNumberFormat="1" applyFont="1" applyFill="1" applyBorder="1" applyAlignment="1" applyProtection="1">
      <alignment horizontal="center" vertical="center"/>
      <protection/>
    </xf>
    <xf numFmtId="165" fontId="0" fillId="0" borderId="11" xfId="46" applyNumberFormat="1" applyFill="1" applyBorder="1" applyAlignment="1" applyProtection="1">
      <alignment horizontal="center" vertical="center"/>
      <protection/>
    </xf>
    <xf numFmtId="165" fontId="0" fillId="0" borderId="48" xfId="46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0" fillId="33" borderId="17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 horizontal="center"/>
    </xf>
    <xf numFmtId="3" fontId="17" fillId="33" borderId="40" xfId="0" applyNumberFormat="1" applyFont="1" applyFill="1" applyBorder="1" applyAlignment="1">
      <alignment horizontal="center"/>
    </xf>
    <xf numFmtId="3" fontId="18" fillId="33" borderId="40" xfId="0" applyNumberFormat="1" applyFont="1" applyFill="1" applyBorder="1" applyAlignment="1">
      <alignment wrapText="1"/>
    </xf>
    <xf numFmtId="3" fontId="15" fillId="33" borderId="40" xfId="0" applyNumberFormat="1" applyFont="1" applyFill="1" applyBorder="1" applyAlignment="1">
      <alignment/>
    </xf>
    <xf numFmtId="165" fontId="2" fillId="33" borderId="41" xfId="46" applyNumberFormat="1" applyFont="1" applyFill="1" applyBorder="1" applyAlignment="1" applyProtection="1">
      <alignment/>
      <protection/>
    </xf>
    <xf numFmtId="165" fontId="2" fillId="33" borderId="46" xfId="46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165" fontId="2" fillId="33" borderId="29" xfId="46" applyNumberFormat="1" applyFont="1" applyFill="1" applyBorder="1" applyAlignment="1" applyProtection="1">
      <alignment/>
      <protection/>
    </xf>
    <xf numFmtId="165" fontId="2" fillId="33" borderId="47" xfId="46" applyNumberFormat="1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36" xfId="0" applyNumberFormat="1" applyFont="1" applyFill="1" applyBorder="1" applyAlignment="1">
      <alignment wrapText="1"/>
    </xf>
    <xf numFmtId="3" fontId="1" fillId="33" borderId="36" xfId="0" applyNumberFormat="1" applyFont="1" applyFill="1" applyBorder="1" applyAlignment="1">
      <alignment/>
    </xf>
    <xf numFmtId="165" fontId="2" fillId="33" borderId="37" xfId="46" applyNumberFormat="1" applyFont="1" applyFill="1" applyBorder="1" applyAlignment="1" applyProtection="1">
      <alignment/>
      <protection/>
    </xf>
    <xf numFmtId="165" fontId="2" fillId="33" borderId="50" xfId="46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>
      <alignment horizontal="center"/>
    </xf>
    <xf numFmtId="3" fontId="0" fillId="33" borderId="25" xfId="0" applyNumberFormat="1" applyFill="1" applyBorder="1" applyAlignment="1">
      <alignment horizontal="center"/>
    </xf>
    <xf numFmtId="165" fontId="2" fillId="33" borderId="23" xfId="46" applyNumberFormat="1" applyFont="1" applyFill="1" applyBorder="1" applyAlignment="1" applyProtection="1">
      <alignment/>
      <protection/>
    </xf>
    <xf numFmtId="3" fontId="0" fillId="0" borderId="100" xfId="0" applyNumberFormat="1" applyFont="1" applyFill="1" applyBorder="1" applyAlignment="1">
      <alignment horizontal="center"/>
    </xf>
    <xf numFmtId="166" fontId="6" fillId="0" borderId="0" xfId="55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36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36" borderId="33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 wrapText="1"/>
    </xf>
    <xf numFmtId="3" fontId="0" fillId="36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101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36" borderId="45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33" borderId="40" xfId="0" applyNumberFormat="1" applyFont="1" applyFill="1" applyBorder="1" applyAlignment="1">
      <alignment horizontal="center"/>
    </xf>
    <xf numFmtId="3" fontId="2" fillId="33" borderId="40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37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3" fontId="0" fillId="0" borderId="32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2" fillId="33" borderId="25" xfId="0" applyFont="1" applyFill="1" applyBorder="1" applyAlignment="1">
      <alignment/>
    </xf>
    <xf numFmtId="165" fontId="2" fillId="33" borderId="25" xfId="4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center" wrapText="1"/>
    </xf>
    <xf numFmtId="165" fontId="0" fillId="0" borderId="13" xfId="46" applyNumberForma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165" fontId="0" fillId="0" borderId="10" xfId="46" applyNumberFormat="1" applyFill="1" applyBorder="1" applyAlignment="1" applyProtection="1">
      <alignment/>
      <protection/>
    </xf>
    <xf numFmtId="3" fontId="0" fillId="36" borderId="10" xfId="0" applyNumberFormat="1" applyFont="1" applyFill="1" applyBorder="1" applyAlignment="1">
      <alignment/>
    </xf>
    <xf numFmtId="0" fontId="3" fillId="38" borderId="75" xfId="0" applyFont="1" applyFill="1" applyBorder="1" applyAlignment="1">
      <alignment horizontal="left" vertical="center" wrapText="1"/>
    </xf>
    <xf numFmtId="3" fontId="0" fillId="0" borderId="16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4" fillId="38" borderId="13" xfId="0" applyFont="1" applyFill="1" applyBorder="1" applyAlignment="1">
      <alignment horizontal="left" vertical="center" wrapText="1"/>
    </xf>
    <xf numFmtId="3" fontId="2" fillId="38" borderId="13" xfId="0" applyNumberFormat="1" applyFont="1" applyFill="1" applyBorder="1" applyAlignment="1">
      <alignment/>
    </xf>
    <xf numFmtId="3" fontId="2" fillId="38" borderId="16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8" borderId="17" xfId="0" applyFont="1" applyFill="1" applyBorder="1" applyAlignment="1">
      <alignment horizontal="left" vertical="center" wrapText="1"/>
    </xf>
    <xf numFmtId="3" fontId="0" fillId="36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left" vertical="center" wrapText="1"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33" xfId="46" applyNumberFormat="1" applyFont="1" applyFill="1" applyBorder="1" applyAlignment="1" applyProtection="1">
      <alignment/>
      <protection/>
    </xf>
    <xf numFmtId="0" fontId="0" fillId="38" borderId="32" xfId="0" applyFont="1" applyFill="1" applyBorder="1" applyAlignment="1">
      <alignment horizontal="left" vertical="center" wrapText="1"/>
    </xf>
    <xf numFmtId="165" fontId="3" fillId="0" borderId="0" xfId="46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" fillId="33" borderId="32" xfId="0" applyFont="1" applyFill="1" applyBorder="1" applyAlignment="1">
      <alignment horizontal="left" vertical="center" wrapText="1"/>
    </xf>
    <xf numFmtId="3" fontId="2" fillId="33" borderId="3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3" fillId="36" borderId="12" xfId="46" applyNumberFormat="1" applyFont="1" applyFill="1" applyBorder="1" applyAlignment="1" applyProtection="1">
      <alignment/>
      <protection/>
    </xf>
    <xf numFmtId="0" fontId="2" fillId="38" borderId="24" xfId="0" applyFont="1" applyFill="1" applyBorder="1" applyAlignment="1">
      <alignment horizontal="left" vertical="center" wrapText="1"/>
    </xf>
    <xf numFmtId="3" fontId="2" fillId="38" borderId="25" xfId="0" applyNumberFormat="1" applyFont="1" applyFill="1" applyBorder="1" applyAlignment="1">
      <alignment/>
    </xf>
    <xf numFmtId="3" fontId="2" fillId="38" borderId="26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165" fontId="2" fillId="0" borderId="13" xfId="46" applyNumberFormat="1" applyFont="1" applyFill="1" applyBorder="1" applyAlignment="1" applyProtection="1">
      <alignment/>
      <protection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3" xfId="0" applyFont="1" applyFill="1" applyBorder="1" applyAlignment="1">
      <alignment/>
    </xf>
    <xf numFmtId="165" fontId="2" fillId="39" borderId="13" xfId="46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wrapText="1"/>
    </xf>
    <xf numFmtId="165" fontId="2" fillId="36" borderId="13" xfId="4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2" fillId="37" borderId="102" xfId="0" applyNumberFormat="1" applyFont="1" applyFill="1" applyBorder="1" applyAlignment="1">
      <alignment horizontal="center" vertical="center"/>
    </xf>
    <xf numFmtId="3" fontId="4" fillId="37" borderId="103" xfId="0" applyNumberFormat="1" applyFont="1" applyFill="1" applyBorder="1" applyAlignment="1">
      <alignment horizontal="center" vertical="center" wrapText="1"/>
    </xf>
    <xf numFmtId="165" fontId="2" fillId="37" borderId="65" xfId="46" applyNumberFormat="1" applyFont="1" applyFill="1" applyBorder="1" applyAlignment="1" applyProtection="1">
      <alignment horizontal="center" vertical="center" wrapText="1"/>
      <protection/>
    </xf>
    <xf numFmtId="165" fontId="2" fillId="37" borderId="104" xfId="46" applyNumberFormat="1" applyFont="1" applyFill="1" applyBorder="1" applyAlignment="1" applyProtection="1">
      <alignment horizontal="center" vertical="center" wrapText="1"/>
      <protection/>
    </xf>
    <xf numFmtId="3" fontId="2" fillId="37" borderId="11" xfId="0" applyNumberFormat="1" applyFont="1" applyFill="1" applyBorder="1" applyAlignment="1">
      <alignment horizontal="center" vertical="center"/>
    </xf>
    <xf numFmtId="3" fontId="2" fillId="37" borderId="90" xfId="0" applyNumberFormat="1" applyFont="1" applyFill="1" applyBorder="1" applyAlignment="1">
      <alignment horizontal="center" vertical="center"/>
    </xf>
    <xf numFmtId="165" fontId="2" fillId="37" borderId="90" xfId="46" applyNumberFormat="1" applyFont="1" applyFill="1" applyBorder="1" applyAlignment="1" applyProtection="1">
      <alignment horizontal="center"/>
      <protection/>
    </xf>
    <xf numFmtId="165" fontId="2" fillId="37" borderId="34" xfId="46" applyNumberFormat="1" applyFont="1" applyFill="1" applyBorder="1" applyAlignment="1" applyProtection="1">
      <alignment horizontal="center"/>
      <protection/>
    </xf>
    <xf numFmtId="3" fontId="0" fillId="0" borderId="90" xfId="0" applyNumberFormat="1" applyFont="1" applyFill="1" applyBorder="1" applyAlignment="1">
      <alignment/>
    </xf>
    <xf numFmtId="3" fontId="0" fillId="0" borderId="90" xfId="0" applyNumberForma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0" fontId="0" fillId="0" borderId="77" xfId="0" applyFont="1" applyFill="1" applyBorder="1" applyAlignment="1">
      <alignment/>
    </xf>
    <xf numFmtId="3" fontId="0" fillId="0" borderId="90" xfId="0" applyNumberFormat="1" applyFont="1" applyFill="1" applyBorder="1" applyAlignment="1">
      <alignment/>
    </xf>
    <xf numFmtId="3" fontId="2" fillId="0" borderId="105" xfId="0" applyNumberFormat="1" applyFont="1" applyFill="1" applyBorder="1" applyAlignment="1">
      <alignment/>
    </xf>
    <xf numFmtId="3" fontId="2" fillId="0" borderId="106" xfId="0" applyNumberFormat="1" applyFont="1" applyFill="1" applyBorder="1" applyAlignment="1">
      <alignment/>
    </xf>
    <xf numFmtId="165" fontId="2" fillId="0" borderId="107" xfId="46" applyNumberFormat="1" applyFont="1" applyFill="1" applyBorder="1" applyAlignment="1" applyProtection="1">
      <alignment/>
      <protection/>
    </xf>
    <xf numFmtId="165" fontId="2" fillId="0" borderId="108" xfId="46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>
      <alignment/>
    </xf>
    <xf numFmtId="3" fontId="0" fillId="0" borderId="97" xfId="0" applyNumberFormat="1" applyFont="1" applyFill="1" applyBorder="1" applyAlignment="1">
      <alignment/>
    </xf>
    <xf numFmtId="165" fontId="0" fillId="0" borderId="36" xfId="46" applyNumberFormat="1" applyFill="1" applyBorder="1" applyAlignment="1" applyProtection="1">
      <alignment/>
      <protection/>
    </xf>
    <xf numFmtId="165" fontId="0" fillId="0" borderId="49" xfId="46" applyNumberFormat="1" applyFill="1" applyBorder="1" applyAlignment="1" applyProtection="1">
      <alignment/>
      <protection/>
    </xf>
    <xf numFmtId="3" fontId="2" fillId="0" borderId="41" xfId="0" applyNumberFormat="1" applyFont="1" applyFill="1" applyBorder="1" applyAlignment="1">
      <alignment/>
    </xf>
    <xf numFmtId="3" fontId="2" fillId="0" borderId="109" xfId="0" applyNumberFormat="1" applyFont="1" applyFill="1" applyBorder="1" applyAlignment="1">
      <alignment/>
    </xf>
    <xf numFmtId="165" fontId="2" fillId="0" borderId="51" xfId="46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3" fontId="13" fillId="0" borderId="11" xfId="0" applyNumberFormat="1" applyFont="1" applyFill="1" applyBorder="1" applyAlignment="1">
      <alignment/>
    </xf>
    <xf numFmtId="3" fontId="9" fillId="0" borderId="90" xfId="0" applyNumberFormat="1" applyFont="1" applyFill="1" applyBorder="1" applyAlignment="1">
      <alignment/>
    </xf>
    <xf numFmtId="165" fontId="9" fillId="0" borderId="12" xfId="46" applyNumberFormat="1" applyFont="1" applyFill="1" applyBorder="1" applyAlignment="1" applyProtection="1">
      <alignment/>
      <protection/>
    </xf>
    <xf numFmtId="165" fontId="9" fillId="0" borderId="33" xfId="46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97" xfId="0" applyNumberFormat="1" applyFont="1" applyFill="1" applyBorder="1" applyAlignment="1">
      <alignment/>
    </xf>
    <xf numFmtId="165" fontId="9" fillId="0" borderId="49" xfId="46" applyNumberFormat="1" applyFont="1" applyFill="1" applyBorder="1" applyAlignment="1" applyProtection="1">
      <alignment/>
      <protection/>
    </xf>
    <xf numFmtId="165" fontId="2" fillId="36" borderId="42" xfId="46" applyNumberFormat="1" applyFont="1" applyFill="1" applyBorder="1" applyAlignment="1" applyProtection="1">
      <alignment/>
      <protection/>
    </xf>
    <xf numFmtId="165" fontId="2" fillId="40" borderId="42" xfId="46" applyNumberFormat="1" applyFont="1" applyFill="1" applyBorder="1" applyAlignment="1" applyProtection="1">
      <alignment/>
      <protection/>
    </xf>
    <xf numFmtId="3" fontId="2" fillId="37" borderId="110" xfId="0" applyNumberFormat="1" applyFont="1" applyFill="1" applyBorder="1" applyAlignment="1">
      <alignment horizontal="center" vertical="center"/>
    </xf>
    <xf numFmtId="3" fontId="4" fillId="37" borderId="111" xfId="0" applyNumberFormat="1" applyFont="1" applyFill="1" applyBorder="1" applyAlignment="1">
      <alignment horizontal="center" vertical="center" wrapText="1"/>
    </xf>
    <xf numFmtId="3" fontId="2" fillId="37" borderId="77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 applyProtection="1">
      <alignment horizontal="center"/>
      <protection/>
    </xf>
    <xf numFmtId="165" fontId="2" fillId="37" borderId="33" xfId="46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>
      <alignment horizontal="center"/>
    </xf>
    <xf numFmtId="3" fontId="2" fillId="0" borderId="1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77" xfId="0" applyNumberFormat="1" applyFont="1" applyFill="1" applyBorder="1" applyAlignment="1">
      <alignment horizontal="center"/>
    </xf>
    <xf numFmtId="165" fontId="0" fillId="36" borderId="33" xfId="46" applyNumberFormat="1" applyFill="1" applyBorder="1" applyAlignment="1" applyProtection="1">
      <alignment/>
      <protection/>
    </xf>
    <xf numFmtId="3" fontId="2" fillId="0" borderId="77" xfId="0" applyNumberFormat="1" applyFont="1" applyFill="1" applyBorder="1" applyAlignment="1">
      <alignment horizontal="center"/>
    </xf>
    <xf numFmtId="165" fontId="2" fillId="36" borderId="33" xfId="46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 horizontal="center"/>
    </xf>
    <xf numFmtId="167" fontId="2" fillId="33" borderId="40" xfId="0" applyNumberFormat="1" applyFont="1" applyFill="1" applyBorder="1" applyAlignment="1">
      <alignment/>
    </xf>
    <xf numFmtId="165" fontId="2" fillId="33" borderId="42" xfId="46" applyNumberFormat="1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7" fontId="0" fillId="36" borderId="14" xfId="0" applyNumberFormat="1" applyFont="1" applyFill="1" applyBorder="1" applyAlignment="1">
      <alignment/>
    </xf>
    <xf numFmtId="165" fontId="0" fillId="36" borderId="30" xfId="46" applyNumberFormat="1" applyFill="1" applyBorder="1" applyAlignment="1" applyProtection="1">
      <alignment/>
      <protection/>
    </xf>
    <xf numFmtId="167" fontId="0" fillId="36" borderId="12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/>
    </xf>
    <xf numFmtId="167" fontId="0" fillId="36" borderId="25" xfId="0" applyNumberFormat="1" applyFont="1" applyFill="1" applyBorder="1" applyAlignment="1">
      <alignment/>
    </xf>
    <xf numFmtId="165" fontId="0" fillId="36" borderId="25" xfId="46" applyNumberFormat="1" applyFill="1" applyBorder="1" applyAlignment="1" applyProtection="1">
      <alignment/>
      <protection/>
    </xf>
    <xf numFmtId="165" fontId="0" fillId="36" borderId="26" xfId="46" applyNumberFormat="1" applyFill="1" applyBorder="1" applyAlignment="1" applyProtection="1">
      <alignment/>
      <protection/>
    </xf>
    <xf numFmtId="3" fontId="9" fillId="36" borderId="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167" fontId="9" fillId="36" borderId="0" xfId="0" applyNumberFormat="1" applyFont="1" applyFill="1" applyBorder="1" applyAlignment="1">
      <alignment/>
    </xf>
    <xf numFmtId="165" fontId="0" fillId="36" borderId="0" xfId="46" applyNumberForma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62" xfId="0" applyNumberFormat="1" applyFont="1" applyFill="1" applyBorder="1" applyAlignment="1">
      <alignment horizontal="center" vertical="center"/>
    </xf>
    <xf numFmtId="165" fontId="2" fillId="33" borderId="29" xfId="46" applyNumberFormat="1" applyFont="1" applyFill="1" applyBorder="1" applyAlignment="1" applyProtection="1">
      <alignment horizontal="center"/>
      <protection/>
    </xf>
    <xf numFmtId="165" fontId="2" fillId="33" borderId="47" xfId="46" applyNumberFormat="1" applyFont="1" applyFill="1" applyBorder="1" applyAlignment="1" applyProtection="1">
      <alignment horizontal="center"/>
      <protection/>
    </xf>
    <xf numFmtId="3" fontId="0" fillId="0" borderId="90" xfId="0" applyNumberFormat="1" applyFont="1" applyBorder="1" applyAlignment="1">
      <alignment/>
    </xf>
    <xf numFmtId="165" fontId="0" fillId="0" borderId="11" xfId="46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3" fontId="2" fillId="0" borderId="90" xfId="0" applyNumberFormat="1" applyFont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90" xfId="0" applyNumberFormat="1" applyFont="1" applyFill="1" applyBorder="1" applyAlignment="1">
      <alignment/>
    </xf>
    <xf numFmtId="165" fontId="13" fillId="0" borderId="11" xfId="46" applyNumberFormat="1" applyFont="1" applyFill="1" applyBorder="1" applyAlignment="1" applyProtection="1">
      <alignment/>
      <protection/>
    </xf>
    <xf numFmtId="165" fontId="13" fillId="0" borderId="48" xfId="46" applyNumberFormat="1" applyFont="1" applyFill="1" applyBorder="1" applyAlignment="1" applyProtection="1">
      <alignment/>
      <protection/>
    </xf>
    <xf numFmtId="3" fontId="13" fillId="0" borderId="37" xfId="0" applyNumberFormat="1" applyFont="1" applyFill="1" applyBorder="1" applyAlignment="1">
      <alignment horizontal="right"/>
    </xf>
    <xf numFmtId="165" fontId="13" fillId="0" borderId="37" xfId="46" applyNumberFormat="1" applyFont="1" applyFill="1" applyBorder="1" applyAlignment="1" applyProtection="1">
      <alignment/>
      <protection/>
    </xf>
    <xf numFmtId="165" fontId="13" fillId="0" borderId="50" xfId="46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left"/>
    </xf>
    <xf numFmtId="165" fontId="2" fillId="0" borderId="37" xfId="46" applyNumberFormat="1" applyFont="1" applyFill="1" applyBorder="1" applyAlignment="1" applyProtection="1">
      <alignment/>
      <protection/>
    </xf>
    <xf numFmtId="165" fontId="2" fillId="0" borderId="50" xfId="46" applyNumberFormat="1" applyFont="1" applyFill="1" applyBorder="1" applyAlignment="1" applyProtection="1">
      <alignment/>
      <protection/>
    </xf>
    <xf numFmtId="0" fontId="2" fillId="37" borderId="41" xfId="0" applyFont="1" applyFill="1" applyBorder="1" applyAlignment="1">
      <alignment/>
    </xf>
    <xf numFmtId="0" fontId="2" fillId="37" borderId="109" xfId="0" applyFont="1" applyFill="1" applyBorder="1" applyAlignment="1">
      <alignment/>
    </xf>
    <xf numFmtId="165" fontId="2" fillId="37" borderId="41" xfId="46" applyNumberFormat="1" applyFont="1" applyFill="1" applyBorder="1" applyAlignment="1" applyProtection="1">
      <alignment/>
      <protection/>
    </xf>
    <xf numFmtId="165" fontId="2" fillId="37" borderId="46" xfId="46" applyNumberFormat="1" applyFont="1" applyFill="1" applyBorder="1" applyAlignment="1" applyProtection="1">
      <alignment/>
      <protection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113" xfId="0" applyNumberFormat="1" applyFont="1" applyFill="1" applyBorder="1" applyAlignment="1">
      <alignment horizontal="center" vertical="center"/>
    </xf>
    <xf numFmtId="3" fontId="2" fillId="33" borderId="111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165" fontId="2" fillId="33" borderId="33" xfId="46" applyNumberFormat="1" applyFont="1" applyFill="1" applyBorder="1" applyAlignment="1" applyProtection="1">
      <alignment horizontal="center"/>
      <protection/>
    </xf>
    <xf numFmtId="3" fontId="2" fillId="0" borderId="74" xfId="0" applyNumberFormat="1" applyFont="1" applyFill="1" applyBorder="1" applyAlignment="1">
      <alignment horizontal="center"/>
    </xf>
    <xf numFmtId="165" fontId="2" fillId="0" borderId="30" xfId="46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>
      <alignment horizontal="center"/>
    </xf>
    <xf numFmtId="165" fontId="0" fillId="0" borderId="34" xfId="46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>
      <alignment horizontal="center"/>
    </xf>
    <xf numFmtId="165" fontId="0" fillId="0" borderId="49" xfId="46" applyNumberFormat="1" applyFont="1" applyFill="1" applyBorder="1" applyAlignment="1" applyProtection="1">
      <alignment/>
      <protection/>
    </xf>
    <xf numFmtId="165" fontId="0" fillId="0" borderId="12" xfId="46" applyNumberFormat="1" applyFont="1" applyFill="1" applyBorder="1" applyAlignment="1" applyProtection="1">
      <alignment/>
      <protection/>
    </xf>
    <xf numFmtId="3" fontId="2" fillId="37" borderId="53" xfId="0" applyNumberFormat="1" applyFont="1" applyFill="1" applyBorder="1" applyAlignment="1">
      <alignment horizontal="center" wrapText="1"/>
    </xf>
    <xf numFmtId="3" fontId="2" fillId="37" borderId="54" xfId="0" applyNumberFormat="1" applyFont="1" applyFill="1" applyBorder="1" applyAlignment="1">
      <alignment horizontal="center"/>
    </xf>
    <xf numFmtId="3" fontId="2" fillId="37" borderId="54" xfId="0" applyNumberFormat="1" applyFont="1" applyFill="1" applyBorder="1" applyAlignment="1">
      <alignment wrapText="1"/>
    </xf>
    <xf numFmtId="167" fontId="2" fillId="37" borderId="54" xfId="0" applyNumberFormat="1" applyFont="1" applyFill="1" applyBorder="1" applyAlignment="1">
      <alignment/>
    </xf>
    <xf numFmtId="165" fontId="2" fillId="37" borderId="55" xfId="46" applyNumberFormat="1" applyFont="1" applyFill="1" applyBorder="1" applyAlignment="1" applyProtection="1">
      <alignment/>
      <protection/>
    </xf>
    <xf numFmtId="165" fontId="2" fillId="37" borderId="56" xfId="46" applyNumberFormat="1" applyFont="1" applyFill="1" applyBorder="1" applyAlignment="1" applyProtection="1">
      <alignment/>
      <protection/>
    </xf>
    <xf numFmtId="165" fontId="0" fillId="36" borderId="31" xfId="46" applyNumberFormat="1" applyFill="1" applyBorder="1" applyAlignment="1" applyProtection="1">
      <alignment/>
      <protection/>
    </xf>
    <xf numFmtId="165" fontId="0" fillId="36" borderId="26" xfId="46" applyNumberFormat="1" applyFont="1" applyFill="1" applyBorder="1" applyAlignment="1" applyProtection="1">
      <alignment horizontal="right"/>
      <protection/>
    </xf>
    <xf numFmtId="165" fontId="0" fillId="36" borderId="26" xfId="46" applyNumberFormat="1" applyFill="1" applyBorder="1" applyAlignment="1" applyProtection="1">
      <alignment horizontal="right"/>
      <protection/>
    </xf>
    <xf numFmtId="165" fontId="0" fillId="36" borderId="27" xfId="46" applyNumberFormat="1" applyFill="1" applyBorder="1" applyAlignment="1" applyProtection="1">
      <alignment horizontal="right"/>
      <protection/>
    </xf>
    <xf numFmtId="165" fontId="0" fillId="0" borderId="0" xfId="46" applyNumberForma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 vertical="center"/>
    </xf>
    <xf numFmtId="165" fontId="2" fillId="33" borderId="40" xfId="46" applyNumberFormat="1" applyFont="1" applyFill="1" applyBorder="1" applyAlignment="1" applyProtection="1">
      <alignment horizontal="center" vertical="center" wrapText="1"/>
      <protection/>
    </xf>
    <xf numFmtId="165" fontId="2" fillId="33" borderId="42" xfId="46" applyNumberFormat="1" applyFont="1" applyFill="1" applyBorder="1" applyAlignment="1" applyProtection="1">
      <alignment horizontal="center" vertical="center" wrapText="1"/>
      <protection/>
    </xf>
    <xf numFmtId="165" fontId="2" fillId="33" borderId="30" xfId="46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165" fontId="2" fillId="0" borderId="30" xfId="46" applyNumberFormat="1" applyFont="1" applyFill="1" applyBorder="1" applyAlignment="1" applyProtection="1">
      <alignment horizontal="center" vertical="center"/>
      <protection/>
    </xf>
    <xf numFmtId="165" fontId="0" fillId="0" borderId="33" xfId="46" applyNumberFormat="1" applyFill="1" applyBorder="1" applyAlignment="1" applyProtection="1">
      <alignment horizontal="center" vertical="center"/>
      <protection/>
    </xf>
    <xf numFmtId="165" fontId="2" fillId="0" borderId="33" xfId="46" applyNumberFormat="1" applyFont="1" applyFill="1" applyBorder="1" applyAlignment="1" applyProtection="1">
      <alignment horizontal="center" vertical="center"/>
      <protection/>
    </xf>
    <xf numFmtId="165" fontId="6" fillId="0" borderId="34" xfId="46" applyNumberFormat="1" applyFont="1" applyFill="1" applyBorder="1" applyAlignment="1" applyProtection="1">
      <alignment/>
      <protection/>
    </xf>
    <xf numFmtId="165" fontId="0" fillId="0" borderId="33" xfId="46" applyNumberFormat="1" applyFont="1" applyFill="1" applyBorder="1" applyAlignment="1" applyProtection="1">
      <alignment horizontal="center" vertical="center"/>
      <protection/>
    </xf>
    <xf numFmtId="165" fontId="6" fillId="0" borderId="38" xfId="46" applyNumberFormat="1" applyFont="1" applyFill="1" applyBorder="1" applyAlignment="1" applyProtection="1">
      <alignment/>
      <protection/>
    </xf>
    <xf numFmtId="3" fontId="5" fillId="37" borderId="41" xfId="0" applyNumberFormat="1" applyFont="1" applyFill="1" applyBorder="1" applyAlignment="1">
      <alignment horizontal="left"/>
    </xf>
    <xf numFmtId="3" fontId="5" fillId="37" borderId="109" xfId="0" applyNumberFormat="1" applyFont="1" applyFill="1" applyBorder="1" applyAlignment="1">
      <alignment horizontal="left"/>
    </xf>
    <xf numFmtId="165" fontId="5" fillId="37" borderId="51" xfId="46" applyNumberFormat="1" applyFont="1" applyFill="1" applyBorder="1" applyAlignment="1" applyProtection="1">
      <alignment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167" fontId="2" fillId="0" borderId="36" xfId="0" applyNumberFormat="1" applyFont="1" applyBorder="1" applyAlignment="1">
      <alignment/>
    </xf>
    <xf numFmtId="165" fontId="0" fillId="36" borderId="29" xfId="46" applyNumberFormat="1" applyFill="1" applyBorder="1" applyAlignment="1" applyProtection="1">
      <alignment horizontal="center" vertical="center"/>
      <protection/>
    </xf>
    <xf numFmtId="165" fontId="0" fillId="36" borderId="47" xfId="46" applyNumberFormat="1" applyFill="1" applyBorder="1" applyAlignment="1" applyProtection="1">
      <alignment horizontal="center" vertical="center"/>
      <protection/>
    </xf>
    <xf numFmtId="165" fontId="0" fillId="36" borderId="31" xfId="46" applyNumberFormat="1" applyFill="1" applyBorder="1" applyAlignment="1" applyProtection="1">
      <alignment horizontal="center" vertical="center"/>
      <protection/>
    </xf>
    <xf numFmtId="165" fontId="0" fillId="36" borderId="11" xfId="46" applyNumberFormat="1" applyFill="1" applyBorder="1" applyAlignment="1" applyProtection="1">
      <alignment horizontal="center" vertical="center"/>
      <protection/>
    </xf>
    <xf numFmtId="165" fontId="0" fillId="36" borderId="48" xfId="46" applyNumberFormat="1" applyFill="1" applyBorder="1" applyAlignment="1" applyProtection="1">
      <alignment horizontal="center" vertical="center"/>
      <protection/>
    </xf>
    <xf numFmtId="165" fontId="0" fillId="36" borderId="34" xfId="46" applyNumberFormat="1" applyFill="1" applyBorder="1" applyAlignment="1" applyProtection="1">
      <alignment horizontal="center" vertical="center"/>
      <protection/>
    </xf>
    <xf numFmtId="165" fontId="0" fillId="36" borderId="23" xfId="46" applyNumberFormat="1" applyFill="1" applyBorder="1" applyAlignment="1" applyProtection="1">
      <alignment horizontal="center" vertical="center"/>
      <protection/>
    </xf>
    <xf numFmtId="165" fontId="0" fillId="36" borderId="82" xfId="46" applyNumberFormat="1" applyFill="1" applyBorder="1" applyAlignment="1" applyProtection="1">
      <alignment horizontal="center" vertical="center"/>
      <protection/>
    </xf>
    <xf numFmtId="165" fontId="0" fillId="36" borderId="27" xfId="46" applyNumberFormat="1" applyFill="1" applyBorder="1" applyAlignment="1" applyProtection="1">
      <alignment horizontal="center" vertical="center"/>
      <protection/>
    </xf>
    <xf numFmtId="165" fontId="0" fillId="36" borderId="0" xfId="46" applyNumberFormat="1" applyFill="1" applyBorder="1" applyAlignment="1" applyProtection="1">
      <alignment horizontal="center" vertical="center"/>
      <protection/>
    </xf>
    <xf numFmtId="165" fontId="2" fillId="33" borderId="26" xfId="46" applyNumberFormat="1" applyFont="1" applyFill="1" applyBorder="1" applyAlignment="1" applyProtection="1">
      <alignment horizontal="center" vertical="center"/>
      <protection/>
    </xf>
    <xf numFmtId="3" fontId="0" fillId="0" borderId="115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2" fillId="0" borderId="116" xfId="0" applyNumberFormat="1" applyFont="1" applyFill="1" applyBorder="1" applyAlignment="1">
      <alignment/>
    </xf>
    <xf numFmtId="165" fontId="2" fillId="0" borderId="21" xfId="46" applyNumberFormat="1" applyFont="1" applyFill="1" applyBorder="1" applyAlignment="1" applyProtection="1">
      <alignment horizontal="right" vertical="center"/>
      <protection/>
    </xf>
    <xf numFmtId="3" fontId="0" fillId="0" borderId="75" xfId="0" applyNumberFormat="1" applyFont="1" applyBorder="1" applyAlignment="1">
      <alignment horizontal="center"/>
    </xf>
    <xf numFmtId="165" fontId="0" fillId="0" borderId="33" xfId="46" applyNumberFormat="1" applyFill="1" applyBorder="1" applyAlignment="1" applyProtection="1">
      <alignment horizontal="right" vertical="center"/>
      <protection/>
    </xf>
    <xf numFmtId="3" fontId="2" fillId="0" borderId="75" xfId="0" applyNumberFormat="1" applyFont="1" applyBorder="1" applyAlignment="1">
      <alignment horizontal="center"/>
    </xf>
    <xf numFmtId="165" fontId="2" fillId="0" borderId="33" xfId="46" applyNumberFormat="1" applyFont="1" applyFill="1" applyBorder="1" applyAlignment="1" applyProtection="1">
      <alignment horizontal="right" vertical="center"/>
      <protection/>
    </xf>
    <xf numFmtId="3" fontId="13" fillId="0" borderId="74" xfId="0" applyNumberFormat="1" applyFont="1" applyBorder="1" applyAlignment="1">
      <alignment horizontal="center"/>
    </xf>
    <xf numFmtId="3" fontId="13" fillId="0" borderId="75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" fontId="13" fillId="0" borderId="90" xfId="0" applyNumberFormat="1" applyFont="1" applyBorder="1" applyAlignment="1">
      <alignment/>
    </xf>
    <xf numFmtId="165" fontId="13" fillId="0" borderId="33" xfId="46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3" fontId="3" fillId="0" borderId="11" xfId="0" applyNumberFormat="1" applyFont="1" applyFill="1" applyBorder="1" applyAlignment="1">
      <alignment/>
    </xf>
    <xf numFmtId="3" fontId="9" fillId="0" borderId="74" xfId="0" applyNumberFormat="1" applyFont="1" applyBorder="1" applyAlignment="1">
      <alignment horizontal="center"/>
    </xf>
    <xf numFmtId="3" fontId="9" fillId="0" borderId="75" xfId="0" applyNumberFormat="1" applyFont="1" applyBorder="1" applyAlignment="1">
      <alignment horizontal="center"/>
    </xf>
    <xf numFmtId="3" fontId="9" fillId="0" borderId="114" xfId="0" applyNumberFormat="1" applyFont="1" applyBorder="1" applyAlignment="1">
      <alignment horizontal="center"/>
    </xf>
    <xf numFmtId="3" fontId="9" fillId="0" borderId="83" xfId="0" applyNumberFormat="1" applyFont="1" applyBorder="1" applyAlignment="1">
      <alignment horizontal="center"/>
    </xf>
    <xf numFmtId="3" fontId="9" fillId="0" borderId="97" xfId="0" applyNumberFormat="1" applyFont="1" applyFill="1" applyBorder="1" applyAlignment="1">
      <alignment/>
    </xf>
    <xf numFmtId="165" fontId="0" fillId="36" borderId="49" xfId="46" applyNumberFormat="1" applyFill="1" applyBorder="1" applyAlignment="1" applyProtection="1">
      <alignment horizontal="right" vertical="center"/>
      <protection/>
    </xf>
    <xf numFmtId="3" fontId="2" fillId="37" borderId="99" xfId="0" applyNumberFormat="1" applyFont="1" applyFill="1" applyBorder="1" applyAlignment="1">
      <alignment horizontal="center"/>
    </xf>
    <xf numFmtId="3" fontId="2" fillId="37" borderId="117" xfId="0" applyNumberFormat="1" applyFont="1" applyFill="1" applyBorder="1" applyAlignment="1">
      <alignment horizontal="center"/>
    </xf>
    <xf numFmtId="3" fontId="2" fillId="37" borderId="41" xfId="0" applyNumberFormat="1" applyFont="1" applyFill="1" applyBorder="1" applyAlignment="1">
      <alignment horizontal="left"/>
    </xf>
    <xf numFmtId="3" fontId="2" fillId="37" borderId="109" xfId="0" applyNumberFormat="1" applyFont="1" applyFill="1" applyBorder="1" applyAlignment="1">
      <alignment horizontal="left"/>
    </xf>
    <xf numFmtId="165" fontId="2" fillId="37" borderId="42" xfId="46" applyNumberFormat="1" applyFont="1" applyFill="1" applyBorder="1" applyAlignment="1" applyProtection="1">
      <alignment horizontal="center" vertical="center"/>
      <protection/>
    </xf>
    <xf numFmtId="165" fontId="2" fillId="33" borderId="25" xfId="46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67" fontId="2" fillId="0" borderId="14" xfId="0" applyNumberFormat="1" applyFont="1" applyFill="1" applyBorder="1" applyAlignment="1">
      <alignment horizontal="center"/>
    </xf>
    <xf numFmtId="165" fontId="2" fillId="0" borderId="30" xfId="46" applyNumberFormat="1" applyFont="1" applyFill="1" applyBorder="1" applyAlignment="1" applyProtection="1">
      <alignment horizontal="right" vertical="center"/>
      <protection/>
    </xf>
    <xf numFmtId="3" fontId="0" fillId="0" borderId="28" xfId="0" applyNumberFormat="1" applyFont="1" applyBorder="1" applyAlignment="1">
      <alignment horizontal="center"/>
    </xf>
    <xf numFmtId="165" fontId="0" fillId="36" borderId="33" xfId="46" applyNumberFormat="1" applyFill="1" applyBorder="1" applyAlignment="1" applyProtection="1">
      <alignment horizontal="right" vertical="center"/>
      <protection/>
    </xf>
    <xf numFmtId="0" fontId="23" fillId="0" borderId="0" xfId="0" applyFont="1" applyAlignment="1">
      <alignment horizontal="justify" vertical="center"/>
    </xf>
    <xf numFmtId="165" fontId="2" fillId="36" borderId="33" xfId="46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 horizontal="center"/>
    </xf>
    <xf numFmtId="167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wrapText="1"/>
    </xf>
    <xf numFmtId="3" fontId="0" fillId="0" borderId="118" xfId="0" applyNumberFormat="1" applyFont="1" applyFill="1" applyBorder="1" applyAlignment="1">
      <alignment horizontal="center"/>
    </xf>
    <xf numFmtId="167" fontId="0" fillId="0" borderId="118" xfId="0" applyNumberFormat="1" applyFont="1" applyBorder="1" applyAlignment="1">
      <alignment horizontal="center"/>
    </xf>
    <xf numFmtId="165" fontId="0" fillId="0" borderId="45" xfId="46" applyNumberFormat="1" applyFill="1" applyBorder="1" applyAlignment="1" applyProtection="1">
      <alignment horizontal="right" vertical="center"/>
      <protection/>
    </xf>
    <xf numFmtId="3" fontId="0" fillId="0" borderId="39" xfId="0" applyNumberFormat="1" applyFont="1" applyBorder="1" applyAlignment="1">
      <alignment horizontal="center"/>
    </xf>
    <xf numFmtId="3" fontId="2" fillId="37" borderId="40" xfId="0" applyNumberFormat="1" applyFont="1" applyFill="1" applyBorder="1" applyAlignment="1">
      <alignment/>
    </xf>
    <xf numFmtId="165" fontId="2" fillId="37" borderId="40" xfId="46" applyNumberFormat="1" applyFont="1" applyFill="1" applyBorder="1" applyAlignment="1" applyProtection="1">
      <alignment horizontal="center" vertical="center"/>
      <protection/>
    </xf>
    <xf numFmtId="1" fontId="0" fillId="36" borderId="14" xfId="0" applyNumberFormat="1" applyFont="1" applyFill="1" applyBorder="1" applyAlignment="1">
      <alignment horizontal="center"/>
    </xf>
    <xf numFmtId="167" fontId="2" fillId="36" borderId="14" xfId="0" applyNumberFormat="1" applyFont="1" applyFill="1" applyBorder="1" applyAlignment="1">
      <alignment/>
    </xf>
    <xf numFmtId="165" fontId="0" fillId="36" borderId="30" xfId="46" applyNumberFormat="1" applyFill="1" applyBorder="1" applyAlignment="1" applyProtection="1">
      <alignment horizontal="right" vertical="center"/>
      <protection/>
    </xf>
    <xf numFmtId="3" fontId="0" fillId="36" borderId="12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8" fillId="33" borderId="12" xfId="0" applyNumberFormat="1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3" fontId="28" fillId="33" borderId="12" xfId="0" applyNumberFormat="1" applyFont="1" applyFill="1" applyBorder="1" applyAlignment="1">
      <alignment horizontal="center"/>
    </xf>
    <xf numFmtId="3" fontId="21" fillId="0" borderId="72" xfId="0" applyNumberFormat="1" applyFont="1" applyFill="1" applyBorder="1" applyAlignment="1">
      <alignment horizontal="center"/>
    </xf>
    <xf numFmtId="3" fontId="28" fillId="0" borderId="119" xfId="0" applyNumberFormat="1" applyFont="1" applyFill="1" applyBorder="1" applyAlignment="1">
      <alignment horizontal="center"/>
    </xf>
    <xf numFmtId="165" fontId="21" fillId="0" borderId="101" xfId="46" applyNumberFormat="1" applyFont="1" applyFill="1" applyBorder="1" applyAlignment="1" applyProtection="1">
      <alignment/>
      <protection/>
    </xf>
    <xf numFmtId="165" fontId="21" fillId="0" borderId="118" xfId="46" applyNumberFormat="1" applyFont="1" applyFill="1" applyBorder="1" applyAlignment="1" applyProtection="1">
      <alignment/>
      <protection/>
    </xf>
    <xf numFmtId="165" fontId="21" fillId="0" borderId="118" xfId="46" applyNumberFormat="1" applyFont="1" applyFill="1" applyBorder="1" applyAlignment="1" applyProtection="1">
      <alignment horizontal="right"/>
      <protection/>
    </xf>
    <xf numFmtId="165" fontId="21" fillId="36" borderId="118" xfId="46" applyNumberFormat="1" applyFont="1" applyFill="1" applyBorder="1" applyAlignment="1" applyProtection="1">
      <alignment/>
      <protection/>
    </xf>
    <xf numFmtId="3" fontId="21" fillId="0" borderId="76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165" fontId="21" fillId="0" borderId="12" xfId="46" applyNumberFormat="1" applyFont="1" applyFill="1" applyBorder="1" applyAlignment="1" applyProtection="1">
      <alignment horizontal="right"/>
      <protection/>
    </xf>
    <xf numFmtId="165" fontId="21" fillId="0" borderId="12" xfId="46" applyNumberFormat="1" applyFont="1" applyFill="1" applyBorder="1" applyAlignment="1" applyProtection="1">
      <alignment/>
      <protection/>
    </xf>
    <xf numFmtId="165" fontId="21" fillId="36" borderId="12" xfId="46" applyNumberFormat="1" applyFont="1" applyFill="1" applyBorder="1" applyAlignment="1" applyProtection="1">
      <alignment/>
      <protection/>
    </xf>
    <xf numFmtId="3" fontId="30" fillId="0" borderId="76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165" fontId="30" fillId="0" borderId="12" xfId="46" applyNumberFormat="1" applyFont="1" applyFill="1" applyBorder="1" applyAlignment="1" applyProtection="1">
      <alignment/>
      <protection/>
    </xf>
    <xf numFmtId="165" fontId="30" fillId="36" borderId="12" xfId="46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165" fontId="21" fillId="0" borderId="12" xfId="46" applyNumberFormat="1" applyFont="1" applyFill="1" applyBorder="1" applyAlignment="1" applyProtection="1">
      <alignment horizontal="center"/>
      <protection/>
    </xf>
    <xf numFmtId="3" fontId="21" fillId="0" borderId="74" xfId="0" applyNumberFormat="1" applyFont="1" applyFill="1" applyBorder="1" applyAlignment="1">
      <alignment horizontal="center"/>
    </xf>
    <xf numFmtId="165" fontId="21" fillId="0" borderId="14" xfId="46" applyNumberFormat="1" applyFont="1" applyFill="1" applyBorder="1" applyAlignment="1" applyProtection="1">
      <alignment horizontal="center"/>
      <protection/>
    </xf>
    <xf numFmtId="165" fontId="21" fillId="0" borderId="14" xfId="46" applyNumberFormat="1" applyFont="1" applyFill="1" applyBorder="1" applyAlignment="1" applyProtection="1">
      <alignment/>
      <protection/>
    </xf>
    <xf numFmtId="165" fontId="21" fillId="0" borderId="14" xfId="46" applyNumberFormat="1" applyFont="1" applyFill="1" applyBorder="1" applyAlignment="1" applyProtection="1">
      <alignment horizontal="right"/>
      <protection/>
    </xf>
    <xf numFmtId="165" fontId="21" fillId="36" borderId="14" xfId="46" applyNumberFormat="1" applyFont="1" applyFill="1" applyBorder="1" applyAlignment="1" applyProtection="1">
      <alignment/>
      <protection/>
    </xf>
    <xf numFmtId="3" fontId="30" fillId="0" borderId="74" xfId="0" applyNumberFormat="1" applyFont="1" applyFill="1" applyBorder="1" applyAlignment="1">
      <alignment horizontal="center"/>
    </xf>
    <xf numFmtId="3" fontId="21" fillId="0" borderId="114" xfId="0" applyNumberFormat="1" applyFont="1" applyFill="1" applyBorder="1" applyAlignment="1">
      <alignment horizontal="center"/>
    </xf>
    <xf numFmtId="3" fontId="21" fillId="0" borderId="101" xfId="0" applyNumberFormat="1" applyFont="1" applyFill="1" applyBorder="1" applyAlignment="1">
      <alignment horizontal="center"/>
    </xf>
    <xf numFmtId="3" fontId="21" fillId="37" borderId="99" xfId="0" applyNumberFormat="1" applyFont="1" applyFill="1" applyBorder="1" applyAlignment="1">
      <alignment horizontal="center"/>
    </xf>
    <xf numFmtId="3" fontId="21" fillId="37" borderId="41" xfId="0" applyNumberFormat="1" applyFont="1" applyFill="1" applyBorder="1" applyAlignment="1">
      <alignment horizontal="center"/>
    </xf>
    <xf numFmtId="3" fontId="28" fillId="37" borderId="41" xfId="0" applyNumberFormat="1" applyFont="1" applyFill="1" applyBorder="1" applyAlignment="1">
      <alignment/>
    </xf>
    <xf numFmtId="3" fontId="28" fillId="37" borderId="109" xfId="0" applyNumberFormat="1" applyFont="1" applyFill="1" applyBorder="1" applyAlignment="1">
      <alignment/>
    </xf>
    <xf numFmtId="3" fontId="28" fillId="37" borderId="109" xfId="0" applyNumberFormat="1" applyFont="1" applyFill="1" applyBorder="1" applyAlignment="1">
      <alignment/>
    </xf>
    <xf numFmtId="3" fontId="28" fillId="33" borderId="97" xfId="0" applyNumberFormat="1" applyFont="1" applyFill="1" applyBorder="1" applyAlignment="1">
      <alignment vertical="center" wrapText="1"/>
    </xf>
    <xf numFmtId="3" fontId="29" fillId="33" borderId="36" xfId="0" applyNumberFormat="1" applyFont="1" applyFill="1" applyBorder="1" applyAlignment="1">
      <alignment horizontal="center" vertical="center" wrapText="1"/>
    </xf>
    <xf numFmtId="3" fontId="29" fillId="33" borderId="113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/>
    </xf>
    <xf numFmtId="3" fontId="28" fillId="0" borderId="112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horizontal="center"/>
    </xf>
    <xf numFmtId="3" fontId="21" fillId="0" borderId="77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 horizontal="center"/>
    </xf>
    <xf numFmtId="3" fontId="28" fillId="0" borderId="77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/>
    </xf>
    <xf numFmtId="3" fontId="28" fillId="36" borderId="12" xfId="0" applyNumberFormat="1" applyFont="1" applyFill="1" applyBorder="1" applyAlignment="1">
      <alignment/>
    </xf>
    <xf numFmtId="3" fontId="21" fillId="36" borderId="12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horizontal="left" vertical="top" wrapText="1"/>
    </xf>
    <xf numFmtId="3" fontId="21" fillId="0" borderId="14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21" fillId="0" borderId="90" xfId="0" applyNumberFormat="1" applyFont="1" applyFill="1" applyBorder="1" applyAlignment="1">
      <alignment horizontal="center"/>
    </xf>
    <xf numFmtId="3" fontId="28" fillId="0" borderId="90" xfId="0" applyNumberFormat="1" applyFont="1" applyFill="1" applyBorder="1" applyAlignment="1">
      <alignment horizontal="center"/>
    </xf>
    <xf numFmtId="3" fontId="28" fillId="0" borderId="13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62" xfId="0" applyNumberFormat="1" applyFont="1" applyFill="1" applyBorder="1" applyAlignment="1">
      <alignment horizontal="center"/>
    </xf>
    <xf numFmtId="3" fontId="21" fillId="0" borderId="62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3" fontId="28" fillId="0" borderId="14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 wrapText="1"/>
    </xf>
    <xf numFmtId="3" fontId="21" fillId="0" borderId="36" xfId="0" applyNumberFormat="1" applyFont="1" applyFill="1" applyBorder="1" applyAlignment="1">
      <alignment horizontal="center"/>
    </xf>
    <xf numFmtId="3" fontId="21" fillId="0" borderId="44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21" fillId="33" borderId="41" xfId="0" applyNumberFormat="1" applyFont="1" applyFill="1" applyBorder="1" applyAlignment="1">
      <alignment horizontal="center"/>
    </xf>
    <xf numFmtId="3" fontId="30" fillId="33" borderId="40" xfId="0" applyNumberFormat="1" applyFont="1" applyFill="1" applyBorder="1" applyAlignment="1">
      <alignment/>
    </xf>
    <xf numFmtId="3" fontId="28" fillId="33" borderId="42" xfId="0" applyNumberFormat="1" applyFont="1" applyFill="1" applyBorder="1" applyAlignment="1">
      <alignment/>
    </xf>
    <xf numFmtId="3" fontId="28" fillId="33" borderId="40" xfId="0" applyNumberFormat="1" applyFont="1" applyFill="1" applyBorder="1" applyAlignment="1">
      <alignment/>
    </xf>
    <xf numFmtId="3" fontId="21" fillId="33" borderId="120" xfId="0" applyNumberFormat="1" applyFont="1" applyFill="1" applyBorder="1" applyAlignment="1">
      <alignment horizontal="center"/>
    </xf>
    <xf numFmtId="3" fontId="21" fillId="33" borderId="14" xfId="0" applyNumberFormat="1" applyFont="1" applyFill="1" applyBorder="1" applyAlignment="1">
      <alignment/>
    </xf>
    <xf numFmtId="3" fontId="21" fillId="33" borderId="94" xfId="0" applyNumberFormat="1" applyFont="1" applyFill="1" applyBorder="1" applyAlignment="1">
      <alignment horizontal="center"/>
    </xf>
    <xf numFmtId="3" fontId="21" fillId="33" borderId="12" xfId="0" applyNumberFormat="1" applyFont="1" applyFill="1" applyBorder="1" applyAlignment="1">
      <alignment/>
    </xf>
    <xf numFmtId="3" fontId="21" fillId="33" borderId="12" xfId="0" applyNumberFormat="1" applyFont="1" applyFill="1" applyBorder="1" applyAlignment="1">
      <alignment horizontal="left"/>
    </xf>
    <xf numFmtId="3" fontId="21" fillId="33" borderId="95" xfId="0" applyNumberFormat="1" applyFont="1" applyFill="1" applyBorder="1" applyAlignment="1">
      <alignment horizontal="center"/>
    </xf>
    <xf numFmtId="3" fontId="21" fillId="33" borderId="36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3" fontId="21" fillId="33" borderId="36" xfId="0" applyNumberFormat="1" applyFont="1" applyFill="1" applyBorder="1" applyAlignment="1">
      <alignment horizontal="center"/>
    </xf>
    <xf numFmtId="3" fontId="21" fillId="33" borderId="12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0" fontId="31" fillId="41" borderId="0" xfId="0" applyFont="1" applyFill="1" applyAlignment="1">
      <alignment/>
    </xf>
    <xf numFmtId="3" fontId="31" fillId="41" borderId="0" xfId="0" applyNumberFormat="1" applyFont="1" applyFill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6" xfId="0" applyFont="1" applyBorder="1" applyAlignment="1">
      <alignment/>
    </xf>
    <xf numFmtId="165" fontId="2" fillId="0" borderId="96" xfId="46" applyNumberFormat="1" applyFont="1" applyFill="1" applyBorder="1" applyAlignment="1" applyProtection="1">
      <alignment/>
      <protection/>
    </xf>
    <xf numFmtId="165" fontId="2" fillId="0" borderId="46" xfId="46" applyNumberFormat="1" applyFont="1" applyFill="1" applyBorder="1" applyAlignment="1" applyProtection="1">
      <alignment/>
      <protection/>
    </xf>
    <xf numFmtId="165" fontId="0" fillId="0" borderId="14" xfId="46" applyNumberFormat="1" applyFont="1" applyFill="1" applyBorder="1" applyAlignment="1" applyProtection="1">
      <alignment/>
      <protection/>
    </xf>
    <xf numFmtId="165" fontId="0" fillId="0" borderId="29" xfId="46" applyNumberFormat="1" applyFont="1" applyFill="1" applyBorder="1" applyAlignment="1" applyProtection="1">
      <alignment/>
      <protection/>
    </xf>
    <xf numFmtId="165" fontId="0" fillId="0" borderId="30" xfId="46" applyNumberFormat="1" applyFont="1" applyFill="1" applyBorder="1" applyAlignment="1" applyProtection="1">
      <alignment/>
      <protection/>
    </xf>
    <xf numFmtId="165" fontId="0" fillId="0" borderId="12" xfId="46" applyNumberFormat="1" applyFont="1" applyFill="1" applyBorder="1" applyAlignment="1" applyProtection="1">
      <alignment horizontal="center"/>
      <protection/>
    </xf>
    <xf numFmtId="165" fontId="0" fillId="0" borderId="37" xfId="46" applyNumberFormat="1" applyFont="1" applyFill="1" applyBorder="1" applyAlignment="1" applyProtection="1">
      <alignment/>
      <protection/>
    </xf>
    <xf numFmtId="0" fontId="2" fillId="0" borderId="121" xfId="0" applyFont="1" applyBorder="1" applyAlignment="1">
      <alignment/>
    </xf>
    <xf numFmtId="165" fontId="2" fillId="0" borderId="53" xfId="46" applyNumberFormat="1" applyFont="1" applyFill="1" applyBorder="1" applyAlignment="1" applyProtection="1">
      <alignment/>
      <protection/>
    </xf>
    <xf numFmtId="165" fontId="2" fillId="0" borderId="54" xfId="46" applyNumberFormat="1" applyFont="1" applyFill="1" applyBorder="1" applyAlignment="1" applyProtection="1">
      <alignment/>
      <protection/>
    </xf>
    <xf numFmtId="165" fontId="2" fillId="0" borderId="52" xfId="46" applyNumberFormat="1" applyFont="1" applyFill="1" applyBorder="1" applyAlignment="1" applyProtection="1">
      <alignment/>
      <protection/>
    </xf>
    <xf numFmtId="165" fontId="2" fillId="0" borderId="55" xfId="46" applyNumberFormat="1" applyFont="1" applyFill="1" applyBorder="1" applyAlignment="1" applyProtection="1">
      <alignment/>
      <protection/>
    </xf>
    <xf numFmtId="165" fontId="2" fillId="0" borderId="40" xfId="46" applyNumberFormat="1" applyFont="1" applyFill="1" applyBorder="1" applyAlignment="1" applyProtection="1">
      <alignment/>
      <protection/>
    </xf>
    <xf numFmtId="165" fontId="2" fillId="0" borderId="42" xfId="46" applyNumberFormat="1" applyFont="1" applyFill="1" applyBorder="1" applyAlignment="1" applyProtection="1">
      <alignment/>
      <protection/>
    </xf>
    <xf numFmtId="165" fontId="9" fillId="0" borderId="14" xfId="46" applyNumberFormat="1" applyFont="1" applyFill="1" applyBorder="1" applyAlignment="1" applyProtection="1">
      <alignment/>
      <protection/>
    </xf>
    <xf numFmtId="165" fontId="9" fillId="0" borderId="30" xfId="46" applyNumberFormat="1" applyFont="1" applyFill="1" applyBorder="1" applyAlignment="1" applyProtection="1">
      <alignment/>
      <protection/>
    </xf>
    <xf numFmtId="165" fontId="9" fillId="0" borderId="32" xfId="46" applyNumberFormat="1" applyFont="1" applyFill="1" applyBorder="1" applyAlignment="1" applyProtection="1">
      <alignment/>
      <protection/>
    </xf>
    <xf numFmtId="0" fontId="0" fillId="0" borderId="37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3" fontId="2" fillId="33" borderId="37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29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65" fontId="0" fillId="0" borderId="97" xfId="46" applyNumberFormat="1" applyFill="1" applyBorder="1" applyAlignment="1" applyProtection="1">
      <alignment/>
      <protection/>
    </xf>
    <xf numFmtId="165" fontId="0" fillId="36" borderId="36" xfId="46" applyNumberFormat="1" applyFill="1" applyBorder="1" applyAlignment="1" applyProtection="1">
      <alignment vertical="center"/>
      <protection/>
    </xf>
    <xf numFmtId="3" fontId="0" fillId="0" borderId="37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165" fontId="0" fillId="36" borderId="90" xfId="46" applyNumberFormat="1" applyFill="1" applyBorder="1" applyAlignment="1" applyProtection="1">
      <alignment/>
      <protection/>
    </xf>
    <xf numFmtId="0" fontId="0" fillId="36" borderId="0" xfId="0" applyFill="1" applyAlignment="1">
      <alignment/>
    </xf>
    <xf numFmtId="3" fontId="2" fillId="36" borderId="12" xfId="0" applyNumberFormat="1" applyFont="1" applyFill="1" applyBorder="1" applyAlignment="1">
      <alignment horizontal="right"/>
    </xf>
    <xf numFmtId="165" fontId="2" fillId="36" borderId="90" xfId="46" applyNumberFormat="1" applyFont="1" applyFill="1" applyBorder="1" applyAlignment="1" applyProtection="1">
      <alignment/>
      <protection/>
    </xf>
    <xf numFmtId="0" fontId="2" fillId="36" borderId="29" xfId="0" applyFont="1" applyFill="1" applyBorder="1" applyAlignment="1">
      <alignment horizontal="center"/>
    </xf>
    <xf numFmtId="165" fontId="0" fillId="0" borderId="90" xfId="46" applyNumberForma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3" fontId="0" fillId="0" borderId="14" xfId="0" applyNumberFormat="1" applyFont="1" applyFill="1" applyBorder="1" applyAlignment="1">
      <alignment wrapText="1"/>
    </xf>
    <xf numFmtId="165" fontId="0" fillId="0" borderId="62" xfId="46" applyNumberFormat="1" applyFill="1" applyBorder="1" applyAlignment="1" applyProtection="1">
      <alignment/>
      <protection/>
    </xf>
    <xf numFmtId="0" fontId="0" fillId="36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 wrapText="1"/>
    </xf>
    <xf numFmtId="0" fontId="2" fillId="35" borderId="19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20" xfId="46" applyNumberFormat="1" applyFont="1" applyFill="1" applyBorder="1" applyAlignment="1" applyProtection="1">
      <alignment/>
      <protection/>
    </xf>
    <xf numFmtId="165" fontId="2" fillId="35" borderId="21" xfId="46" applyNumberFormat="1" applyFont="1" applyFill="1" applyBorder="1" applyAlignment="1" applyProtection="1">
      <alignment/>
      <protection/>
    </xf>
    <xf numFmtId="0" fontId="9" fillId="35" borderId="28" xfId="0" applyFont="1" applyFill="1" applyBorder="1" applyAlignment="1">
      <alignment/>
    </xf>
    <xf numFmtId="165" fontId="9" fillId="35" borderId="14" xfId="46" applyNumberFormat="1" applyFont="1" applyFill="1" applyBorder="1" applyAlignment="1" applyProtection="1">
      <alignment/>
      <protection/>
    </xf>
    <xf numFmtId="165" fontId="9" fillId="35" borderId="30" xfId="46" applyNumberFormat="1" applyFont="1" applyFill="1" applyBorder="1" applyAlignment="1" applyProtection="1">
      <alignment/>
      <protection/>
    </xf>
    <xf numFmtId="0" fontId="9" fillId="35" borderId="0" xfId="0" applyFont="1" applyFill="1" applyAlignment="1">
      <alignment/>
    </xf>
    <xf numFmtId="0" fontId="9" fillId="35" borderId="32" xfId="0" applyFont="1" applyFill="1" applyBorder="1" applyAlignment="1">
      <alignment/>
    </xf>
    <xf numFmtId="165" fontId="9" fillId="35" borderId="12" xfId="46" applyNumberFormat="1" applyFont="1" applyFill="1" applyBorder="1" applyAlignment="1" applyProtection="1">
      <alignment/>
      <protection/>
    </xf>
    <xf numFmtId="0" fontId="2" fillId="35" borderId="32" xfId="0" applyFont="1" applyFill="1" applyBorder="1" applyAlignment="1">
      <alignment/>
    </xf>
    <xf numFmtId="165" fontId="2" fillId="35" borderId="33" xfId="46" applyNumberFormat="1" applyFont="1" applyFill="1" applyBorder="1" applyAlignment="1" applyProtection="1">
      <alignment/>
      <protection/>
    </xf>
    <xf numFmtId="165" fontId="9" fillId="35" borderId="33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30" xfId="46" applyNumberFormat="1" applyFont="1" applyFill="1" applyBorder="1" applyAlignment="1" applyProtection="1">
      <alignment/>
      <protection/>
    </xf>
    <xf numFmtId="0" fontId="2" fillId="35" borderId="24" xfId="0" applyFont="1" applyFill="1" applyBorder="1" applyAlignment="1">
      <alignment/>
    </xf>
    <xf numFmtId="165" fontId="2" fillId="35" borderId="25" xfId="46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/>
    </xf>
    <xf numFmtId="3" fontId="0" fillId="0" borderId="75" xfId="0" applyNumberFormat="1" applyFont="1" applyFill="1" applyBorder="1" applyAlignment="1">
      <alignment horizontal="center"/>
    </xf>
    <xf numFmtId="3" fontId="28" fillId="0" borderId="75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/>
    </xf>
    <xf numFmtId="165" fontId="28" fillId="0" borderId="38" xfId="46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>
      <alignment horizontal="center"/>
    </xf>
    <xf numFmtId="165" fontId="28" fillId="0" borderId="34" xfId="4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wrapText="1"/>
    </xf>
    <xf numFmtId="3" fontId="2" fillId="37" borderId="52" xfId="0" applyNumberFormat="1" applyFont="1" applyFill="1" applyBorder="1" applyAlignment="1">
      <alignment horizontal="center"/>
    </xf>
    <xf numFmtId="3" fontId="2" fillId="37" borderId="23" xfId="0" applyNumberFormat="1" applyFont="1" applyFill="1" applyBorder="1" applyAlignment="1">
      <alignment horizontal="center"/>
    </xf>
    <xf numFmtId="3" fontId="2" fillId="37" borderId="52" xfId="0" applyNumberFormat="1" applyFont="1" applyFill="1" applyBorder="1" applyAlignment="1">
      <alignment/>
    </xf>
    <xf numFmtId="165" fontId="2" fillId="37" borderId="122" xfId="46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3" fontId="2" fillId="33" borderId="123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 wrapText="1"/>
    </xf>
    <xf numFmtId="165" fontId="2" fillId="33" borderId="123" xfId="46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 horizontal="center"/>
    </xf>
    <xf numFmtId="3" fontId="2" fillId="40" borderId="16" xfId="0" applyNumberFormat="1" applyFont="1" applyFill="1" applyBorder="1" applyAlignment="1">
      <alignment horizontal="center"/>
    </xf>
    <xf numFmtId="3" fontId="2" fillId="40" borderId="97" xfId="0" applyNumberFormat="1" applyFont="1" applyFill="1" applyBorder="1" applyAlignment="1">
      <alignment horizontal="center"/>
    </xf>
    <xf numFmtId="3" fontId="2" fillId="40" borderId="36" xfId="0" applyNumberFormat="1" applyFont="1" applyFill="1" applyBorder="1" applyAlignment="1">
      <alignment/>
    </xf>
    <xf numFmtId="165" fontId="2" fillId="40" borderId="36" xfId="46" applyNumberFormat="1" applyFont="1" applyFill="1" applyBorder="1" applyAlignment="1" applyProtection="1">
      <alignment/>
      <protection/>
    </xf>
    <xf numFmtId="0" fontId="0" fillId="40" borderId="12" xfId="0" applyFill="1" applyBorder="1" applyAlignment="1">
      <alignment/>
    </xf>
    <xf numFmtId="3" fontId="4" fillId="40" borderId="12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165" fontId="2" fillId="40" borderId="12" xfId="46" applyNumberFormat="1" applyFont="1" applyFill="1" applyBorder="1" applyAlignment="1" applyProtection="1">
      <alignment/>
      <protection/>
    </xf>
    <xf numFmtId="0" fontId="2" fillId="0" borderId="9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97" xfId="0" applyNumberFormat="1" applyFont="1" applyFill="1" applyBorder="1" applyAlignment="1">
      <alignment/>
    </xf>
    <xf numFmtId="3" fontId="2" fillId="40" borderId="90" xfId="0" applyNumberFormat="1" applyFont="1" applyFill="1" applyBorder="1" applyAlignment="1">
      <alignment/>
    </xf>
    <xf numFmtId="3" fontId="2" fillId="0" borderId="124" xfId="0" applyNumberFormat="1" applyFont="1" applyFill="1" applyBorder="1" applyAlignment="1">
      <alignment/>
    </xf>
    <xf numFmtId="167" fontId="0" fillId="0" borderId="124" xfId="0" applyNumberFormat="1" applyFont="1" applyBorder="1" applyAlignment="1">
      <alignment/>
    </xf>
    <xf numFmtId="3" fontId="0" fillId="0" borderId="124" xfId="0" applyNumberFormat="1" applyFont="1" applyFill="1" applyBorder="1" applyAlignment="1">
      <alignment/>
    </xf>
    <xf numFmtId="3" fontId="15" fillId="37" borderId="125" xfId="0" applyNumberFormat="1" applyFont="1" applyFill="1" applyBorder="1" applyAlignment="1">
      <alignment wrapText="1"/>
    </xf>
    <xf numFmtId="167" fontId="5" fillId="37" borderId="125" xfId="0" applyNumberFormat="1" applyFont="1" applyFill="1" applyBorder="1" applyAlignment="1">
      <alignment/>
    </xf>
    <xf numFmtId="165" fontId="5" fillId="37" borderId="126" xfId="46" applyNumberFormat="1" applyFont="1" applyFill="1" applyBorder="1" applyAlignment="1" applyProtection="1">
      <alignment/>
      <protection/>
    </xf>
    <xf numFmtId="165" fontId="5" fillId="37" borderId="127" xfId="46" applyNumberFormat="1" applyFont="1" applyFill="1" applyBorder="1" applyAlignment="1" applyProtection="1">
      <alignment/>
      <protection/>
    </xf>
    <xf numFmtId="165" fontId="5" fillId="37" borderId="128" xfId="46" applyNumberFormat="1" applyFont="1" applyFill="1" applyBorder="1" applyAlignment="1" applyProtection="1">
      <alignment/>
      <protection/>
    </xf>
    <xf numFmtId="165" fontId="5" fillId="37" borderId="129" xfId="46" applyNumberFormat="1" applyFont="1" applyFill="1" applyBorder="1" applyAlignment="1" applyProtection="1">
      <alignment/>
      <protection/>
    </xf>
    <xf numFmtId="3" fontId="2" fillId="33" borderId="125" xfId="0" applyNumberFormat="1" applyFont="1" applyFill="1" applyBorder="1" applyAlignment="1">
      <alignment horizontal="center" vertical="center" wrapText="1"/>
    </xf>
    <xf numFmtId="165" fontId="2" fillId="33" borderId="126" xfId="46" applyNumberFormat="1" applyFont="1" applyFill="1" applyBorder="1" applyAlignment="1" applyProtection="1">
      <alignment horizontal="center" vertical="center" wrapText="1"/>
      <protection/>
    </xf>
    <xf numFmtId="165" fontId="2" fillId="33" borderId="127" xfId="46" applyNumberFormat="1" applyFont="1" applyFill="1" applyBorder="1" applyAlignment="1" applyProtection="1">
      <alignment horizontal="center" vertical="center" wrapText="1"/>
      <protection/>
    </xf>
    <xf numFmtId="165" fontId="2" fillId="33" borderId="128" xfId="46" applyNumberFormat="1" applyFont="1" applyFill="1" applyBorder="1" applyAlignment="1" applyProtection="1">
      <alignment horizontal="center" vertical="center" wrapText="1"/>
      <protection/>
    </xf>
    <xf numFmtId="165" fontId="2" fillId="33" borderId="129" xfId="46" applyNumberFormat="1" applyFont="1" applyFill="1" applyBorder="1" applyAlignment="1" applyProtection="1">
      <alignment horizontal="center" vertical="center" wrapText="1"/>
      <protection/>
    </xf>
    <xf numFmtId="165" fontId="2" fillId="33" borderId="126" xfId="46" applyNumberFormat="1" applyFont="1" applyFill="1" applyBorder="1" applyAlignment="1" applyProtection="1">
      <alignment horizontal="center" vertical="center"/>
      <protection/>
    </xf>
    <xf numFmtId="165" fontId="2" fillId="33" borderId="127" xfId="46" applyNumberFormat="1" applyFont="1" applyFill="1" applyBorder="1" applyAlignment="1" applyProtection="1">
      <alignment horizontal="center" vertical="center"/>
      <protection/>
    </xf>
    <xf numFmtId="165" fontId="2" fillId="33" borderId="128" xfId="46" applyNumberFormat="1" applyFont="1" applyFill="1" applyBorder="1" applyAlignment="1" applyProtection="1">
      <alignment horizontal="center" vertical="center"/>
      <protection/>
    </xf>
    <xf numFmtId="165" fontId="2" fillId="33" borderId="129" xfId="46" applyNumberFormat="1" applyFont="1" applyFill="1" applyBorder="1" applyAlignment="1" applyProtection="1">
      <alignment horizontal="center" vertical="center"/>
      <protection/>
    </xf>
    <xf numFmtId="3" fontId="2" fillId="0" borderId="130" xfId="0" applyNumberFormat="1" applyFont="1" applyFill="1" applyBorder="1" applyAlignment="1">
      <alignment/>
    </xf>
    <xf numFmtId="167" fontId="2" fillId="0" borderId="130" xfId="0" applyNumberFormat="1" applyFont="1" applyFill="1" applyBorder="1" applyAlignment="1">
      <alignment/>
    </xf>
    <xf numFmtId="165" fontId="2" fillId="0" borderId="131" xfId="46" applyNumberFormat="1" applyFont="1" applyFill="1" applyBorder="1" applyAlignment="1" applyProtection="1">
      <alignment horizontal="center" vertical="center"/>
      <protection/>
    </xf>
    <xf numFmtId="165" fontId="0" fillId="0" borderId="132" xfId="46" applyNumberFormat="1" applyFill="1" applyBorder="1" applyAlignment="1" applyProtection="1">
      <alignment horizontal="center" vertical="center"/>
      <protection/>
    </xf>
    <xf numFmtId="165" fontId="2" fillId="0" borderId="132" xfId="46" applyNumberFormat="1" applyFont="1" applyFill="1" applyBorder="1" applyAlignment="1" applyProtection="1">
      <alignment horizontal="center" vertical="center"/>
      <protection/>
    </xf>
    <xf numFmtId="165" fontId="2" fillId="0" borderId="133" xfId="46" applyNumberFormat="1" applyFont="1" applyFill="1" applyBorder="1" applyAlignment="1" applyProtection="1">
      <alignment horizontal="center" vertical="center"/>
      <protection/>
    </xf>
    <xf numFmtId="165" fontId="0" fillId="0" borderId="133" xfId="46" applyNumberFormat="1" applyFill="1" applyBorder="1" applyAlignment="1" applyProtection="1">
      <alignment horizontal="center" vertical="center"/>
      <protection/>
    </xf>
    <xf numFmtId="165" fontId="0" fillId="0" borderId="134" xfId="46" applyNumberFormat="1" applyFill="1" applyBorder="1" applyAlignment="1" applyProtection="1">
      <alignment horizontal="center" vertical="center"/>
      <protection/>
    </xf>
    <xf numFmtId="3" fontId="0" fillId="0" borderId="135" xfId="0" applyNumberFormat="1" applyFont="1" applyFill="1" applyBorder="1" applyAlignment="1">
      <alignment/>
    </xf>
    <xf numFmtId="167" fontId="0" fillId="0" borderId="135" xfId="0" applyNumberFormat="1" applyFont="1" applyBorder="1" applyAlignment="1">
      <alignment/>
    </xf>
    <xf numFmtId="165" fontId="0" fillId="0" borderId="136" xfId="46" applyNumberFormat="1" applyFill="1" applyBorder="1" applyAlignment="1" applyProtection="1">
      <alignment horizontal="center" vertical="center"/>
      <protection/>
    </xf>
    <xf numFmtId="165" fontId="2" fillId="0" borderId="137" xfId="46" applyNumberFormat="1" applyFont="1" applyFill="1" applyBorder="1" applyAlignment="1" applyProtection="1">
      <alignment horizontal="center" vertical="center"/>
      <protection/>
    </xf>
    <xf numFmtId="165" fontId="0" fillId="0" borderId="138" xfId="46" applyNumberFormat="1" applyFill="1" applyBorder="1" applyAlignment="1" applyProtection="1">
      <alignment horizontal="center" vertical="center"/>
      <protection/>
    </xf>
    <xf numFmtId="165" fontId="2" fillId="0" borderId="138" xfId="46" applyNumberFormat="1" applyFont="1" applyFill="1" applyBorder="1" applyAlignment="1" applyProtection="1">
      <alignment horizontal="center" vertical="center"/>
      <protection/>
    </xf>
    <xf numFmtId="165" fontId="2" fillId="0" borderId="139" xfId="46" applyNumberFormat="1" applyFont="1" applyFill="1" applyBorder="1" applyAlignment="1" applyProtection="1">
      <alignment horizontal="center" vertical="center"/>
      <protection/>
    </xf>
    <xf numFmtId="165" fontId="0" fillId="0" borderId="139" xfId="46" applyNumberFormat="1" applyFill="1" applyBorder="1" applyAlignment="1" applyProtection="1">
      <alignment horizontal="center" vertical="center"/>
      <protection/>
    </xf>
    <xf numFmtId="165" fontId="0" fillId="0" borderId="140" xfId="46" applyNumberFormat="1" applyFill="1" applyBorder="1" applyAlignment="1" applyProtection="1">
      <alignment horizontal="center" vertical="center"/>
      <protection/>
    </xf>
    <xf numFmtId="165" fontId="0" fillId="0" borderId="141" xfId="46" applyNumberFormat="1" applyFill="1" applyBorder="1" applyAlignment="1" applyProtection="1">
      <alignment horizontal="center" vertical="center"/>
      <protection/>
    </xf>
    <xf numFmtId="167" fontId="2" fillId="0" borderId="124" xfId="0" applyNumberFormat="1" applyFont="1" applyBorder="1" applyAlignment="1">
      <alignment/>
    </xf>
    <xf numFmtId="165" fontId="2" fillId="0" borderId="134" xfId="46" applyNumberFormat="1" applyFont="1" applyFill="1" applyBorder="1" applyAlignment="1" applyProtection="1">
      <alignment horizontal="center" vertical="center"/>
      <protection/>
    </xf>
    <xf numFmtId="165" fontId="2" fillId="0" borderId="140" xfId="46" applyNumberFormat="1" applyFont="1" applyFill="1" applyBorder="1" applyAlignment="1" applyProtection="1">
      <alignment horizontal="center" vertical="center"/>
      <protection/>
    </xf>
    <xf numFmtId="3" fontId="0" fillId="0" borderId="124" xfId="0" applyNumberFormat="1" applyFill="1" applyBorder="1" applyAlignment="1">
      <alignment horizontal="center"/>
    </xf>
    <xf numFmtId="3" fontId="0" fillId="0" borderId="74" xfId="0" applyNumberFormat="1" applyFill="1" applyBorder="1" applyAlignment="1">
      <alignment horizontal="center"/>
    </xf>
    <xf numFmtId="3" fontId="0" fillId="0" borderId="69" xfId="0" applyNumberFormat="1" applyFill="1" applyBorder="1" applyAlignment="1">
      <alignment horizontal="center"/>
    </xf>
    <xf numFmtId="3" fontId="2" fillId="0" borderId="124" xfId="0" applyNumberFormat="1" applyFont="1" applyBorder="1" applyAlignment="1">
      <alignment horizontal="center"/>
    </xf>
    <xf numFmtId="3" fontId="2" fillId="37" borderId="14" xfId="0" applyNumberFormat="1" applyFont="1" applyFill="1" applyBorder="1" applyAlignment="1">
      <alignment vertical="center" wrapText="1"/>
    </xf>
    <xf numFmtId="3" fontId="2" fillId="37" borderId="111" xfId="0" applyNumberFormat="1" applyFont="1" applyFill="1" applyBorder="1" applyAlignment="1">
      <alignment horizontal="center" vertical="center" wrapText="1"/>
    </xf>
    <xf numFmtId="165" fontId="21" fillId="0" borderId="12" xfId="46" applyNumberFormat="1" applyFont="1" applyFill="1" applyBorder="1" applyAlignment="1" applyProtection="1">
      <alignment horizontal="left"/>
      <protection/>
    </xf>
    <xf numFmtId="3" fontId="0" fillId="36" borderId="36" xfId="0" applyNumberFormat="1" applyFont="1" applyFill="1" applyBorder="1" applyAlignment="1">
      <alignment/>
    </xf>
    <xf numFmtId="3" fontId="0" fillId="0" borderId="124" xfId="0" applyNumberFormat="1" applyFont="1" applyBorder="1" applyAlignment="1">
      <alignment horizontal="center"/>
    </xf>
    <xf numFmtId="3" fontId="0" fillId="0" borderId="124" xfId="0" applyNumberFormat="1" applyFont="1" applyBorder="1" applyAlignment="1">
      <alignment/>
    </xf>
    <xf numFmtId="3" fontId="0" fillId="36" borderId="124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38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3" fontId="2" fillId="37" borderId="40" xfId="0" applyNumberFormat="1" applyFont="1" applyFill="1" applyBorder="1" applyAlignment="1">
      <alignment wrapText="1"/>
    </xf>
    <xf numFmtId="168" fontId="2" fillId="37" borderId="40" xfId="0" applyNumberFormat="1" applyFont="1" applyFill="1" applyBorder="1" applyAlignment="1">
      <alignment wrapText="1"/>
    </xf>
    <xf numFmtId="167" fontId="2" fillId="0" borderId="12" xfId="0" applyNumberFormat="1" applyFont="1" applyBorder="1" applyAlignment="1">
      <alignment horizontal="center"/>
    </xf>
    <xf numFmtId="165" fontId="21" fillId="42" borderId="12" xfId="46" applyNumberFormat="1" applyFont="1" applyFill="1" applyBorder="1" applyAlignment="1" applyProtection="1">
      <alignment/>
      <protection/>
    </xf>
    <xf numFmtId="165" fontId="30" fillId="42" borderId="12" xfId="46" applyNumberFormat="1" applyFont="1" applyFill="1" applyBorder="1" applyAlignment="1" applyProtection="1">
      <alignment/>
      <protection/>
    </xf>
    <xf numFmtId="165" fontId="21" fillId="42" borderId="14" xfId="46" applyNumberFormat="1" applyFont="1" applyFill="1" applyBorder="1" applyAlignment="1" applyProtection="1">
      <alignment/>
      <protection/>
    </xf>
    <xf numFmtId="165" fontId="30" fillId="43" borderId="12" xfId="46" applyNumberFormat="1" applyFont="1" applyFill="1" applyBorder="1" applyAlignment="1" applyProtection="1">
      <alignment/>
      <protection/>
    </xf>
    <xf numFmtId="3" fontId="68" fillId="33" borderId="14" xfId="0" applyNumberFormat="1" applyFont="1" applyFill="1" applyBorder="1" applyAlignment="1">
      <alignment/>
    </xf>
    <xf numFmtId="3" fontId="68" fillId="33" borderId="12" xfId="0" applyNumberFormat="1" applyFont="1" applyFill="1" applyBorder="1" applyAlignment="1">
      <alignment/>
    </xf>
    <xf numFmtId="3" fontId="68" fillId="33" borderId="36" xfId="0" applyNumberFormat="1" applyFont="1" applyFill="1" applyBorder="1" applyAlignment="1">
      <alignment/>
    </xf>
    <xf numFmtId="165" fontId="0" fillId="43" borderId="33" xfId="46" applyNumberFormat="1" applyFill="1" applyBorder="1" applyAlignment="1" applyProtection="1">
      <alignment/>
      <protection/>
    </xf>
    <xf numFmtId="165" fontId="0" fillId="43" borderId="12" xfId="46" applyNumberFormat="1" applyFill="1" applyBorder="1" applyAlignment="1" applyProtection="1">
      <alignment/>
      <protection/>
    </xf>
    <xf numFmtId="165" fontId="0" fillId="43" borderId="36" xfId="46" applyNumberFormat="1" applyFill="1" applyBorder="1" applyAlignment="1" applyProtection="1">
      <alignment/>
      <protection/>
    </xf>
    <xf numFmtId="168" fontId="2" fillId="0" borderId="62" xfId="0" applyNumberFormat="1" applyFont="1" applyFill="1" applyBorder="1" applyAlignment="1">
      <alignment/>
    </xf>
    <xf numFmtId="168" fontId="0" fillId="0" borderId="90" xfId="0" applyNumberFormat="1" applyFont="1" applyFill="1" applyBorder="1" applyAlignment="1">
      <alignment/>
    </xf>
    <xf numFmtId="168" fontId="28" fillId="0" borderId="90" xfId="0" applyNumberFormat="1" applyFont="1" applyFill="1" applyBorder="1" applyAlignment="1">
      <alignment/>
    </xf>
    <xf numFmtId="168" fontId="2" fillId="0" borderId="90" xfId="0" applyNumberFormat="1" applyFont="1" applyFill="1" applyBorder="1" applyAlignment="1">
      <alignment/>
    </xf>
    <xf numFmtId="168" fontId="2" fillId="37" borderId="142" xfId="0" applyNumberFormat="1" applyFont="1" applyFill="1" applyBorder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33" borderId="12" xfId="0" applyNumberFormat="1" applyFont="1" applyFill="1" applyBorder="1" applyAlignment="1">
      <alignment horizontal="center" vertical="center" wrapText="1"/>
    </xf>
    <xf numFmtId="168" fontId="2" fillId="33" borderId="12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168" fontId="2" fillId="40" borderId="36" xfId="0" applyNumberFormat="1" applyFont="1" applyFill="1" applyBorder="1" applyAlignment="1">
      <alignment/>
    </xf>
    <xf numFmtId="168" fontId="2" fillId="40" borderId="12" xfId="0" applyNumberFormat="1" applyFont="1" applyFill="1" applyBorder="1" applyAlignment="1">
      <alignment/>
    </xf>
    <xf numFmtId="168" fontId="2" fillId="0" borderId="36" xfId="46" applyNumberFormat="1" applyFont="1" applyFill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165" fontId="9" fillId="0" borderId="118" xfId="46" applyNumberFormat="1" applyFont="1" applyFill="1" applyBorder="1" applyAlignment="1" applyProtection="1">
      <alignment/>
      <protection/>
    </xf>
    <xf numFmtId="165" fontId="9" fillId="0" borderId="44" xfId="46" applyNumberFormat="1" applyFont="1" applyFill="1" applyBorder="1" applyAlignment="1" applyProtection="1">
      <alignment/>
      <protection/>
    </xf>
    <xf numFmtId="165" fontId="9" fillId="0" borderId="45" xfId="46" applyNumberFormat="1" applyFont="1" applyFill="1" applyBorder="1" applyAlignment="1" applyProtection="1">
      <alignment/>
      <protection/>
    </xf>
    <xf numFmtId="0" fontId="9" fillId="0" borderId="101" xfId="0" applyFont="1" applyBorder="1" applyAlignment="1">
      <alignment/>
    </xf>
    <xf numFmtId="165" fontId="9" fillId="0" borderId="43" xfId="46" applyNumberFormat="1" applyFont="1" applyFill="1" applyBorder="1" applyAlignment="1" applyProtection="1">
      <alignment/>
      <protection/>
    </xf>
    <xf numFmtId="0" fontId="2" fillId="0" borderId="53" xfId="0" applyFont="1" applyBorder="1" applyAlignment="1">
      <alignment/>
    </xf>
    <xf numFmtId="0" fontId="9" fillId="0" borderId="124" xfId="0" applyFont="1" applyBorder="1" applyAlignment="1">
      <alignment/>
    </xf>
    <xf numFmtId="165" fontId="9" fillId="0" borderId="124" xfId="46" applyNumberFormat="1" applyFont="1" applyFill="1" applyBorder="1" applyAlignment="1" applyProtection="1">
      <alignment/>
      <protection/>
    </xf>
    <xf numFmtId="165" fontId="9" fillId="0" borderId="143" xfId="46" applyNumberFormat="1" applyFont="1" applyFill="1" applyBorder="1" applyAlignment="1" applyProtection="1">
      <alignment/>
      <protection/>
    </xf>
    <xf numFmtId="165" fontId="2" fillId="0" borderId="142" xfId="46" applyNumberFormat="1" applyFont="1" applyFill="1" applyBorder="1" applyAlignment="1" applyProtection="1">
      <alignment/>
      <protection/>
    </xf>
    <xf numFmtId="0" fontId="9" fillId="0" borderId="144" xfId="0" applyFont="1" applyBorder="1" applyAlignment="1">
      <alignment/>
    </xf>
    <xf numFmtId="165" fontId="9" fillId="0" borderId="145" xfId="46" applyNumberFormat="1" applyFont="1" applyFill="1" applyBorder="1" applyAlignment="1" applyProtection="1">
      <alignment/>
      <protection/>
    </xf>
    <xf numFmtId="165" fontId="9" fillId="0" borderId="144" xfId="46" applyNumberFormat="1" applyFont="1" applyFill="1" applyBorder="1" applyAlignment="1" applyProtection="1">
      <alignment/>
      <protection/>
    </xf>
    <xf numFmtId="0" fontId="2" fillId="0" borderId="146" xfId="0" applyFont="1" applyBorder="1" applyAlignment="1">
      <alignment/>
    </xf>
    <xf numFmtId="165" fontId="2" fillId="0" borderId="147" xfId="46" applyNumberFormat="1" applyFont="1" applyFill="1" applyBorder="1" applyAlignment="1" applyProtection="1">
      <alignment/>
      <protection/>
    </xf>
    <xf numFmtId="165" fontId="2" fillId="0" borderId="125" xfId="46" applyNumberFormat="1" applyFont="1" applyFill="1" applyBorder="1" applyAlignment="1" applyProtection="1">
      <alignment/>
      <protection/>
    </xf>
    <xf numFmtId="165" fontId="2" fillId="0" borderId="148" xfId="46" applyNumberFormat="1" applyFont="1" applyFill="1" applyBorder="1" applyAlignment="1" applyProtection="1">
      <alignment/>
      <protection/>
    </xf>
    <xf numFmtId="165" fontId="2" fillId="0" borderId="149" xfId="46" applyNumberFormat="1" applyFont="1" applyFill="1" applyBorder="1" applyAlignment="1" applyProtection="1">
      <alignment/>
      <protection/>
    </xf>
    <xf numFmtId="165" fontId="9" fillId="0" borderId="44" xfId="46" applyNumberFormat="1" applyFont="1" applyFill="1" applyBorder="1" applyAlignment="1" applyProtection="1">
      <alignment horizontal="center"/>
      <protection/>
    </xf>
    <xf numFmtId="165" fontId="9" fillId="0" borderId="124" xfId="46" applyNumberFormat="1" applyFont="1" applyFill="1" applyBorder="1" applyAlignment="1" applyProtection="1">
      <alignment horizontal="center"/>
      <protection/>
    </xf>
    <xf numFmtId="165" fontId="0" fillId="0" borderId="11" xfId="46" applyNumberFormat="1" applyFont="1" applyFill="1" applyBorder="1" applyAlignment="1" applyProtection="1">
      <alignment horizontal="center"/>
      <protection/>
    </xf>
    <xf numFmtId="165" fontId="2" fillId="0" borderId="41" xfId="46" applyNumberFormat="1" applyFont="1" applyFill="1" applyBorder="1" applyAlignment="1" applyProtection="1">
      <alignment/>
      <protection/>
    </xf>
    <xf numFmtId="165" fontId="9" fillId="0" borderId="101" xfId="46" applyNumberFormat="1" applyFont="1" applyFill="1" applyBorder="1" applyAlignment="1" applyProtection="1">
      <alignment/>
      <protection/>
    </xf>
    <xf numFmtId="165" fontId="9" fillId="0" borderId="150" xfId="46" applyNumberFormat="1" applyFont="1" applyFill="1" applyBorder="1" applyAlignment="1" applyProtection="1">
      <alignment/>
      <protection/>
    </xf>
    <xf numFmtId="165" fontId="9" fillId="0" borderId="151" xfId="46" applyNumberFormat="1" applyFont="1" applyFill="1" applyBorder="1" applyAlignment="1" applyProtection="1">
      <alignment/>
      <protection/>
    </xf>
    <xf numFmtId="165" fontId="2" fillId="0" borderId="126" xfId="46" applyNumberFormat="1" applyFont="1" applyFill="1" applyBorder="1" applyAlignment="1" applyProtection="1">
      <alignment/>
      <protection/>
    </xf>
    <xf numFmtId="165" fontId="9" fillId="0" borderId="29" xfId="46" applyNumberFormat="1" applyFont="1" applyFill="1" applyBorder="1" applyAlignment="1" applyProtection="1">
      <alignment/>
      <protection/>
    </xf>
    <xf numFmtId="165" fontId="9" fillId="0" borderId="11" xfId="46" applyNumberFormat="1" applyFont="1" applyFill="1" applyBorder="1" applyAlignment="1" applyProtection="1">
      <alignment/>
      <protection/>
    </xf>
    <xf numFmtId="165" fontId="9" fillId="0" borderId="37" xfId="46" applyNumberFormat="1" applyFont="1" applyFill="1" applyBorder="1" applyAlignment="1" applyProtection="1">
      <alignment/>
      <protection/>
    </xf>
    <xf numFmtId="165" fontId="9" fillId="0" borderId="150" xfId="46" applyNumberFormat="1" applyFont="1" applyFill="1" applyBorder="1" applyAlignment="1" applyProtection="1">
      <alignment horizontal="center"/>
      <protection/>
    </xf>
    <xf numFmtId="165" fontId="9" fillId="0" borderId="101" xfId="46" applyNumberFormat="1" applyFont="1" applyFill="1" applyBorder="1" applyAlignment="1" applyProtection="1">
      <alignment horizontal="center"/>
      <protection/>
    </xf>
    <xf numFmtId="165" fontId="0" fillId="36" borderId="62" xfId="46" applyNumberFormat="1" applyFont="1" applyFill="1" applyBorder="1" applyAlignment="1" applyProtection="1">
      <alignment/>
      <protection/>
    </xf>
    <xf numFmtId="165" fontId="0" fillId="36" borderId="90" xfId="46" applyNumberFormat="1" applyFont="1" applyFill="1" applyBorder="1" applyAlignment="1" applyProtection="1">
      <alignment/>
      <protection/>
    </xf>
    <xf numFmtId="165" fontId="0" fillId="36" borderId="97" xfId="46" applyNumberFormat="1" applyFont="1" applyFill="1" applyBorder="1" applyAlignment="1" applyProtection="1">
      <alignment/>
      <protection/>
    </xf>
    <xf numFmtId="165" fontId="0" fillId="0" borderId="97" xfId="46" applyNumberFormat="1" applyFont="1" applyFill="1" applyBorder="1" applyAlignment="1" applyProtection="1">
      <alignment/>
      <protection/>
    </xf>
    <xf numFmtId="165" fontId="2" fillId="0" borderId="109" xfId="46" applyNumberFormat="1" applyFont="1" applyFill="1" applyBorder="1" applyAlignment="1" applyProtection="1">
      <alignment/>
      <protection/>
    </xf>
    <xf numFmtId="165" fontId="9" fillId="0" borderId="62" xfId="46" applyNumberFormat="1" applyFont="1" applyFill="1" applyBorder="1" applyAlignment="1" applyProtection="1">
      <alignment/>
      <protection/>
    </xf>
    <xf numFmtId="165" fontId="9" fillId="0" borderId="90" xfId="46" applyNumberFormat="1" applyFont="1" applyFill="1" applyBorder="1" applyAlignment="1" applyProtection="1">
      <alignment/>
      <protection/>
    </xf>
    <xf numFmtId="165" fontId="9" fillId="0" borderId="97" xfId="46" applyNumberFormat="1" applyFont="1" applyFill="1" applyBorder="1" applyAlignment="1" applyProtection="1">
      <alignment/>
      <protection/>
    </xf>
    <xf numFmtId="165" fontId="0" fillId="0" borderId="62" xfId="46" applyNumberFormat="1" applyFont="1" applyFill="1" applyBorder="1" applyAlignment="1" applyProtection="1">
      <alignment/>
      <protection/>
    </xf>
    <xf numFmtId="165" fontId="2" fillId="0" borderId="97" xfId="46" applyNumberFormat="1" applyFont="1" applyFill="1" applyBorder="1" applyAlignment="1" applyProtection="1">
      <alignment/>
      <protection/>
    </xf>
    <xf numFmtId="165" fontId="2" fillId="0" borderId="80" xfId="46" applyNumberFormat="1" applyFont="1" applyFill="1" applyBorder="1" applyAlignment="1" applyProtection="1">
      <alignment/>
      <protection/>
    </xf>
    <xf numFmtId="165" fontId="2" fillId="0" borderId="85" xfId="46" applyNumberFormat="1" applyFont="1" applyFill="1" applyBorder="1" applyAlignment="1" applyProtection="1">
      <alignment/>
      <protection/>
    </xf>
    <xf numFmtId="165" fontId="0" fillId="0" borderId="152" xfId="46" applyNumberFormat="1" applyFont="1" applyFill="1" applyBorder="1" applyAlignment="1" applyProtection="1">
      <alignment/>
      <protection/>
    </xf>
    <xf numFmtId="165" fontId="0" fillId="0" borderId="131" xfId="46" applyNumberFormat="1" applyFont="1" applyFill="1" applyBorder="1" applyAlignment="1" applyProtection="1">
      <alignment/>
      <protection/>
    </xf>
    <xf numFmtId="165" fontId="0" fillId="0" borderId="153" xfId="46" applyNumberFormat="1" applyFont="1" applyFill="1" applyBorder="1" applyAlignment="1" applyProtection="1">
      <alignment/>
      <protection/>
    </xf>
    <xf numFmtId="165" fontId="0" fillId="0" borderId="132" xfId="46" applyNumberFormat="1" applyFont="1" applyFill="1" applyBorder="1" applyAlignment="1" applyProtection="1">
      <alignment/>
      <protection/>
    </xf>
    <xf numFmtId="165" fontId="0" fillId="0" borderId="154" xfId="46" applyNumberFormat="1" applyFont="1" applyFill="1" applyBorder="1" applyAlignment="1" applyProtection="1">
      <alignment/>
      <protection/>
    </xf>
    <xf numFmtId="165" fontId="0" fillId="0" borderId="133" xfId="46" applyNumberFormat="1" applyFont="1" applyFill="1" applyBorder="1" applyAlignment="1" applyProtection="1">
      <alignment/>
      <protection/>
    </xf>
    <xf numFmtId="165" fontId="0" fillId="0" borderId="153" xfId="46" applyNumberFormat="1" applyFont="1" applyFill="1" applyBorder="1" applyAlignment="1" applyProtection="1">
      <alignment horizontal="center"/>
      <protection/>
    </xf>
    <xf numFmtId="165" fontId="2" fillId="0" borderId="155" xfId="46" applyNumberFormat="1" applyFont="1" applyFill="1" applyBorder="1" applyAlignment="1" applyProtection="1">
      <alignment/>
      <protection/>
    </xf>
    <xf numFmtId="165" fontId="2" fillId="0" borderId="156" xfId="46" applyNumberFormat="1" applyFont="1" applyFill="1" applyBorder="1" applyAlignment="1" applyProtection="1">
      <alignment/>
      <protection/>
    </xf>
    <xf numFmtId="165" fontId="0" fillId="0" borderId="157" xfId="46" applyNumberFormat="1" applyFont="1" applyFill="1" applyBorder="1" applyAlignment="1" applyProtection="1">
      <alignment/>
      <protection/>
    </xf>
    <xf numFmtId="165" fontId="0" fillId="0" borderId="158" xfId="46" applyNumberFormat="1" applyFont="1" applyFill="1" applyBorder="1" applyAlignment="1" applyProtection="1">
      <alignment/>
      <protection/>
    </xf>
    <xf numFmtId="165" fontId="2" fillId="0" borderId="159" xfId="46" applyNumberFormat="1" applyFont="1" applyFill="1" applyBorder="1" applyAlignment="1" applyProtection="1">
      <alignment/>
      <protection/>
    </xf>
    <xf numFmtId="165" fontId="2" fillId="0" borderId="160" xfId="46" applyNumberFormat="1" applyFont="1" applyFill="1" applyBorder="1" applyAlignment="1" applyProtection="1">
      <alignment/>
      <protection/>
    </xf>
    <xf numFmtId="165" fontId="9" fillId="0" borderId="161" xfId="46" applyNumberFormat="1" applyFont="1" applyFill="1" applyBorder="1" applyAlignment="1" applyProtection="1">
      <alignment/>
      <protection/>
    </xf>
    <xf numFmtId="165" fontId="9" fillId="0" borderId="162" xfId="46" applyNumberFormat="1" applyFont="1" applyFill="1" applyBorder="1" applyAlignment="1" applyProtection="1">
      <alignment/>
      <protection/>
    </xf>
    <xf numFmtId="165" fontId="9" fillId="0" borderId="163" xfId="46" applyNumberFormat="1" applyFont="1" applyFill="1" applyBorder="1" applyAlignment="1" applyProtection="1">
      <alignment/>
      <protection/>
    </xf>
    <xf numFmtId="165" fontId="9" fillId="0" borderId="134" xfId="46" applyNumberFormat="1" applyFont="1" applyFill="1" applyBorder="1" applyAlignment="1" applyProtection="1">
      <alignment/>
      <protection/>
    </xf>
    <xf numFmtId="165" fontId="9" fillId="0" borderId="164" xfId="46" applyNumberFormat="1" applyFont="1" applyFill="1" applyBorder="1" applyAlignment="1" applyProtection="1">
      <alignment/>
      <protection/>
    </xf>
    <xf numFmtId="165" fontId="9" fillId="0" borderId="165" xfId="46" applyNumberFormat="1" applyFont="1" applyFill="1" applyBorder="1" applyAlignment="1" applyProtection="1">
      <alignment/>
      <protection/>
    </xf>
    <xf numFmtId="165" fontId="2" fillId="0" borderId="166" xfId="46" applyNumberFormat="1" applyFont="1" applyFill="1" applyBorder="1" applyAlignment="1" applyProtection="1">
      <alignment/>
      <protection/>
    </xf>
    <xf numFmtId="165" fontId="9" fillId="0" borderId="157" xfId="46" applyNumberFormat="1" applyFont="1" applyFill="1" applyBorder="1" applyAlignment="1" applyProtection="1">
      <alignment/>
      <protection/>
    </xf>
    <xf numFmtId="165" fontId="9" fillId="0" borderId="158" xfId="46" applyNumberFormat="1" applyFont="1" applyFill="1" applyBorder="1" applyAlignment="1" applyProtection="1">
      <alignment/>
      <protection/>
    </xf>
    <xf numFmtId="165" fontId="9" fillId="0" borderId="153" xfId="46" applyNumberFormat="1" applyFont="1" applyFill="1" applyBorder="1" applyAlignment="1" applyProtection="1">
      <alignment/>
      <protection/>
    </xf>
    <xf numFmtId="165" fontId="9" fillId="0" borderId="132" xfId="46" applyNumberFormat="1" applyFont="1" applyFill="1" applyBorder="1" applyAlignment="1" applyProtection="1">
      <alignment/>
      <protection/>
    </xf>
    <xf numFmtId="165" fontId="9" fillId="0" borderId="154" xfId="46" applyNumberFormat="1" applyFont="1" applyFill="1" applyBorder="1" applyAlignment="1" applyProtection="1">
      <alignment/>
      <protection/>
    </xf>
    <xf numFmtId="165" fontId="9" fillId="0" borderId="133" xfId="46" applyNumberFormat="1" applyFont="1" applyFill="1" applyBorder="1" applyAlignment="1" applyProtection="1">
      <alignment/>
      <protection/>
    </xf>
    <xf numFmtId="165" fontId="2" fillId="0" borderId="158" xfId="46" applyNumberFormat="1" applyFont="1" applyFill="1" applyBorder="1" applyAlignment="1" applyProtection="1">
      <alignment/>
      <protection/>
    </xf>
    <xf numFmtId="165" fontId="2" fillId="0" borderId="133" xfId="46" applyNumberFormat="1" applyFont="1" applyFill="1" applyBorder="1" applyAlignment="1" applyProtection="1">
      <alignment/>
      <protection/>
    </xf>
    <xf numFmtId="165" fontId="9" fillId="0" borderId="167" xfId="46" applyNumberFormat="1" applyFont="1" applyFill="1" applyBorder="1" applyAlignment="1" applyProtection="1">
      <alignment/>
      <protection/>
    </xf>
    <xf numFmtId="165" fontId="9" fillId="0" borderId="168" xfId="46" applyNumberFormat="1" applyFont="1" applyFill="1" applyBorder="1" applyAlignment="1" applyProtection="1">
      <alignment/>
      <protection/>
    </xf>
    <xf numFmtId="0" fontId="2" fillId="0" borderId="169" xfId="0" applyFont="1" applyBorder="1" applyAlignment="1">
      <alignment/>
    </xf>
    <xf numFmtId="0" fontId="0" fillId="0" borderId="137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70" xfId="0" applyFont="1" applyFill="1" applyBorder="1" applyAlignment="1">
      <alignment horizontal="left"/>
    </xf>
    <xf numFmtId="165" fontId="2" fillId="0" borderId="111" xfId="46" applyNumberFormat="1" applyFont="1" applyFill="1" applyBorder="1" applyAlignment="1" applyProtection="1">
      <alignment/>
      <protection/>
    </xf>
    <xf numFmtId="165" fontId="2" fillId="0" borderId="66" xfId="46" applyNumberFormat="1" applyFont="1" applyFill="1" applyBorder="1" applyAlignment="1" applyProtection="1">
      <alignment/>
      <protection/>
    </xf>
    <xf numFmtId="165" fontId="0" fillId="0" borderId="130" xfId="46" applyNumberFormat="1" applyFont="1" applyFill="1" applyBorder="1" applyAlignment="1" applyProtection="1">
      <alignment/>
      <protection/>
    </xf>
    <xf numFmtId="165" fontId="9" fillId="0" borderId="130" xfId="46" applyNumberFormat="1" applyFont="1" applyFill="1" applyBorder="1" applyAlignment="1" applyProtection="1">
      <alignment/>
      <protection/>
    </xf>
    <xf numFmtId="165" fontId="2" fillId="0" borderId="131" xfId="46" applyNumberFormat="1" applyFont="1" applyFill="1" applyBorder="1" applyAlignment="1" applyProtection="1">
      <alignment/>
      <protection/>
    </xf>
    <xf numFmtId="165" fontId="2" fillId="0" borderId="154" xfId="46" applyNumberFormat="1" applyFont="1" applyFill="1" applyBorder="1" applyAlignment="1" applyProtection="1">
      <alignment/>
      <protection/>
    </xf>
    <xf numFmtId="165" fontId="9" fillId="0" borderId="171" xfId="46" applyNumberFormat="1" applyFont="1" applyFill="1" applyBorder="1" applyAlignment="1" applyProtection="1">
      <alignment horizontal="center"/>
      <protection/>
    </xf>
    <xf numFmtId="165" fontId="9" fillId="0" borderId="171" xfId="46" applyNumberFormat="1" applyFont="1" applyFill="1" applyBorder="1" applyAlignment="1" applyProtection="1">
      <alignment/>
      <protection/>
    </xf>
    <xf numFmtId="165" fontId="2" fillId="42" borderId="34" xfId="46" applyNumberFormat="1" applyFont="1" applyFill="1" applyBorder="1" applyAlignment="1" applyProtection="1">
      <alignment/>
      <protection/>
    </xf>
    <xf numFmtId="165" fontId="0" fillId="42" borderId="34" xfId="46" applyNumberFormat="1" applyFill="1" applyBorder="1" applyAlignment="1" applyProtection="1">
      <alignment/>
      <protection/>
    </xf>
    <xf numFmtId="165" fontId="2" fillId="42" borderId="38" xfId="46" applyNumberFormat="1" applyFont="1" applyFill="1" applyBorder="1" applyAlignment="1" applyProtection="1">
      <alignment/>
      <protection/>
    </xf>
    <xf numFmtId="165" fontId="6" fillId="42" borderId="42" xfId="46" applyNumberFormat="1" applyFont="1" applyFill="1" applyBorder="1" applyAlignment="1" applyProtection="1">
      <alignment/>
      <protection/>
    </xf>
    <xf numFmtId="165" fontId="2" fillId="42" borderId="45" xfId="46" applyNumberFormat="1" applyFont="1" applyFill="1" applyBorder="1" applyAlignment="1" applyProtection="1">
      <alignment/>
      <protection/>
    </xf>
    <xf numFmtId="165" fontId="2" fillId="42" borderId="46" xfId="46" applyNumberFormat="1" applyFont="1" applyFill="1" applyBorder="1" applyAlignment="1" applyProtection="1">
      <alignment/>
      <protection/>
    </xf>
    <xf numFmtId="165" fontId="0" fillId="42" borderId="47" xfId="46" applyNumberFormat="1" applyFill="1" applyBorder="1" applyAlignment="1" applyProtection="1">
      <alignment/>
      <protection/>
    </xf>
    <xf numFmtId="165" fontId="0" fillId="42" borderId="48" xfId="46" applyNumberFormat="1" applyFill="1" applyBorder="1" applyAlignment="1" applyProtection="1">
      <alignment/>
      <protection/>
    </xf>
    <xf numFmtId="165" fontId="0" fillId="42" borderId="50" xfId="46" applyNumberFormat="1" applyFill="1" applyBorder="1" applyAlignment="1" applyProtection="1">
      <alignment/>
      <protection/>
    </xf>
    <xf numFmtId="165" fontId="9" fillId="42" borderId="47" xfId="46" applyNumberFormat="1" applyFont="1" applyFill="1" applyBorder="1" applyAlignment="1" applyProtection="1">
      <alignment/>
      <protection/>
    </xf>
    <xf numFmtId="165" fontId="9" fillId="43" borderId="50" xfId="46" applyNumberFormat="1" applyFont="1" applyFill="1" applyBorder="1" applyAlignment="1" applyProtection="1">
      <alignment/>
      <protection/>
    </xf>
    <xf numFmtId="3" fontId="68" fillId="36" borderId="45" xfId="0" applyNumberFormat="1" applyFont="1" applyFill="1" applyBorder="1" applyAlignment="1">
      <alignment/>
    </xf>
    <xf numFmtId="165" fontId="0" fillId="0" borderId="34" xfId="46" applyNumberFormat="1" applyFont="1" applyFill="1" applyBorder="1" applyAlignment="1" applyProtection="1">
      <alignment/>
      <protection/>
    </xf>
    <xf numFmtId="165" fontId="0" fillId="36" borderId="34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36" borderId="31" xfId="46" applyNumberFormat="1" applyFont="1" applyFill="1" applyBorder="1" applyAlignment="1" applyProtection="1">
      <alignment/>
      <protection/>
    </xf>
    <xf numFmtId="165" fontId="0" fillId="36" borderId="38" xfId="46" applyNumberFormat="1" applyFont="1" applyFill="1" applyBorder="1" applyAlignment="1" applyProtection="1">
      <alignment/>
      <protection/>
    </xf>
    <xf numFmtId="3" fontId="68" fillId="0" borderId="0" xfId="0" applyNumberFormat="1" applyFont="1" applyFill="1" applyAlignment="1">
      <alignment/>
    </xf>
    <xf numFmtId="3" fontId="68" fillId="0" borderId="0" xfId="0" applyNumberFormat="1" applyFont="1" applyAlignment="1">
      <alignment horizontal="right"/>
    </xf>
    <xf numFmtId="3" fontId="69" fillId="33" borderId="67" xfId="0" applyNumberFormat="1" applyFont="1" applyFill="1" applyBorder="1" applyAlignment="1">
      <alignment horizontal="center" vertical="center" wrapText="1"/>
    </xf>
    <xf numFmtId="3" fontId="69" fillId="33" borderId="71" xfId="0" applyNumberFormat="1" applyFont="1" applyFill="1" applyBorder="1" applyAlignment="1">
      <alignment horizontal="center" vertical="center"/>
    </xf>
    <xf numFmtId="3" fontId="68" fillId="0" borderId="31" xfId="0" applyNumberFormat="1" applyFont="1" applyBorder="1" applyAlignment="1">
      <alignment/>
    </xf>
    <xf numFmtId="3" fontId="68" fillId="0" borderId="34" xfId="0" applyNumberFormat="1" applyFont="1" applyBorder="1" applyAlignment="1">
      <alignment/>
    </xf>
    <xf numFmtId="3" fontId="69" fillId="37" borderId="34" xfId="0" applyNumberFormat="1" applyFont="1" applyFill="1" applyBorder="1" applyAlignment="1">
      <alignment/>
    </xf>
    <xf numFmtId="3" fontId="69" fillId="33" borderId="34" xfId="0" applyNumberFormat="1" applyFont="1" applyFill="1" applyBorder="1" applyAlignment="1">
      <alignment/>
    </xf>
    <xf numFmtId="3" fontId="69" fillId="0" borderId="34" xfId="0" applyNumberFormat="1" applyFont="1" applyBorder="1" applyAlignment="1">
      <alignment/>
    </xf>
    <xf numFmtId="3" fontId="69" fillId="33" borderId="27" xfId="0" applyNumberFormat="1" applyFont="1" applyFill="1" applyBorder="1" applyAlignment="1">
      <alignment/>
    </xf>
    <xf numFmtId="3" fontId="0" fillId="43" borderId="72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165" fontId="0" fillId="33" borderId="88" xfId="46" applyNumberFormat="1" applyFill="1" applyBorder="1" applyAlignment="1" applyProtection="1">
      <alignment/>
      <protection/>
    </xf>
    <xf numFmtId="3" fontId="0" fillId="33" borderId="114" xfId="0" applyNumberFormat="1" applyFont="1" applyFill="1" applyBorder="1" applyAlignment="1">
      <alignment horizontal="center"/>
    </xf>
    <xf numFmtId="3" fontId="0" fillId="33" borderId="172" xfId="0" applyNumberFormat="1" applyFont="1" applyFill="1" applyBorder="1" applyAlignment="1">
      <alignment horizontal="center"/>
    </xf>
    <xf numFmtId="3" fontId="0" fillId="33" borderId="83" xfId="0" applyNumberForma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124" xfId="0" applyNumberFormat="1" applyFont="1" applyFill="1" applyBorder="1" applyAlignment="1">
      <alignment horizontal="center"/>
    </xf>
    <xf numFmtId="3" fontId="0" fillId="33" borderId="124" xfId="0" applyNumberFormat="1" applyFont="1" applyFill="1" applyBorder="1" applyAlignment="1">
      <alignment/>
    </xf>
    <xf numFmtId="165" fontId="0" fillId="33" borderId="124" xfId="46" applyNumberFormat="1" applyFill="1" applyBorder="1" applyAlignment="1" applyProtection="1">
      <alignment/>
      <protection/>
    </xf>
    <xf numFmtId="165" fontId="0" fillId="0" borderId="77" xfId="46" applyNumberFormat="1" applyFill="1" applyBorder="1" applyAlignment="1" applyProtection="1">
      <alignment/>
      <protection/>
    </xf>
    <xf numFmtId="3" fontId="2" fillId="33" borderId="14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 horizontal="center"/>
    </xf>
    <xf numFmtId="167" fontId="0" fillId="0" borderId="124" xfId="0" applyNumberFormat="1" applyFont="1" applyFill="1" applyBorder="1" applyAlignment="1">
      <alignment/>
    </xf>
    <xf numFmtId="3" fontId="2" fillId="0" borderId="124" xfId="0" applyNumberFormat="1" applyFont="1" applyFill="1" applyBorder="1" applyAlignment="1">
      <alignment horizontal="center"/>
    </xf>
    <xf numFmtId="167" fontId="2" fillId="0" borderId="124" xfId="0" applyNumberFormat="1" applyFont="1" applyFill="1" applyBorder="1" applyAlignment="1">
      <alignment/>
    </xf>
    <xf numFmtId="165" fontId="2" fillId="0" borderId="77" xfId="46" applyNumberFormat="1" applyFont="1" applyFill="1" applyBorder="1" applyAlignment="1" applyProtection="1">
      <alignment/>
      <protection/>
    </xf>
    <xf numFmtId="168" fontId="2" fillId="33" borderId="12" xfId="0" applyNumberFormat="1" applyFont="1" applyFill="1" applyBorder="1" applyAlignment="1">
      <alignment/>
    </xf>
    <xf numFmtId="166" fontId="70" fillId="0" borderId="0" xfId="55" applyFont="1" applyFill="1" applyBorder="1" applyAlignment="1" applyProtection="1">
      <alignment vertical="center"/>
      <protection/>
    </xf>
    <xf numFmtId="3" fontId="71" fillId="0" borderId="0" xfId="0" applyNumberFormat="1" applyFont="1" applyBorder="1" applyAlignment="1">
      <alignment vertical="center"/>
    </xf>
    <xf numFmtId="3" fontId="68" fillId="0" borderId="0" xfId="0" applyNumberFormat="1" applyFont="1" applyAlignment="1">
      <alignment/>
    </xf>
    <xf numFmtId="3" fontId="69" fillId="33" borderId="33" xfId="0" applyNumberFormat="1" applyFont="1" applyFill="1" applyBorder="1" applyAlignment="1">
      <alignment horizontal="center"/>
    </xf>
    <xf numFmtId="3" fontId="69" fillId="0" borderId="33" xfId="0" applyNumberFormat="1" applyFont="1" applyBorder="1" applyAlignment="1">
      <alignment/>
    </xf>
    <xf numFmtId="3" fontId="68" fillId="0" borderId="33" xfId="0" applyNumberFormat="1" applyFont="1" applyBorder="1" applyAlignment="1">
      <alignment/>
    </xf>
    <xf numFmtId="3" fontId="69" fillId="0" borderId="33" xfId="0" applyNumberFormat="1" applyFont="1" applyFill="1" applyBorder="1" applyAlignment="1">
      <alignment/>
    </xf>
    <xf numFmtId="3" fontId="68" fillId="36" borderId="33" xfId="0" applyNumberFormat="1" applyFont="1" applyFill="1" applyBorder="1" applyAlignment="1">
      <alignment/>
    </xf>
    <xf numFmtId="3" fontId="68" fillId="36" borderId="36" xfId="0" applyNumberFormat="1" applyFont="1" applyFill="1" applyBorder="1" applyAlignment="1">
      <alignment/>
    </xf>
    <xf numFmtId="3" fontId="68" fillId="36" borderId="124" xfId="0" applyNumberFormat="1" applyFont="1" applyFill="1" applyBorder="1" applyAlignment="1">
      <alignment/>
    </xf>
    <xf numFmtId="3" fontId="69" fillId="33" borderId="42" xfId="0" applyNumberFormat="1" applyFont="1" applyFill="1" applyBorder="1" applyAlignment="1">
      <alignment/>
    </xf>
    <xf numFmtId="0" fontId="69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3" fontId="69" fillId="37" borderId="111" xfId="0" applyNumberFormat="1" applyFont="1" applyFill="1" applyBorder="1" applyAlignment="1">
      <alignment horizontal="center" vertical="center" wrapText="1"/>
    </xf>
    <xf numFmtId="3" fontId="69" fillId="37" borderId="14" xfId="0" applyNumberFormat="1" applyFont="1" applyFill="1" applyBorder="1" applyAlignment="1">
      <alignment vertical="center" wrapText="1"/>
    </xf>
    <xf numFmtId="0" fontId="69" fillId="37" borderId="12" xfId="0" applyFont="1" applyFill="1" applyBorder="1" applyAlignment="1">
      <alignment horizontal="center"/>
    </xf>
    <xf numFmtId="165" fontId="69" fillId="0" borderId="12" xfId="46" applyNumberFormat="1" applyFont="1" applyFill="1" applyBorder="1" applyAlignment="1" applyProtection="1">
      <alignment/>
      <protection/>
    </xf>
    <xf numFmtId="165" fontId="68" fillId="0" borderId="12" xfId="46" applyNumberFormat="1" applyFont="1" applyFill="1" applyBorder="1" applyAlignment="1" applyProtection="1">
      <alignment/>
      <protection/>
    </xf>
    <xf numFmtId="165" fontId="68" fillId="36" borderId="12" xfId="46" applyNumberFormat="1" applyFont="1" applyFill="1" applyBorder="1" applyAlignment="1" applyProtection="1">
      <alignment/>
      <protection/>
    </xf>
    <xf numFmtId="165" fontId="69" fillId="33" borderId="25" xfId="46" applyNumberFormat="1" applyFont="1" applyFill="1" applyBorder="1" applyAlignment="1" applyProtection="1">
      <alignment/>
      <protection/>
    </xf>
    <xf numFmtId="166" fontId="7" fillId="0" borderId="0" xfId="55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120" xfId="0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center" vertical="center" wrapText="1"/>
    </xf>
    <xf numFmtId="3" fontId="6" fillId="36" borderId="39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5" fillId="37" borderId="3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33" borderId="39" xfId="0" applyNumberFormat="1" applyFont="1" applyFill="1" applyBorder="1" applyAlignment="1">
      <alignment horizontal="center" vertical="center" wrapText="1"/>
    </xf>
    <xf numFmtId="3" fontId="0" fillId="0" borderId="17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6" fontId="7" fillId="0" borderId="0" xfId="55" applyFont="1" applyFill="1" applyBorder="1" applyAlignment="1" applyProtection="1">
      <alignment horizontal="center" vertical="center"/>
      <protection/>
    </xf>
    <xf numFmtId="3" fontId="2" fillId="37" borderId="174" xfId="0" applyNumberFormat="1" applyFont="1" applyFill="1" applyBorder="1" applyAlignment="1">
      <alignment horizontal="center" vertical="center" wrapText="1"/>
    </xf>
    <xf numFmtId="166" fontId="6" fillId="0" borderId="0" xfId="55" applyFont="1" applyFill="1" applyBorder="1" applyAlignment="1" applyProtection="1">
      <alignment horizontal="right" vertical="center"/>
      <protection/>
    </xf>
    <xf numFmtId="166" fontId="11" fillId="0" borderId="0" xfId="55" applyFont="1" applyFill="1" applyBorder="1" applyAlignment="1" applyProtection="1">
      <alignment horizontal="center" vertical="center" wrapText="1"/>
      <protection/>
    </xf>
    <xf numFmtId="0" fontId="0" fillId="0" borderId="173" xfId="0" applyFont="1" applyBorder="1" applyAlignment="1">
      <alignment horizontal="right"/>
    </xf>
    <xf numFmtId="3" fontId="0" fillId="37" borderId="6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/>
    </xf>
    <xf numFmtId="3" fontId="2" fillId="37" borderId="115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/>
    </xf>
    <xf numFmtId="3" fontId="2" fillId="37" borderId="175" xfId="0" applyNumberFormat="1" applyFont="1" applyFill="1" applyBorder="1" applyAlignment="1">
      <alignment horizontal="center" vertical="center" wrapText="1"/>
    </xf>
    <xf numFmtId="3" fontId="4" fillId="37" borderId="21" xfId="0" applyNumberFormat="1" applyFont="1" applyFill="1" applyBorder="1" applyAlignment="1">
      <alignment horizontal="center" vertical="center" wrapText="1"/>
    </xf>
    <xf numFmtId="3" fontId="2" fillId="33" borderId="9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73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 vertical="center" wrapText="1"/>
    </xf>
    <xf numFmtId="166" fontId="11" fillId="0" borderId="0" xfId="55" applyFont="1" applyFill="1" applyBorder="1" applyAlignment="1" applyProtection="1">
      <alignment horizontal="center" vertical="center"/>
      <protection/>
    </xf>
    <xf numFmtId="3" fontId="4" fillId="33" borderId="176" xfId="0" applyNumberFormat="1" applyFont="1" applyFill="1" applyBorder="1" applyAlignment="1">
      <alignment horizontal="center" vertical="center" wrapText="1"/>
    </xf>
    <xf numFmtId="3" fontId="4" fillId="33" borderId="9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11" fillId="0" borderId="0" xfId="55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wrapText="1"/>
    </xf>
    <xf numFmtId="166" fontId="6" fillId="0" borderId="0" xfId="55" applyFont="1" applyFill="1" applyBorder="1" applyAlignment="1" applyProtection="1">
      <alignment horizontal="center" vertical="center"/>
      <protection/>
    </xf>
    <xf numFmtId="3" fontId="19" fillId="0" borderId="46" xfId="0" applyNumberFormat="1" applyFont="1" applyFill="1" applyBorder="1" applyAlignment="1">
      <alignment horizontal="left"/>
    </xf>
    <xf numFmtId="3" fontId="11" fillId="0" borderId="41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3" fontId="0" fillId="0" borderId="173" xfId="0" applyNumberFormat="1" applyFont="1" applyBorder="1" applyAlignment="1">
      <alignment horizontal="right" vertic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3" fontId="0" fillId="0" borderId="173" xfId="0" applyNumberFormat="1" applyFont="1" applyBorder="1" applyAlignment="1">
      <alignment horizontal="right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72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0" xfId="0" applyFont="1" applyBorder="1" applyAlignment="1">
      <alignment horizontal="right"/>
    </xf>
    <xf numFmtId="166" fontId="6" fillId="0" borderId="0" xfId="55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166" fontId="7" fillId="0" borderId="0" xfId="55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165" fontId="0" fillId="0" borderId="173" xfId="46" applyNumberFormat="1" applyFont="1" applyFill="1" applyBorder="1" applyAlignment="1" applyProtection="1">
      <alignment horizontal="right" vertical="center"/>
      <protection/>
    </xf>
    <xf numFmtId="3" fontId="2" fillId="36" borderId="40" xfId="0" applyNumberFormat="1" applyFont="1" applyFill="1" applyBorder="1" applyAlignment="1">
      <alignment horizontal="left"/>
    </xf>
    <xf numFmtId="0" fontId="2" fillId="40" borderId="39" xfId="0" applyFont="1" applyFill="1" applyBorder="1" applyAlignment="1">
      <alignment horizontal="center"/>
    </xf>
    <xf numFmtId="3" fontId="2" fillId="40" borderId="40" xfId="0" applyNumberFormat="1" applyFont="1" applyFill="1" applyBorder="1" applyAlignment="1">
      <alignment horizontal="center"/>
    </xf>
    <xf numFmtId="3" fontId="2" fillId="37" borderId="19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2" fillId="0" borderId="25" xfId="0" applyNumberFormat="1" applyFont="1" applyFill="1" applyBorder="1" applyAlignment="1">
      <alignment horizontal="left"/>
    </xf>
    <xf numFmtId="0" fontId="0" fillId="37" borderId="39" xfId="0" applyFont="1" applyFill="1" applyBorder="1" applyAlignment="1">
      <alignment horizontal="center"/>
    </xf>
    <xf numFmtId="3" fontId="2" fillId="33" borderId="176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" fillId="33" borderId="177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53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178" xfId="0" applyNumberFormat="1" applyBorder="1" applyAlignment="1">
      <alignment horizontal="center" vertical="center"/>
    </xf>
    <xf numFmtId="3" fontId="0" fillId="0" borderId="135" xfId="0" applyNumberFormat="1" applyFont="1" applyBorder="1" applyAlignment="1">
      <alignment horizontal="center" vertical="center"/>
    </xf>
    <xf numFmtId="3" fontId="15" fillId="37" borderId="166" xfId="0" applyNumberFormat="1" applyFont="1" applyFill="1" applyBorder="1" applyAlignment="1">
      <alignment horizontal="center" vertical="center"/>
    </xf>
    <xf numFmtId="3" fontId="15" fillId="37" borderId="179" xfId="0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65" fontId="0" fillId="0" borderId="173" xfId="46" applyNumberFormat="1" applyFont="1" applyFill="1" applyBorder="1" applyAlignment="1" applyProtection="1">
      <alignment horizontal="right"/>
      <protection/>
    </xf>
    <xf numFmtId="3" fontId="2" fillId="0" borderId="163" xfId="0" applyNumberFormat="1" applyFont="1" applyBorder="1" applyAlignment="1">
      <alignment horizontal="center" vertical="center"/>
    </xf>
    <xf numFmtId="3" fontId="2" fillId="0" borderId="124" xfId="0" applyNumberFormat="1" applyFont="1" applyBorder="1" applyAlignment="1">
      <alignment horizontal="center" vertical="center"/>
    </xf>
    <xf numFmtId="3" fontId="0" fillId="0" borderId="163" xfId="0" applyNumberFormat="1" applyBorder="1" applyAlignment="1">
      <alignment horizontal="center" vertical="center"/>
    </xf>
    <xf numFmtId="3" fontId="0" fillId="0" borderId="124" xfId="0" applyNumberFormat="1" applyFont="1" applyBorder="1" applyAlignment="1">
      <alignment horizontal="center" vertical="center"/>
    </xf>
    <xf numFmtId="3" fontId="2" fillId="0" borderId="153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0" fillId="0" borderId="154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5" fillId="37" borderId="39" xfId="0" applyNumberFormat="1" applyFont="1" applyFill="1" applyBorder="1" applyAlignment="1">
      <alignment horizontal="center"/>
    </xf>
    <xf numFmtId="3" fontId="2" fillId="33" borderId="166" xfId="0" applyNumberFormat="1" applyFont="1" applyFill="1" applyBorder="1" applyAlignment="1">
      <alignment horizontal="center" vertical="center" wrapText="1"/>
    </xf>
    <xf numFmtId="3" fontId="2" fillId="33" borderId="179" xfId="0" applyNumberFormat="1" applyFont="1" applyFill="1" applyBorder="1" applyAlignment="1">
      <alignment horizontal="center" vertical="center" wrapText="1"/>
    </xf>
    <xf numFmtId="3" fontId="2" fillId="0" borderId="152" xfId="0" applyNumberFormat="1" applyFont="1" applyBorder="1" applyAlignment="1">
      <alignment horizontal="center"/>
    </xf>
    <xf numFmtId="3" fontId="2" fillId="0" borderId="180" xfId="0" applyNumberFormat="1" applyFont="1" applyBorder="1" applyAlignment="1">
      <alignment horizontal="center"/>
    </xf>
    <xf numFmtId="3" fontId="0" fillId="0" borderId="181" xfId="0" applyNumberFormat="1" applyFont="1" applyBorder="1" applyAlignment="1">
      <alignment horizontal="center"/>
    </xf>
    <xf numFmtId="3" fontId="9" fillId="0" borderId="181" xfId="0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left"/>
    </xf>
    <xf numFmtId="3" fontId="2" fillId="0" borderId="182" xfId="0" applyNumberFormat="1" applyFont="1" applyBorder="1" applyAlignment="1">
      <alignment horizontal="center"/>
    </xf>
    <xf numFmtId="3" fontId="6" fillId="0" borderId="36" xfId="0" applyNumberFormat="1" applyFont="1" applyFill="1" applyBorder="1" applyAlignment="1">
      <alignment horizontal="left"/>
    </xf>
    <xf numFmtId="3" fontId="2" fillId="0" borderId="183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left"/>
    </xf>
    <xf numFmtId="3" fontId="2" fillId="33" borderId="4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 wrapText="1"/>
    </xf>
    <xf numFmtId="3" fontId="28" fillId="33" borderId="12" xfId="0" applyNumberFormat="1" applyFont="1" applyFill="1" applyBorder="1" applyAlignment="1">
      <alignment horizontal="center" vertical="center" wrapText="1"/>
    </xf>
    <xf numFmtId="165" fontId="21" fillId="0" borderId="12" xfId="46" applyNumberFormat="1" applyFont="1" applyFill="1" applyBorder="1" applyAlignment="1" applyProtection="1">
      <alignment horizontal="left"/>
      <protection/>
    </xf>
    <xf numFmtId="3" fontId="28" fillId="33" borderId="10" xfId="0" applyNumberFormat="1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30" fillId="0" borderId="12" xfId="46" applyNumberFormat="1" applyFont="1" applyFill="1" applyBorder="1" applyAlignment="1" applyProtection="1">
      <alignment horizontal="center"/>
      <protection/>
    </xf>
    <xf numFmtId="165" fontId="30" fillId="0" borderId="12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>
      <alignment horizontal="center"/>
    </xf>
    <xf numFmtId="3" fontId="28" fillId="33" borderId="12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0" fillId="0" borderId="173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65" fontId="0" fillId="36" borderId="12" xfId="46" applyNumberFormat="1" applyFill="1" applyBorder="1" applyAlignment="1" applyProtection="1">
      <alignment horizontal="center" vertical="center"/>
      <protection/>
    </xf>
    <xf numFmtId="165" fontId="0" fillId="0" borderId="120" xfId="46" applyNumberFormat="1" applyFont="1" applyFill="1" applyBorder="1" applyAlignment="1" applyProtection="1">
      <alignment horizontal="right"/>
      <protection/>
    </xf>
    <xf numFmtId="3" fontId="2" fillId="33" borderId="3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" fontId="2" fillId="33" borderId="1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166" fontId="50" fillId="0" borderId="0" xfId="55" applyFont="1" applyFill="1" applyBorder="1" applyAlignment="1" applyProtection="1">
      <alignment horizontal="center" vertical="center"/>
      <protection/>
    </xf>
    <xf numFmtId="166" fontId="12" fillId="0" borderId="0" xfId="55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324" t="s">
        <v>1</v>
      </c>
      <c r="B2" s="1324"/>
      <c r="C2" s="1324"/>
      <c r="D2" s="1324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325" t="s">
        <v>3</v>
      </c>
      <c r="B5" s="1325"/>
      <c r="C5" s="1325"/>
      <c r="D5" s="1325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I61"/>
  <sheetViews>
    <sheetView showGridLines="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C37" sqref="C37:G37"/>
    </sheetView>
  </sheetViews>
  <sheetFormatPr defaultColWidth="11.7109375" defaultRowHeight="12.75" customHeight="1"/>
  <cols>
    <col min="1" max="2" width="3.8515625" style="56" customWidth="1"/>
    <col min="3" max="3" width="37.421875" style="56" customWidth="1"/>
    <col min="4" max="6" width="14.140625" style="56" customWidth="1"/>
    <col min="7" max="7" width="14.140625" style="1274" customWidth="1"/>
    <col min="8" max="16384" width="11.7109375" style="56" customWidth="1"/>
  </cols>
  <sheetData>
    <row r="1" spans="1:7" s="217" customFormat="1" ht="18" customHeight="1">
      <c r="A1" s="1343" t="s">
        <v>585</v>
      </c>
      <c r="B1" s="1343"/>
      <c r="C1" s="1343"/>
      <c r="D1" s="1343"/>
      <c r="E1" s="1343"/>
      <c r="F1" s="573"/>
      <c r="G1" s="1303"/>
    </row>
    <row r="2" spans="1:8" ht="12.75" customHeight="1">
      <c r="A2" s="1377" t="s">
        <v>938</v>
      </c>
      <c r="B2" s="1377"/>
      <c r="C2" s="1377"/>
      <c r="D2" s="1377"/>
      <c r="E2" s="1377"/>
      <c r="F2" s="1377"/>
      <c r="G2" s="1377"/>
      <c r="H2" s="1377"/>
    </row>
    <row r="3" spans="1:8" ht="6.75" customHeight="1">
      <c r="A3" s="1495" t="s">
        <v>944</v>
      </c>
      <c r="B3" s="1495"/>
      <c r="C3" s="1495"/>
      <c r="D3" s="1495"/>
      <c r="E3" s="1495"/>
      <c r="F3" s="1495"/>
      <c r="G3" s="1495"/>
      <c r="H3" s="1495"/>
    </row>
    <row r="4" spans="1:8" ht="6.75" customHeight="1">
      <c r="A4" s="1495"/>
      <c r="B4" s="1495"/>
      <c r="C4" s="1495"/>
      <c r="D4" s="1495"/>
      <c r="E4" s="1495"/>
      <c r="F4" s="1495"/>
      <c r="G4" s="1495"/>
      <c r="H4" s="1495"/>
    </row>
    <row r="5" spans="1:7" s="6" customFormat="1" ht="12.75" customHeight="1">
      <c r="A5" s="1356" t="s">
        <v>586</v>
      </c>
      <c r="B5" s="1356"/>
      <c r="C5" s="1356"/>
      <c r="D5" s="1356"/>
      <c r="E5" s="1356"/>
      <c r="F5" s="574"/>
      <c r="G5" s="1304"/>
    </row>
    <row r="6" spans="1:7" s="6" customFormat="1" ht="27" customHeight="1">
      <c r="A6" s="1356"/>
      <c r="B6" s="1356"/>
      <c r="C6" s="1356"/>
      <c r="D6" s="1356"/>
      <c r="E6" s="1356"/>
      <c r="F6" s="574"/>
      <c r="G6" s="1304"/>
    </row>
    <row r="7" spans="1:7" s="6" customFormat="1" ht="12.75" customHeight="1">
      <c r="A7" s="413"/>
      <c r="B7" s="413"/>
      <c r="C7" s="413"/>
      <c r="G7" s="1305"/>
    </row>
    <row r="8" spans="1:7" s="6" customFormat="1" ht="12.75" customHeight="1">
      <c r="A8" s="575"/>
      <c r="G8" s="1305"/>
    </row>
    <row r="9" spans="1:7" s="6" customFormat="1" ht="12.75" customHeight="1" thickBot="1">
      <c r="A9" s="576"/>
      <c r="B9" s="577"/>
      <c r="C9" s="578"/>
      <c r="D9" s="1372" t="s">
        <v>155</v>
      </c>
      <c r="E9" s="1372"/>
      <c r="F9" s="1372"/>
      <c r="G9" s="1372"/>
    </row>
    <row r="10" spans="1:8" s="6" customFormat="1" ht="24.75" customHeight="1" thickBot="1">
      <c r="A10" s="1333" t="s">
        <v>156</v>
      </c>
      <c r="B10" s="1333"/>
      <c r="C10" s="1378" t="s">
        <v>587</v>
      </c>
      <c r="D10" s="1379" t="s">
        <v>159</v>
      </c>
      <c r="E10" s="1373" t="s">
        <v>588</v>
      </c>
      <c r="F10" s="1373" t="s">
        <v>589</v>
      </c>
      <c r="G10" s="1374" t="s">
        <v>912</v>
      </c>
      <c r="H10" s="579"/>
    </row>
    <row r="11" spans="1:8" s="6" customFormat="1" ht="24.75" customHeight="1" thickBot="1">
      <c r="A11" s="1333"/>
      <c r="B11" s="1333"/>
      <c r="C11" s="1378"/>
      <c r="D11" s="1378"/>
      <c r="E11" s="1373"/>
      <c r="F11" s="1373"/>
      <c r="G11" s="1374"/>
      <c r="H11" s="579"/>
    </row>
    <row r="12" spans="1:8" s="6" customFormat="1" ht="14.25" customHeight="1">
      <c r="A12" s="1333"/>
      <c r="B12" s="1333"/>
      <c r="C12" s="580" t="s">
        <v>590</v>
      </c>
      <c r="D12" s="581" t="s">
        <v>164</v>
      </c>
      <c r="E12" s="582" t="s">
        <v>165</v>
      </c>
      <c r="F12" s="582" t="s">
        <v>166</v>
      </c>
      <c r="G12" s="1306" t="s">
        <v>167</v>
      </c>
      <c r="H12" s="579"/>
    </row>
    <row r="13" spans="1:7" s="6" customFormat="1" ht="12.75" customHeight="1">
      <c r="A13" s="583" t="s">
        <v>38</v>
      </c>
      <c r="B13" s="584" t="s">
        <v>169</v>
      </c>
      <c r="C13" s="13" t="s">
        <v>591</v>
      </c>
      <c r="D13" s="13">
        <f>SUM(D14:D14)</f>
        <v>400</v>
      </c>
      <c r="E13" s="585">
        <f>SUM(E14:E14)</f>
        <v>400</v>
      </c>
      <c r="F13" s="585">
        <f>SUM(F14:F16)</f>
        <v>400</v>
      </c>
      <c r="G13" s="1307">
        <f>SUM(G14:G16)</f>
        <v>392</v>
      </c>
    </row>
    <row r="14" spans="1:7" s="6" customFormat="1" ht="27" customHeight="1">
      <c r="A14" s="365" t="s">
        <v>40</v>
      </c>
      <c r="B14" s="363"/>
      <c r="C14" s="586" t="s">
        <v>592</v>
      </c>
      <c r="D14" s="316">
        <v>400</v>
      </c>
      <c r="E14" s="587">
        <v>400</v>
      </c>
      <c r="F14" s="587">
        <v>0</v>
      </c>
      <c r="G14" s="1308">
        <v>0</v>
      </c>
    </row>
    <row r="15" spans="1:7" s="6" customFormat="1" ht="27" customHeight="1">
      <c r="A15" s="365"/>
      <c r="B15" s="363"/>
      <c r="C15" s="586" t="s">
        <v>593</v>
      </c>
      <c r="D15" s="316">
        <v>0</v>
      </c>
      <c r="E15" s="587">
        <v>0</v>
      </c>
      <c r="F15" s="587">
        <v>100</v>
      </c>
      <c r="G15" s="1308">
        <v>100</v>
      </c>
    </row>
    <row r="16" spans="1:7" s="6" customFormat="1" ht="27" customHeight="1">
      <c r="A16" s="365"/>
      <c r="B16" s="363"/>
      <c r="C16" s="586" t="s">
        <v>594</v>
      </c>
      <c r="D16" s="316">
        <v>0</v>
      </c>
      <c r="E16" s="587">
        <v>0</v>
      </c>
      <c r="F16" s="587">
        <v>300</v>
      </c>
      <c r="G16" s="1308">
        <v>292</v>
      </c>
    </row>
    <row r="17" spans="1:7" s="6" customFormat="1" ht="12.75" customHeight="1">
      <c r="A17" s="583" t="s">
        <v>47</v>
      </c>
      <c r="B17" s="357" t="s">
        <v>173</v>
      </c>
      <c r="C17" s="13" t="s">
        <v>587</v>
      </c>
      <c r="D17" s="10">
        <f>SUM(D18:D28)</f>
        <v>126672</v>
      </c>
      <c r="E17" s="588">
        <f>SUM(E18:E29)</f>
        <v>144931</v>
      </c>
      <c r="F17" s="588">
        <f>SUM(F18:F30)</f>
        <v>120925</v>
      </c>
      <c r="G17" s="1309">
        <f>SUM(G18:G31)</f>
        <v>98323</v>
      </c>
    </row>
    <row r="18" spans="1:7" s="6" customFormat="1" ht="42" customHeight="1">
      <c r="A18" s="365" t="s">
        <v>49</v>
      </c>
      <c r="B18" s="363"/>
      <c r="C18" s="586" t="s">
        <v>595</v>
      </c>
      <c r="D18" s="92">
        <v>2274</v>
      </c>
      <c r="E18" s="589">
        <v>0</v>
      </c>
      <c r="F18" s="590">
        <v>0</v>
      </c>
      <c r="G18" s="1310">
        <v>0</v>
      </c>
    </row>
    <row r="19" spans="1:7" s="6" customFormat="1" ht="44.25" customHeight="1">
      <c r="A19" s="365" t="s">
        <v>51</v>
      </c>
      <c r="B19" s="363"/>
      <c r="C19" s="586" t="s">
        <v>596</v>
      </c>
      <c r="D19" s="92">
        <v>2020</v>
      </c>
      <c r="E19" s="589">
        <v>2020</v>
      </c>
      <c r="F19" s="590">
        <v>2020</v>
      </c>
      <c r="G19" s="1310">
        <v>2020</v>
      </c>
    </row>
    <row r="20" spans="1:7" s="6" customFormat="1" ht="12.75" customHeight="1">
      <c r="A20" s="365" t="s">
        <v>53</v>
      </c>
      <c r="B20" s="363"/>
      <c r="C20" s="586" t="s">
        <v>597</v>
      </c>
      <c r="D20" s="92">
        <v>500</v>
      </c>
      <c r="E20" s="589">
        <v>386</v>
      </c>
      <c r="F20" s="590">
        <v>500</v>
      </c>
      <c r="G20" s="1310">
        <v>0</v>
      </c>
    </row>
    <row r="21" spans="1:7" s="6" customFormat="1" ht="22.5" customHeight="1">
      <c r="A21" s="365" t="s">
        <v>55</v>
      </c>
      <c r="B21" s="363"/>
      <c r="C21" s="586" t="s">
        <v>598</v>
      </c>
      <c r="D21" s="92">
        <v>180</v>
      </c>
      <c r="E21" s="589">
        <v>180</v>
      </c>
      <c r="F21" s="590">
        <v>180</v>
      </c>
      <c r="G21" s="1310">
        <v>180</v>
      </c>
    </row>
    <row r="22" spans="1:7" s="579" customFormat="1" ht="26.25" customHeight="1">
      <c r="A22" s="365" t="s">
        <v>57</v>
      </c>
      <c r="B22" s="591"/>
      <c r="C22" s="592" t="s">
        <v>599</v>
      </c>
      <c r="D22" s="92">
        <v>500</v>
      </c>
      <c r="E22" s="589">
        <v>500</v>
      </c>
      <c r="F22" s="590">
        <v>500</v>
      </c>
      <c r="G22" s="1310">
        <v>500</v>
      </c>
    </row>
    <row r="23" spans="1:7" s="6" customFormat="1" ht="29.25" customHeight="1">
      <c r="A23" s="365" t="s">
        <v>86</v>
      </c>
      <c r="B23" s="363"/>
      <c r="C23" s="586" t="s">
        <v>600</v>
      </c>
      <c r="D23" s="92">
        <v>2500</v>
      </c>
      <c r="E23" s="589">
        <v>2500</v>
      </c>
      <c r="F23" s="590">
        <v>1943</v>
      </c>
      <c r="G23" s="1310">
        <v>1943</v>
      </c>
    </row>
    <row r="24" spans="1:7" s="6" customFormat="1" ht="29.25" customHeight="1">
      <c r="A24" s="365" t="s">
        <v>59</v>
      </c>
      <c r="B24" s="363"/>
      <c r="C24" s="316" t="s">
        <v>601</v>
      </c>
      <c r="D24" s="92">
        <v>115248</v>
      </c>
      <c r="E24" s="589">
        <v>115248</v>
      </c>
      <c r="F24" s="590">
        <v>89565</v>
      </c>
      <c r="G24" s="1310">
        <v>89565</v>
      </c>
    </row>
    <row r="25" spans="1:7" s="6" customFormat="1" ht="29.25" customHeight="1">
      <c r="A25" s="365" t="s">
        <v>61</v>
      </c>
      <c r="B25" s="363"/>
      <c r="C25" s="316" t="s">
        <v>602</v>
      </c>
      <c r="D25" s="92">
        <v>200</v>
      </c>
      <c r="E25" s="589">
        <v>200</v>
      </c>
      <c r="F25" s="590">
        <v>200</v>
      </c>
      <c r="G25" s="1310">
        <v>200</v>
      </c>
    </row>
    <row r="26" spans="1:7" s="6" customFormat="1" ht="29.25" customHeight="1">
      <c r="A26" s="365" t="s">
        <v>63</v>
      </c>
      <c r="B26" s="363"/>
      <c r="C26" s="316" t="s">
        <v>603</v>
      </c>
      <c r="D26" s="92">
        <v>250</v>
      </c>
      <c r="E26" s="589">
        <v>250</v>
      </c>
      <c r="F26" s="590">
        <v>2250</v>
      </c>
      <c r="G26" s="1310">
        <v>2250</v>
      </c>
    </row>
    <row r="27" spans="1:7" s="6" customFormat="1" ht="29.25" customHeight="1">
      <c r="A27" s="365" t="s">
        <v>65</v>
      </c>
      <c r="B27" s="363"/>
      <c r="C27" s="594" t="s">
        <v>604</v>
      </c>
      <c r="D27" s="92">
        <v>3000</v>
      </c>
      <c r="E27" s="589">
        <v>0</v>
      </c>
      <c r="F27" s="590">
        <v>0</v>
      </c>
      <c r="G27" s="1310">
        <v>0</v>
      </c>
    </row>
    <row r="28" spans="1:7" s="6" customFormat="1" ht="29.25" customHeight="1">
      <c r="A28" s="365" t="s">
        <v>92</v>
      </c>
      <c r="B28" s="363"/>
      <c r="C28" s="586" t="s">
        <v>605</v>
      </c>
      <c r="D28" s="92">
        <v>0</v>
      </c>
      <c r="E28" s="589">
        <v>1147</v>
      </c>
      <c r="F28" s="590">
        <v>1147</v>
      </c>
      <c r="G28" s="1310">
        <v>1147</v>
      </c>
    </row>
    <row r="29" spans="1:7" s="6" customFormat="1" ht="29.25" customHeight="1">
      <c r="A29" s="540" t="s">
        <v>66</v>
      </c>
      <c r="B29" s="540"/>
      <c r="C29" s="541" t="s">
        <v>606</v>
      </c>
      <c r="D29" s="541"/>
      <c r="E29" s="541">
        <v>22500</v>
      </c>
      <c r="F29" s="1125">
        <v>22500</v>
      </c>
      <c r="G29" s="1311">
        <v>0</v>
      </c>
    </row>
    <row r="30" spans="1:7" s="6" customFormat="1" ht="29.25" customHeight="1">
      <c r="A30" s="1126" t="s">
        <v>67</v>
      </c>
      <c r="B30" s="1126"/>
      <c r="C30" s="1127" t="s">
        <v>607</v>
      </c>
      <c r="D30" s="1127"/>
      <c r="E30" s="1127"/>
      <c r="F30" s="1128">
        <v>120</v>
      </c>
      <c r="G30" s="1312">
        <v>120</v>
      </c>
    </row>
    <row r="31" spans="1:7" s="6" customFormat="1" ht="29.25" customHeight="1" thickBot="1">
      <c r="A31" s="596" t="s">
        <v>68</v>
      </c>
      <c r="B31" s="597"/>
      <c r="C31" s="434" t="s">
        <v>928</v>
      </c>
      <c r="D31" s="598"/>
      <c r="E31" s="599"/>
      <c r="F31" s="600"/>
      <c r="G31" s="1267">
        <v>398</v>
      </c>
    </row>
    <row r="32" spans="1:7" s="6" customFormat="1" ht="12.75" customHeight="1" thickBot="1">
      <c r="A32" s="601" t="s">
        <v>70</v>
      </c>
      <c r="B32" s="602"/>
      <c r="C32" s="603" t="s">
        <v>25</v>
      </c>
      <c r="D32" s="604">
        <f>SUM(D13+D17)</f>
        <v>127072</v>
      </c>
      <c r="E32" s="604">
        <f>SUM(E13+E17)</f>
        <v>145331</v>
      </c>
      <c r="F32" s="604">
        <f>SUM(F13+F17)</f>
        <v>121325</v>
      </c>
      <c r="G32" s="1313">
        <f>SUM(G13+G17)</f>
        <v>98715</v>
      </c>
    </row>
    <row r="33" spans="1:7" s="6" customFormat="1" ht="12.75" customHeight="1">
      <c r="A33" s="221"/>
      <c r="B33" s="220"/>
      <c r="C33" s="220"/>
      <c r="G33" s="1305"/>
    </row>
    <row r="34" spans="1:7" s="6" customFormat="1" ht="12.75" customHeight="1">
      <c r="A34" s="221"/>
      <c r="B34" s="220"/>
      <c r="C34" s="220"/>
      <c r="G34" s="1305"/>
    </row>
    <row r="35" spans="1:8" s="6" customFormat="1" ht="12.75" customHeight="1">
      <c r="A35" s="1375" t="s">
        <v>608</v>
      </c>
      <c r="B35" s="1375"/>
      <c r="C35" s="1375"/>
      <c r="D35" s="1375"/>
      <c r="E35" s="1375"/>
      <c r="F35" s="1375"/>
      <c r="G35" s="1375"/>
      <c r="H35" s="1375"/>
    </row>
    <row r="36" spans="1:8" s="6" customFormat="1" ht="12.75" customHeight="1">
      <c r="A36" s="1496" t="s">
        <v>938</v>
      </c>
      <c r="B36" s="1496"/>
      <c r="C36" s="1496"/>
      <c r="D36" s="1496"/>
      <c r="E36" s="1496"/>
      <c r="F36" s="1496"/>
      <c r="G36" s="1496"/>
      <c r="H36" s="1496"/>
    </row>
    <row r="37" spans="1:7" s="6" customFormat="1" ht="12.75" customHeight="1">
      <c r="A37" s="605"/>
      <c r="B37" s="605"/>
      <c r="C37" s="1497" t="s">
        <v>945</v>
      </c>
      <c r="D37" s="1497"/>
      <c r="E37" s="1497"/>
      <c r="F37" s="1497"/>
      <c r="G37" s="1497"/>
    </row>
    <row r="38" spans="1:8" s="6" customFormat="1" ht="12.75" customHeight="1">
      <c r="A38" s="1376" t="s">
        <v>609</v>
      </c>
      <c r="B38" s="1376"/>
      <c r="C38" s="1376"/>
      <c r="D38" s="1376"/>
      <c r="E38" s="1376"/>
      <c r="F38" s="1376"/>
      <c r="G38" s="1376"/>
      <c r="H38" s="1376"/>
    </row>
    <row r="39" spans="1:8" s="6" customFormat="1" ht="24" customHeight="1">
      <c r="A39" s="1376"/>
      <c r="B39" s="1376"/>
      <c r="C39" s="1376"/>
      <c r="D39" s="1376"/>
      <c r="E39" s="1376"/>
      <c r="F39" s="1376"/>
      <c r="G39" s="1376"/>
      <c r="H39" s="1376"/>
    </row>
    <row r="40" spans="1:7" s="6" customFormat="1" ht="12.75" customHeight="1">
      <c r="A40" s="222"/>
      <c r="B40" s="222"/>
      <c r="C40" s="222"/>
      <c r="D40" s="222"/>
      <c r="E40" s="222"/>
      <c r="F40" s="222"/>
      <c r="G40" s="1314"/>
    </row>
    <row r="41" spans="1:7" s="6" customFormat="1" ht="12.75" customHeight="1">
      <c r="A41"/>
      <c r="B41"/>
      <c r="C41"/>
      <c r="D41"/>
      <c r="E41"/>
      <c r="F41"/>
      <c r="G41" s="1315"/>
    </row>
    <row r="42" spans="1:8" s="6" customFormat="1" ht="12.75" customHeight="1" thickBot="1">
      <c r="A42"/>
      <c r="B42"/>
      <c r="C42"/>
      <c r="D42" s="1369" t="s">
        <v>155</v>
      </c>
      <c r="E42" s="1369"/>
      <c r="F42" s="1369"/>
      <c r="G42" s="1369"/>
      <c r="H42" s="1369"/>
    </row>
    <row r="43" spans="1:9" s="6" customFormat="1" ht="39" thickBot="1">
      <c r="A43" s="1370" t="s">
        <v>156</v>
      </c>
      <c r="B43" s="1370"/>
      <c r="C43" s="1371" t="s">
        <v>610</v>
      </c>
      <c r="D43" s="1123" t="s">
        <v>158</v>
      </c>
      <c r="E43" s="1123" t="s">
        <v>159</v>
      </c>
      <c r="F43" s="1123" t="s">
        <v>588</v>
      </c>
      <c r="G43" s="1316" t="s">
        <v>589</v>
      </c>
      <c r="H43" s="1123" t="s">
        <v>912</v>
      </c>
      <c r="I43" s="593"/>
    </row>
    <row r="44" spans="1:9" s="6" customFormat="1" ht="12.75" customHeight="1" thickBot="1">
      <c r="A44" s="1370"/>
      <c r="B44" s="1370"/>
      <c r="C44" s="1371"/>
      <c r="D44" s="1122"/>
      <c r="E44" s="1122"/>
      <c r="F44" s="1122"/>
      <c r="G44" s="1317"/>
      <c r="H44" s="1122"/>
      <c r="I44" s="593"/>
    </row>
    <row r="45" spans="1:9" s="6" customFormat="1" ht="12.75" customHeight="1">
      <c r="A45" s="1370"/>
      <c r="B45" s="1370"/>
      <c r="C45" s="606" t="s">
        <v>163</v>
      </c>
      <c r="D45" s="607" t="s">
        <v>164</v>
      </c>
      <c r="E45" s="607" t="s">
        <v>165</v>
      </c>
      <c r="F45" s="607" t="s">
        <v>166</v>
      </c>
      <c r="G45" s="1318" t="s">
        <v>167</v>
      </c>
      <c r="H45" s="607" t="s">
        <v>168</v>
      </c>
      <c r="I45" s="593"/>
    </row>
    <row r="46" spans="1:9" s="6" customFormat="1" ht="12.75" customHeight="1">
      <c r="A46" s="608" t="s">
        <v>38</v>
      </c>
      <c r="B46" s="544"/>
      <c r="C46" s="544" t="s">
        <v>611</v>
      </c>
      <c r="D46" s="165">
        <f>SUM(D47:D50)</f>
        <v>26400</v>
      </c>
      <c r="E46" s="165">
        <f>SUM(E47:E50)</f>
        <v>27364</v>
      </c>
      <c r="F46" s="165">
        <f>SUM(F47:F50)</f>
        <v>28212</v>
      </c>
      <c r="G46" s="1319">
        <f>SUM(G47:G50)</f>
        <v>30177</v>
      </c>
      <c r="H46" s="165">
        <f>SUM(H47:H50)</f>
        <v>31772</v>
      </c>
      <c r="I46" s="593"/>
    </row>
    <row r="47" spans="1:9" s="6" customFormat="1" ht="12.75" customHeight="1">
      <c r="A47" s="609" t="s">
        <v>40</v>
      </c>
      <c r="B47" s="545"/>
      <c r="C47" s="610" t="s">
        <v>612</v>
      </c>
      <c r="D47" s="168">
        <v>4226</v>
      </c>
      <c r="E47" s="168">
        <v>7139</v>
      </c>
      <c r="F47" s="168">
        <v>7139</v>
      </c>
      <c r="G47" s="1320">
        <v>7272</v>
      </c>
      <c r="H47" s="168">
        <v>7272</v>
      </c>
      <c r="I47" s="593"/>
    </row>
    <row r="48" spans="1:9" s="6" customFormat="1" ht="12.75" customHeight="1">
      <c r="A48" s="609" t="s">
        <v>47</v>
      </c>
      <c r="B48" s="545"/>
      <c r="C48" s="611" t="s">
        <v>613</v>
      </c>
      <c r="D48" s="81">
        <v>1501</v>
      </c>
      <c r="E48" s="81">
        <v>1500</v>
      </c>
      <c r="F48" s="81">
        <v>1500</v>
      </c>
      <c r="G48" s="1321">
        <v>1500</v>
      </c>
      <c r="H48" s="81">
        <v>1500</v>
      </c>
      <c r="I48" s="593"/>
    </row>
    <row r="49" spans="1:9" s="6" customFormat="1" ht="12.75" customHeight="1">
      <c r="A49" s="609" t="s">
        <v>49</v>
      </c>
      <c r="B49" s="545"/>
      <c r="C49" s="611" t="s">
        <v>614</v>
      </c>
      <c r="D49" s="168">
        <v>19473</v>
      </c>
      <c r="E49" s="168">
        <v>18725</v>
      </c>
      <c r="F49" s="168">
        <v>19573</v>
      </c>
      <c r="G49" s="1320">
        <v>21405</v>
      </c>
      <c r="H49" s="168">
        <v>23000</v>
      </c>
      <c r="I49" s="593"/>
    </row>
    <row r="50" spans="1:9" s="6" customFormat="1" ht="12.75" customHeight="1">
      <c r="A50" s="609" t="s">
        <v>51</v>
      </c>
      <c r="B50" s="545"/>
      <c r="C50" s="611" t="s">
        <v>615</v>
      </c>
      <c r="D50" s="168">
        <v>1200</v>
      </c>
      <c r="E50" s="168">
        <v>0</v>
      </c>
      <c r="F50" s="168">
        <v>0</v>
      </c>
      <c r="G50" s="1320">
        <v>0</v>
      </c>
      <c r="H50" s="168">
        <v>0</v>
      </c>
      <c r="I50" s="593"/>
    </row>
    <row r="51" spans="1:9" s="6" customFormat="1" ht="12.75" customHeight="1">
      <c r="A51" s="608" t="s">
        <v>53</v>
      </c>
      <c r="B51" s="545"/>
      <c r="C51" s="612" t="s">
        <v>238</v>
      </c>
      <c r="D51" s="165">
        <f>D52</f>
        <v>4123</v>
      </c>
      <c r="E51" s="165">
        <f>E52</f>
        <v>3000</v>
      </c>
      <c r="F51" s="165">
        <f>F52</f>
        <v>3000</v>
      </c>
      <c r="G51" s="1319">
        <f>G52</f>
        <v>3000</v>
      </c>
      <c r="H51" s="165">
        <f>H52</f>
        <v>3000</v>
      </c>
      <c r="I51" s="593"/>
    </row>
    <row r="52" spans="1:9" s="6" customFormat="1" ht="12.75" customHeight="1">
      <c r="A52" s="609" t="s">
        <v>55</v>
      </c>
      <c r="B52" s="545"/>
      <c r="C52" s="613" t="s">
        <v>351</v>
      </c>
      <c r="D52" s="168">
        <v>4123</v>
      </c>
      <c r="E52" s="168">
        <v>3000</v>
      </c>
      <c r="F52" s="168">
        <v>3000</v>
      </c>
      <c r="G52" s="1320">
        <v>3000</v>
      </c>
      <c r="H52" s="168">
        <v>3000</v>
      </c>
      <c r="I52" s="593"/>
    </row>
    <row r="53" spans="1:9" ht="12.75" customHeight="1">
      <c r="A53" s="614"/>
      <c r="B53" s="92"/>
      <c r="C53" s="92"/>
      <c r="D53" s="168"/>
      <c r="E53" s="168"/>
      <c r="F53" s="168"/>
      <c r="G53" s="1320"/>
      <c r="H53" s="168"/>
      <c r="I53" s="615"/>
    </row>
    <row r="54" spans="1:9" s="6" customFormat="1" ht="12.75" customHeight="1">
      <c r="A54" s="609" t="s">
        <v>57</v>
      </c>
      <c r="B54" s="545"/>
      <c r="C54" s="613" t="s">
        <v>351</v>
      </c>
      <c r="D54" s="168"/>
      <c r="E54" s="168"/>
      <c r="F54" s="168"/>
      <c r="G54" s="1320"/>
      <c r="H54" s="168"/>
      <c r="I54" s="593"/>
    </row>
    <row r="55" spans="1:9" s="6" customFormat="1" ht="12.75" customHeight="1">
      <c r="A55" s="609" t="s">
        <v>86</v>
      </c>
      <c r="B55" s="545"/>
      <c r="C55" s="387" t="s">
        <v>352</v>
      </c>
      <c r="D55" s="168"/>
      <c r="E55" s="168"/>
      <c r="F55" s="168"/>
      <c r="G55" s="1320"/>
      <c r="H55" s="168"/>
      <c r="I55" s="593"/>
    </row>
    <row r="56" spans="1:9" s="6" customFormat="1" ht="12.75" customHeight="1">
      <c r="A56" s="609" t="s">
        <v>59</v>
      </c>
      <c r="B56" s="545"/>
      <c r="C56" s="611" t="s">
        <v>616</v>
      </c>
      <c r="D56" s="168"/>
      <c r="E56" s="168"/>
      <c r="F56" s="168"/>
      <c r="G56" s="1320"/>
      <c r="H56" s="168"/>
      <c r="I56" s="593"/>
    </row>
    <row r="57" spans="1:9" s="6" customFormat="1" ht="12.75" customHeight="1">
      <c r="A57" s="609" t="s">
        <v>61</v>
      </c>
      <c r="B57" s="545"/>
      <c r="C57" s="611" t="s">
        <v>617</v>
      </c>
      <c r="D57" s="168"/>
      <c r="E57" s="168"/>
      <c r="F57" s="168"/>
      <c r="G57" s="1320"/>
      <c r="H57" s="168"/>
      <c r="I57" s="593"/>
    </row>
    <row r="58" spans="1:9" s="6" customFormat="1" ht="12.75" customHeight="1">
      <c r="A58" s="609" t="s">
        <v>63</v>
      </c>
      <c r="B58" s="545"/>
      <c r="C58" s="611" t="s">
        <v>618</v>
      </c>
      <c r="D58" s="168"/>
      <c r="E58" s="168"/>
      <c r="F58" s="168"/>
      <c r="G58" s="1320"/>
      <c r="H58" s="168"/>
      <c r="I58" s="593"/>
    </row>
    <row r="59" spans="1:9" s="6" customFormat="1" ht="12.75" customHeight="1">
      <c r="A59" s="609" t="s">
        <v>65</v>
      </c>
      <c r="B59" s="545"/>
      <c r="C59" s="611" t="s">
        <v>619</v>
      </c>
      <c r="D59" s="168"/>
      <c r="E59" s="168"/>
      <c r="F59" s="168"/>
      <c r="G59" s="1320"/>
      <c r="H59" s="168"/>
      <c r="I59" s="593"/>
    </row>
    <row r="60" spans="1:9" s="6" customFormat="1" ht="12.75" customHeight="1" thickBot="1">
      <c r="A60" s="394" t="s">
        <v>92</v>
      </c>
      <c r="B60" s="389"/>
      <c r="C60" s="616" t="s">
        <v>25</v>
      </c>
      <c r="D60" s="617">
        <f>D46+D51</f>
        <v>30523</v>
      </c>
      <c r="E60" s="617">
        <f>E46+E51</f>
        <v>30364</v>
      </c>
      <c r="F60" s="617">
        <f>F46+F51</f>
        <v>31212</v>
      </c>
      <c r="G60" s="1322">
        <f>G46+G51</f>
        <v>33177</v>
      </c>
      <c r="H60" s="617">
        <f>H46+H51</f>
        <v>34772</v>
      </c>
      <c r="I60" s="593"/>
    </row>
    <row r="61" spans="1:8" s="6" customFormat="1" ht="12.75" customHeight="1">
      <c r="A61" s="575"/>
      <c r="G61" s="1305"/>
      <c r="H61" s="593"/>
    </row>
  </sheetData>
  <sheetProtection selectLockedCells="1" selectUnlockedCells="1"/>
  <mergeCells count="18">
    <mergeCell ref="A3:H4"/>
    <mergeCell ref="A2:H2"/>
    <mergeCell ref="C37:G37"/>
    <mergeCell ref="A35:H35"/>
    <mergeCell ref="A36:H36"/>
    <mergeCell ref="A38:H39"/>
    <mergeCell ref="A1:E1"/>
    <mergeCell ref="A5:E6"/>
    <mergeCell ref="A10:B12"/>
    <mergeCell ref="C10:C11"/>
    <mergeCell ref="D10:D11"/>
    <mergeCell ref="E10:E11"/>
    <mergeCell ref="D42:H42"/>
    <mergeCell ref="A43:B45"/>
    <mergeCell ref="C43:C44"/>
    <mergeCell ref="D9:G9"/>
    <mergeCell ref="F10:F11"/>
    <mergeCell ref="G10:G11"/>
  </mergeCells>
  <printOptions/>
  <pageMargins left="1.6534722222222222" right="0.2361111111111111" top="0.15763888888888888" bottom="0.15763888888888888" header="0.5118055555555555" footer="0.5118055555555555"/>
  <pageSetup firstPageNumber="1" useFirstPageNumber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IV32"/>
  <sheetViews>
    <sheetView zoomScalePageLayoutView="0" workbookViewId="0" topLeftCell="A1">
      <selection activeCell="A4" sqref="A4:P4"/>
    </sheetView>
  </sheetViews>
  <sheetFormatPr defaultColWidth="11.7109375" defaultRowHeight="12.75" customHeight="1"/>
  <cols>
    <col min="1" max="1" width="27.140625" style="56" customWidth="1"/>
    <col min="2" max="2" width="12.7109375" style="56" customWidth="1"/>
    <col min="3" max="3" width="12.140625" style="56" customWidth="1"/>
    <col min="4" max="5" width="13.7109375" style="56" customWidth="1"/>
    <col min="6" max="6" width="12.57421875" style="216" customWidth="1"/>
    <col min="7" max="7" width="13.7109375" style="216" customWidth="1"/>
    <col min="8" max="8" width="14.7109375" style="56" customWidth="1"/>
    <col min="9" max="9" width="31.28125" style="56" customWidth="1"/>
    <col min="10" max="10" width="11.8515625" style="56" customWidth="1"/>
    <col min="11" max="11" width="10.140625" style="56" customWidth="1"/>
    <col min="12" max="13" width="13.7109375" style="56" customWidth="1"/>
    <col min="14" max="14" width="12.57421875" style="56" customWidth="1"/>
    <col min="15" max="15" width="13.7109375" style="56" customWidth="1"/>
    <col min="16" max="16" width="14.28125" style="56" customWidth="1"/>
    <col min="17" max="16384" width="11.7109375" style="56" customWidth="1"/>
  </cols>
  <sheetData>
    <row r="1" spans="1:16" s="217" customFormat="1" ht="12.75" customHeight="1">
      <c r="A1" s="1362"/>
      <c r="B1" s="1362"/>
      <c r="C1" s="1362"/>
      <c r="D1" s="1362"/>
      <c r="I1" s="1343" t="s">
        <v>620</v>
      </c>
      <c r="J1" s="1343"/>
      <c r="K1" s="1343"/>
      <c r="L1" s="1343"/>
      <c r="M1" s="1343"/>
      <c r="N1" s="1343"/>
      <c r="O1" s="1343"/>
      <c r="P1" s="1343"/>
    </row>
    <row r="2" spans="1:16" ht="12.75" customHeight="1">
      <c r="A2" s="1377" t="s">
        <v>938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</row>
    <row r="3" spans="1:256" ht="12.75" customHeight="1">
      <c r="A3" s="1360" t="s">
        <v>621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498" t="s">
        <v>946</v>
      </c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/>
      <c r="E5"/>
      <c r="F5"/>
      <c r="G5" s="1368" t="s">
        <v>155</v>
      </c>
      <c r="H5" s="1368"/>
      <c r="I5"/>
      <c r="J5"/>
      <c r="K5"/>
      <c r="L5"/>
      <c r="M5"/>
      <c r="N5" s="1381" t="s">
        <v>155</v>
      </c>
      <c r="O5" s="1381"/>
      <c r="P5" s="138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619" t="s">
        <v>622</v>
      </c>
      <c r="B6" s="620" t="s">
        <v>623</v>
      </c>
      <c r="C6" s="621" t="s">
        <v>624</v>
      </c>
      <c r="D6" s="621" t="s">
        <v>625</v>
      </c>
      <c r="E6" s="621" t="s">
        <v>626</v>
      </c>
      <c r="F6" s="621" t="s">
        <v>627</v>
      </c>
      <c r="G6" s="621" t="s">
        <v>628</v>
      </c>
      <c r="H6" s="622" t="s">
        <v>629</v>
      </c>
      <c r="I6" s="619" t="s">
        <v>78</v>
      </c>
      <c r="J6" s="620" t="s">
        <v>623</v>
      </c>
      <c r="K6" s="620" t="s">
        <v>624</v>
      </c>
      <c r="L6" s="620" t="s">
        <v>625</v>
      </c>
      <c r="M6" s="620" t="s">
        <v>626</v>
      </c>
      <c r="N6" s="620" t="s">
        <v>627</v>
      </c>
      <c r="O6" s="620" t="s">
        <v>628</v>
      </c>
      <c r="P6" s="622" t="s">
        <v>25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623" t="s">
        <v>630</v>
      </c>
      <c r="B7" s="304">
        <f>SUM('19 önkormányzat'!I129-'19 önkormányzat'!I58)</f>
        <v>17132</v>
      </c>
      <c r="C7" s="316">
        <f>SUM('19 önkormányzat'!I58)</f>
        <v>23185</v>
      </c>
      <c r="D7" s="168">
        <f>SUM('17pmh2015'!I43)</f>
        <v>50857</v>
      </c>
      <c r="E7" s="168">
        <f>SUM('15ovi2015'!H60)</f>
        <v>67533</v>
      </c>
      <c r="F7" s="168">
        <f>SUM('16művh2015'!I40)</f>
        <v>6589</v>
      </c>
      <c r="G7" s="168">
        <f>SUM('18VÜKI'!H79)</f>
        <v>50508</v>
      </c>
      <c r="H7" s="624">
        <f aca="true" t="shared" si="0" ref="H7:H18">SUM(B7:G7)</f>
        <v>215804</v>
      </c>
      <c r="I7" s="623" t="s">
        <v>631</v>
      </c>
      <c r="J7" s="625">
        <v>40849</v>
      </c>
      <c r="K7" s="625"/>
      <c r="L7" s="625">
        <f>SUM('17pmh2015'!I14)</f>
        <v>2407</v>
      </c>
      <c r="M7" s="626">
        <v>3309</v>
      </c>
      <c r="N7" s="626">
        <f>SUM('16művh2015'!I15)</f>
        <v>330</v>
      </c>
      <c r="O7" s="625">
        <v>3047</v>
      </c>
      <c r="P7" s="627">
        <f aca="true" t="shared" si="1" ref="P7:P18">SUM(J7:O7)</f>
        <v>49942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623" t="s">
        <v>632</v>
      </c>
      <c r="B8" s="304">
        <f>SUM('19 önkormányzat'!I130-'19 önkormányzat'!I59)</f>
        <v>3954</v>
      </c>
      <c r="C8" s="316">
        <f>SUM('19 önkormányzat'!I59)</f>
        <v>6329</v>
      </c>
      <c r="D8" s="168">
        <f>SUM('17pmh2015'!I44)</f>
        <v>13890</v>
      </c>
      <c r="E8" s="168">
        <f>SUM('15ovi2015'!H61)</f>
        <v>17441</v>
      </c>
      <c r="F8" s="168">
        <f>SUM('16művh2015'!I41)</f>
        <v>1945</v>
      </c>
      <c r="G8" s="168">
        <f>SUM('18VÜKI'!H80)</f>
        <v>12285</v>
      </c>
      <c r="H8" s="624">
        <f t="shared" si="0"/>
        <v>55844</v>
      </c>
      <c r="I8" s="628" t="s">
        <v>78</v>
      </c>
      <c r="J8" s="316">
        <f>SUM('19 önkormányzat'!I9+'19 önkormányzat'!I15)</f>
        <v>19318</v>
      </c>
      <c r="K8" s="316"/>
      <c r="L8" s="316">
        <f>SUM('17pmh2015'!I10)</f>
        <v>796</v>
      </c>
      <c r="M8" s="168">
        <v>1840</v>
      </c>
      <c r="N8" s="168">
        <f>SUM('16művh2015'!I9)</f>
        <v>300</v>
      </c>
      <c r="O8" s="316">
        <f>'18VÜKI'!H11+'18VÜKI'!H13</f>
        <v>19500</v>
      </c>
      <c r="P8" s="595">
        <f t="shared" si="1"/>
        <v>41754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623" t="s">
        <v>633</v>
      </c>
      <c r="B9" s="304">
        <f>SUM('19 önkormányzat'!I131-'19 önkormányzat'!I60)</f>
        <v>67129</v>
      </c>
      <c r="C9" s="316">
        <f>SUM('19 önkormányzat'!I60)</f>
        <v>4000</v>
      </c>
      <c r="D9" s="168">
        <f>SUM('17pmh2015'!I45)</f>
        <v>12155</v>
      </c>
      <c r="E9" s="168">
        <v>23164</v>
      </c>
      <c r="F9" s="168">
        <f>SUM('16művh2015'!I42)</f>
        <v>6517</v>
      </c>
      <c r="G9" s="168">
        <f>SUM('18VÜKI'!H81)</f>
        <v>42833</v>
      </c>
      <c r="H9" s="624">
        <f t="shared" si="0"/>
        <v>155798</v>
      </c>
      <c r="I9" s="628" t="s">
        <v>634</v>
      </c>
      <c r="J9" s="92">
        <f>SUM('19 önkormányzat'!I10)</f>
        <v>149880</v>
      </c>
      <c r="K9" s="316"/>
      <c r="L9" s="316"/>
      <c r="M9" s="168"/>
      <c r="N9" s="168"/>
      <c r="O9" s="316"/>
      <c r="P9" s="595">
        <f t="shared" si="1"/>
        <v>149880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623" t="s">
        <v>635</v>
      </c>
      <c r="B10" s="335">
        <v>256</v>
      </c>
      <c r="C10" s="629"/>
      <c r="D10" s="629"/>
      <c r="E10" s="629"/>
      <c r="F10" s="629"/>
      <c r="G10" s="629"/>
      <c r="H10" s="335">
        <f t="shared" si="0"/>
        <v>256</v>
      </c>
      <c r="I10" s="628" t="s">
        <v>188</v>
      </c>
      <c r="J10" s="316">
        <v>0</v>
      </c>
      <c r="K10" s="316"/>
      <c r="L10" s="316">
        <v>951</v>
      </c>
      <c r="M10" s="168">
        <v>20</v>
      </c>
      <c r="N10" s="168"/>
      <c r="O10" s="316"/>
      <c r="P10" s="595">
        <f t="shared" si="1"/>
        <v>971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623" t="s">
        <v>214</v>
      </c>
      <c r="B11" s="335">
        <f>SUM('19 önkormányzat'!I138)</f>
        <v>10204</v>
      </c>
      <c r="C11" s="335"/>
      <c r="D11" s="335"/>
      <c r="E11" s="335"/>
      <c r="F11" s="335"/>
      <c r="G11" s="335"/>
      <c r="H11" s="335">
        <f t="shared" si="0"/>
        <v>10204</v>
      </c>
      <c r="I11" s="628" t="s">
        <v>636</v>
      </c>
      <c r="J11" s="316"/>
      <c r="K11" s="316"/>
      <c r="L11" s="316"/>
      <c r="M11" s="168"/>
      <c r="N11" s="168"/>
      <c r="O11" s="316"/>
      <c r="P11" s="595">
        <f t="shared" si="1"/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623" t="s">
        <v>637</v>
      </c>
      <c r="B12" s="335">
        <f>SUM('19 önkormányzat'!I132)-C12+400</f>
        <v>34572</v>
      </c>
      <c r="C12" s="335">
        <f>SUM('19 önkormányzat'!I61)</f>
        <v>1500</v>
      </c>
      <c r="D12" s="335"/>
      <c r="E12" s="335"/>
      <c r="F12" s="335"/>
      <c r="G12" s="335"/>
      <c r="H12" s="335">
        <f t="shared" si="0"/>
        <v>36072</v>
      </c>
      <c r="I12" s="628" t="s">
        <v>638</v>
      </c>
      <c r="J12" s="316">
        <f>SUM('19 önkormányzat'!I27)</f>
        <v>4153</v>
      </c>
      <c r="K12" s="316"/>
      <c r="L12" s="316"/>
      <c r="M12" s="168"/>
      <c r="N12" s="168"/>
      <c r="O12" s="316"/>
      <c r="P12" s="595">
        <f t="shared" si="1"/>
        <v>4153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623" t="s">
        <v>127</v>
      </c>
      <c r="B13" s="335"/>
      <c r="C13" s="335"/>
      <c r="D13" s="335"/>
      <c r="E13" s="335"/>
      <c r="F13" s="335"/>
      <c r="G13" s="335"/>
      <c r="H13" s="335">
        <f t="shared" si="0"/>
        <v>0</v>
      </c>
      <c r="I13" s="628" t="s">
        <v>639</v>
      </c>
      <c r="J13" s="316">
        <f>SUM('19 önkormányzat'!I13+'19 önkormányzat'!I12)</f>
        <v>14208</v>
      </c>
      <c r="K13" s="316">
        <f>SUM('19 önkormányzat'!I14)</f>
        <v>31199</v>
      </c>
      <c r="L13" s="316">
        <f>SUM('17pmh2015'!G12)</f>
        <v>0</v>
      </c>
      <c r="M13" s="168"/>
      <c r="N13" s="168"/>
      <c r="O13" s="316">
        <f>'18VÜKI'!H12</f>
        <v>0</v>
      </c>
      <c r="P13" s="595">
        <f t="shared" si="1"/>
        <v>45407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623" t="s">
        <v>640</v>
      </c>
      <c r="B14" s="335">
        <f>SUM('19 önkormányzat'!I134)</f>
        <v>3274</v>
      </c>
      <c r="C14" s="335"/>
      <c r="D14" s="335"/>
      <c r="E14" s="335"/>
      <c r="F14" s="335"/>
      <c r="G14" s="335"/>
      <c r="H14" s="335">
        <f t="shared" si="0"/>
        <v>3274</v>
      </c>
      <c r="I14" s="628" t="s">
        <v>231</v>
      </c>
      <c r="J14" s="630">
        <f>SUM('19 önkormányzat'!I11)</f>
        <v>185145</v>
      </c>
      <c r="K14" s="316"/>
      <c r="L14" s="545"/>
      <c r="M14" s="168"/>
      <c r="N14" s="168"/>
      <c r="O14" s="545"/>
      <c r="P14" s="595">
        <f t="shared" si="1"/>
        <v>185145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623" t="s">
        <v>641</v>
      </c>
      <c r="B15" s="335"/>
      <c r="C15" s="335"/>
      <c r="D15" s="335"/>
      <c r="E15" s="335"/>
      <c r="F15" s="335"/>
      <c r="G15" s="335"/>
      <c r="H15" s="335">
        <f t="shared" si="0"/>
        <v>0</v>
      </c>
      <c r="I15" s="628" t="s">
        <v>642</v>
      </c>
      <c r="J15" s="630"/>
      <c r="K15" s="316"/>
      <c r="L15" s="168">
        <f>SUM('17pmh2015'!I16)</f>
        <v>57819</v>
      </c>
      <c r="M15" s="168">
        <v>76147</v>
      </c>
      <c r="N15" s="168">
        <v>4036</v>
      </c>
      <c r="O15" s="168">
        <f>SUM('18VÜKI'!H18)</f>
        <v>32157</v>
      </c>
      <c r="P15" s="595">
        <f t="shared" si="1"/>
        <v>170159</v>
      </c>
      <c r="Q15">
        <f>R42+R43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623" t="s">
        <v>643</v>
      </c>
      <c r="B16" s="335"/>
      <c r="C16" s="335"/>
      <c r="D16" s="335"/>
      <c r="E16" s="335"/>
      <c r="F16" s="335"/>
      <c r="G16" s="335"/>
      <c r="H16" s="335">
        <f t="shared" si="0"/>
        <v>0</v>
      </c>
      <c r="I16" s="628" t="s">
        <v>644</v>
      </c>
      <c r="J16" s="630"/>
      <c r="K16" s="316">
        <v>0</v>
      </c>
      <c r="L16" s="316"/>
      <c r="M16" s="168"/>
      <c r="N16" s="168"/>
      <c r="O16" s="316"/>
      <c r="P16" s="595">
        <f t="shared" si="1"/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623" t="s">
        <v>150</v>
      </c>
      <c r="B17" s="335"/>
      <c r="C17" s="335"/>
      <c r="D17" s="335"/>
      <c r="E17" s="335"/>
      <c r="F17" s="335"/>
      <c r="G17" s="335"/>
      <c r="H17" s="335">
        <f t="shared" si="0"/>
        <v>0</v>
      </c>
      <c r="I17" s="628" t="s">
        <v>645</v>
      </c>
      <c r="J17" s="316"/>
      <c r="K17" s="316"/>
      <c r="L17" s="316">
        <f>SUM('17pmh2015'!I17)</f>
        <v>14929</v>
      </c>
      <c r="M17" s="168">
        <f>SUM('15ovi2015'!H19)</f>
        <v>26822</v>
      </c>
      <c r="N17" s="168">
        <v>10385</v>
      </c>
      <c r="O17" s="316">
        <f>SUM('18VÜKI'!H19)</f>
        <v>53372</v>
      </c>
      <c r="P17" s="595">
        <f t="shared" si="1"/>
        <v>105508</v>
      </c>
      <c r="Q17" s="28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623" t="s">
        <v>195</v>
      </c>
      <c r="B18" s="335"/>
      <c r="C18" s="335"/>
      <c r="D18" s="335"/>
      <c r="E18" s="335"/>
      <c r="F18" s="335"/>
      <c r="G18" s="335"/>
      <c r="H18" s="335">
        <f t="shared" si="0"/>
        <v>0</v>
      </c>
      <c r="I18" s="628" t="s">
        <v>195</v>
      </c>
      <c r="J18" s="316">
        <v>0</v>
      </c>
      <c r="K18" s="316"/>
      <c r="L18" s="316"/>
      <c r="M18" s="168"/>
      <c r="N18" s="168"/>
      <c r="O18" s="316"/>
      <c r="P18" s="595">
        <f t="shared" si="1"/>
        <v>0</v>
      </c>
      <c r="Q18" s="28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631" t="s">
        <v>629</v>
      </c>
      <c r="B19" s="632">
        <f aca="true" t="shared" si="2" ref="B19:G19">SUM(B7:B18)</f>
        <v>136521</v>
      </c>
      <c r="C19" s="632">
        <f t="shared" si="2"/>
        <v>35014</v>
      </c>
      <c r="D19" s="632">
        <f t="shared" si="2"/>
        <v>76902</v>
      </c>
      <c r="E19" s="632">
        <f t="shared" si="2"/>
        <v>108138</v>
      </c>
      <c r="F19" s="632">
        <f t="shared" si="2"/>
        <v>15051</v>
      </c>
      <c r="G19" s="632">
        <f t="shared" si="2"/>
        <v>105626</v>
      </c>
      <c r="H19" s="632">
        <f>SUM(H7:H18)-H16</f>
        <v>477252</v>
      </c>
      <c r="I19" s="631" t="s">
        <v>629</v>
      </c>
      <c r="J19" s="633">
        <f>SUM(J7:J18)</f>
        <v>413553</v>
      </c>
      <c r="K19" s="633">
        <f>SUM(K7:K17)</f>
        <v>31199</v>
      </c>
      <c r="L19" s="633">
        <f>SUM(L7:L17)</f>
        <v>76902</v>
      </c>
      <c r="M19" s="633">
        <f>SUM(M7:M17)</f>
        <v>108138</v>
      </c>
      <c r="N19" s="633">
        <f>SUM(N7:N17)</f>
        <v>15051</v>
      </c>
      <c r="O19" s="633">
        <f>SUM(O7:O17)</f>
        <v>108076</v>
      </c>
      <c r="P19" s="633">
        <f>SUM(P7+P8+P9+P12+P13+P14+P16+P18)+P10</f>
        <v>477252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1380"/>
      <c r="B20" s="1380"/>
      <c r="C20" s="1380"/>
      <c r="D20" s="1380"/>
      <c r="E20" s="1380"/>
      <c r="F20" s="1380"/>
      <c r="G20" s="1380"/>
      <c r="H20" s="1380"/>
      <c r="I20" s="1380"/>
      <c r="J20" s="1380"/>
      <c r="K20" s="1380"/>
      <c r="L20" s="1380"/>
      <c r="M20" s="1380"/>
      <c r="N20" s="1380"/>
      <c r="O20" s="1380"/>
      <c r="P20" s="138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619" t="s">
        <v>15</v>
      </c>
      <c r="B21" s="634"/>
      <c r="C21" s="634"/>
      <c r="D21" s="634"/>
      <c r="E21" s="634"/>
      <c r="F21" s="634"/>
      <c r="G21" s="634"/>
      <c r="H21" s="634"/>
      <c r="I21" s="619" t="s">
        <v>13</v>
      </c>
      <c r="J21" s="634"/>
      <c r="K21" s="634"/>
      <c r="L21" s="634"/>
      <c r="M21" s="634"/>
      <c r="N21" s="634"/>
      <c r="O21" s="634"/>
      <c r="P21" s="63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623" t="s">
        <v>591</v>
      </c>
      <c r="B22" s="335"/>
      <c r="C22" s="335"/>
      <c r="D22" s="335"/>
      <c r="E22" s="335"/>
      <c r="F22" s="335"/>
      <c r="G22" s="335"/>
      <c r="H22" s="335">
        <f aca="true" t="shared" si="3" ref="H22:H30">SUM(B22:G22)</f>
        <v>0</v>
      </c>
      <c r="I22" s="635" t="s">
        <v>646</v>
      </c>
      <c r="J22" s="335">
        <f>SUM('19 önkormányzat'!I18)+'19 önkormányzat'!I19</f>
        <v>41468</v>
      </c>
      <c r="K22" s="335"/>
      <c r="L22" s="335"/>
      <c r="M22" s="335"/>
      <c r="N22" s="335"/>
      <c r="O22" s="335"/>
      <c r="P22" s="636">
        <f aca="true" t="shared" si="4" ref="P22:P30">SUM(J22:O22)</f>
        <v>41468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623" t="s">
        <v>376</v>
      </c>
      <c r="B23" s="335">
        <f>SUM('19 önkormányzat'!I135)</f>
        <v>95187</v>
      </c>
      <c r="C23" s="335"/>
      <c r="D23" s="624">
        <f>SUM('17pmh2015'!I46)</f>
        <v>0</v>
      </c>
      <c r="E23" s="624">
        <f>SUM('15ovi2015'!H63)</f>
        <v>680</v>
      </c>
      <c r="F23" s="624">
        <v>398</v>
      </c>
      <c r="G23" s="335">
        <f>SUM('18VÜKI'!H82)</f>
        <v>2450</v>
      </c>
      <c r="H23" s="335">
        <f t="shared" si="3"/>
        <v>98715</v>
      </c>
      <c r="I23" s="623" t="s">
        <v>647</v>
      </c>
      <c r="J23" s="335"/>
      <c r="K23" s="335"/>
      <c r="L23" s="335"/>
      <c r="M23" s="335"/>
      <c r="N23" s="335"/>
      <c r="O23" s="335"/>
      <c r="P23" s="636">
        <f t="shared" si="4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623" t="s">
        <v>648</v>
      </c>
      <c r="B24" s="335">
        <v>805</v>
      </c>
      <c r="C24" s="335"/>
      <c r="D24" s="335"/>
      <c r="E24" s="335"/>
      <c r="F24" s="335"/>
      <c r="G24" s="335"/>
      <c r="H24" s="335">
        <f t="shared" si="3"/>
        <v>805</v>
      </c>
      <c r="I24" s="623" t="s">
        <v>649</v>
      </c>
      <c r="J24" s="335"/>
      <c r="K24" s="335"/>
      <c r="L24" s="335"/>
      <c r="M24" s="335"/>
      <c r="N24" s="335"/>
      <c r="O24" s="335"/>
      <c r="P24" s="636">
        <f t="shared" si="4"/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623" t="s">
        <v>650</v>
      </c>
      <c r="B25" s="335"/>
      <c r="C25" s="335"/>
      <c r="D25" s="335"/>
      <c r="E25" s="335"/>
      <c r="F25" s="335"/>
      <c r="G25" s="335"/>
      <c r="H25" s="335">
        <f t="shared" si="3"/>
        <v>0</v>
      </c>
      <c r="I25" s="623" t="s">
        <v>651</v>
      </c>
      <c r="J25" s="335"/>
      <c r="K25" s="335"/>
      <c r="L25" s="335">
        <v>0</v>
      </c>
      <c r="M25" s="624">
        <v>680</v>
      </c>
      <c r="N25" s="335">
        <v>398</v>
      </c>
      <c r="O25" s="335">
        <v>2450</v>
      </c>
      <c r="P25" s="636">
        <f t="shared" si="4"/>
        <v>3528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623" t="s">
        <v>652</v>
      </c>
      <c r="B26" s="335"/>
      <c r="C26" s="335"/>
      <c r="D26" s="335"/>
      <c r="E26" s="335"/>
      <c r="F26" s="335"/>
      <c r="G26" s="335"/>
      <c r="H26" s="335">
        <f t="shared" si="3"/>
        <v>0</v>
      </c>
      <c r="I26" s="623" t="s">
        <v>653</v>
      </c>
      <c r="J26" s="335">
        <v>80000</v>
      </c>
      <c r="K26" s="336"/>
      <c r="L26" s="336"/>
      <c r="M26" s="336"/>
      <c r="N26" s="336"/>
      <c r="O26" s="336"/>
      <c r="P26" s="636">
        <f t="shared" si="4"/>
        <v>80000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623" t="s">
        <v>654</v>
      </c>
      <c r="B27" s="335"/>
      <c r="C27" s="335"/>
      <c r="D27" s="335"/>
      <c r="E27" s="335"/>
      <c r="F27" s="335"/>
      <c r="G27" s="335"/>
      <c r="H27" s="335">
        <f t="shared" si="3"/>
        <v>0</v>
      </c>
      <c r="I27" s="623" t="s">
        <v>655</v>
      </c>
      <c r="J27" s="335">
        <v>468</v>
      </c>
      <c r="K27" s="335"/>
      <c r="L27" s="335"/>
      <c r="M27" s="335"/>
      <c r="N27" s="335"/>
      <c r="O27" s="335"/>
      <c r="P27" s="636">
        <f t="shared" si="4"/>
        <v>468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623" t="s">
        <v>245</v>
      </c>
      <c r="B28" s="335">
        <v>80000</v>
      </c>
      <c r="C28" s="335"/>
      <c r="D28" s="335"/>
      <c r="E28" s="335"/>
      <c r="F28" s="335"/>
      <c r="G28" s="335"/>
      <c r="H28" s="335">
        <f t="shared" si="3"/>
        <v>80000</v>
      </c>
      <c r="I28" s="623" t="s">
        <v>631</v>
      </c>
      <c r="J28" s="335">
        <v>10217</v>
      </c>
      <c r="K28" s="335"/>
      <c r="L28" s="335"/>
      <c r="M28" s="335"/>
      <c r="N28" s="335"/>
      <c r="O28" s="335"/>
      <c r="P28" s="636">
        <f t="shared" si="4"/>
        <v>10217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623" t="s">
        <v>656</v>
      </c>
      <c r="B29" s="335"/>
      <c r="C29" s="335"/>
      <c r="D29" s="335"/>
      <c r="E29" s="335"/>
      <c r="F29" s="335"/>
      <c r="G29" s="335"/>
      <c r="H29" s="335">
        <f t="shared" si="3"/>
        <v>0</v>
      </c>
      <c r="I29" s="623" t="s">
        <v>657</v>
      </c>
      <c r="J29" s="335">
        <v>80000</v>
      </c>
      <c r="K29" s="335"/>
      <c r="L29" s="335"/>
      <c r="M29" s="335"/>
      <c r="N29" s="335">
        <v>0</v>
      </c>
      <c r="O29" s="335"/>
      <c r="P29" s="636">
        <f t="shared" si="4"/>
        <v>80000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 s="623" t="s">
        <v>16</v>
      </c>
      <c r="B30" s="335">
        <f>SUM('19 önkormányzat'!I141)</f>
        <v>33438</v>
      </c>
      <c r="C30" s="335"/>
      <c r="D30" s="335"/>
      <c r="E30" s="335"/>
      <c r="F30" s="335"/>
      <c r="G30" s="335"/>
      <c r="H30" s="335">
        <f t="shared" si="3"/>
        <v>33438</v>
      </c>
      <c r="I30" s="623" t="s">
        <v>932</v>
      </c>
      <c r="J30" s="335">
        <v>805</v>
      </c>
      <c r="K30" s="335"/>
      <c r="L30" s="335"/>
      <c r="M30" s="335"/>
      <c r="N30" s="335"/>
      <c r="O30" s="335"/>
      <c r="P30" s="335">
        <f t="shared" si="4"/>
        <v>805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 s="631" t="s">
        <v>629</v>
      </c>
      <c r="B31" s="632">
        <f aca="true" t="shared" si="5" ref="B31:H31">SUM(B22:B30)</f>
        <v>209430</v>
      </c>
      <c r="C31" s="632">
        <f t="shared" si="5"/>
        <v>0</v>
      </c>
      <c r="D31" s="632">
        <f t="shared" si="5"/>
        <v>0</v>
      </c>
      <c r="E31" s="632">
        <f t="shared" si="5"/>
        <v>680</v>
      </c>
      <c r="F31" s="632">
        <f t="shared" si="5"/>
        <v>398</v>
      </c>
      <c r="G31" s="632">
        <f t="shared" si="5"/>
        <v>2450</v>
      </c>
      <c r="H31" s="632">
        <f t="shared" si="5"/>
        <v>212958</v>
      </c>
      <c r="I31" s="631" t="s">
        <v>629</v>
      </c>
      <c r="J31" s="632">
        <f aca="true" t="shared" si="6" ref="J31:O31">SUM(J22:J30)</f>
        <v>212958</v>
      </c>
      <c r="K31" s="632">
        <f t="shared" si="6"/>
        <v>0</v>
      </c>
      <c r="L31" s="632">
        <f t="shared" si="6"/>
        <v>0</v>
      </c>
      <c r="M31" s="632">
        <f t="shared" si="6"/>
        <v>680</v>
      </c>
      <c r="N31" s="632">
        <f t="shared" si="6"/>
        <v>398</v>
      </c>
      <c r="O31" s="632">
        <f t="shared" si="6"/>
        <v>2450</v>
      </c>
      <c r="P31" s="632">
        <f>SUM(P22+P26+P27+P28+P29)+P30</f>
        <v>212958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619" t="s">
        <v>658</v>
      </c>
      <c r="B32" s="637">
        <f aca="true" t="shared" si="7" ref="B32:H32">SUM(B19+B31)</f>
        <v>345951</v>
      </c>
      <c r="C32" s="637">
        <f t="shared" si="7"/>
        <v>35014</v>
      </c>
      <c r="D32" s="637">
        <f t="shared" si="7"/>
        <v>76902</v>
      </c>
      <c r="E32" s="637">
        <f t="shared" si="7"/>
        <v>108818</v>
      </c>
      <c r="F32" s="637">
        <f t="shared" si="7"/>
        <v>15449</v>
      </c>
      <c r="G32" s="637">
        <f t="shared" si="7"/>
        <v>108076</v>
      </c>
      <c r="H32" s="637">
        <f t="shared" si="7"/>
        <v>690210</v>
      </c>
      <c r="I32" s="619" t="s">
        <v>659</v>
      </c>
      <c r="J32" s="637">
        <f aca="true" t="shared" si="8" ref="J32:O32">SUM(J19+J31)</f>
        <v>626511</v>
      </c>
      <c r="K32" s="637">
        <f t="shared" si="8"/>
        <v>31199</v>
      </c>
      <c r="L32" s="637">
        <f t="shared" si="8"/>
        <v>76902</v>
      </c>
      <c r="M32" s="637">
        <f t="shared" si="8"/>
        <v>108818</v>
      </c>
      <c r="N32" s="637">
        <f t="shared" si="8"/>
        <v>15449</v>
      </c>
      <c r="O32" s="637">
        <f t="shared" si="8"/>
        <v>110526</v>
      </c>
      <c r="P32" s="637">
        <f>SUM(P19+P31)</f>
        <v>690210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ht="18" customHeight="1"/>
    <row r="34" ht="20.25" customHeight="1"/>
    <row r="35" ht="20.25" customHeight="1"/>
    <row r="36" ht="20.25" customHeight="1"/>
    <row r="37" ht="20.25" customHeight="1"/>
  </sheetData>
  <sheetProtection selectLockedCells="1" selectUnlockedCells="1"/>
  <mergeCells count="9">
    <mergeCell ref="A20:H20"/>
    <mergeCell ref="I20:P20"/>
    <mergeCell ref="A1:D1"/>
    <mergeCell ref="I1:P1"/>
    <mergeCell ref="A2:P2"/>
    <mergeCell ref="A3:P3"/>
    <mergeCell ref="G5:H5"/>
    <mergeCell ref="N5:P5"/>
    <mergeCell ref="A4:P4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scale="53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V22"/>
  <sheetViews>
    <sheetView showGridLines="0" zoomScalePageLayoutView="0" workbookViewId="0" topLeftCell="A1">
      <selection activeCell="A2" sqref="A2:D2"/>
    </sheetView>
  </sheetViews>
  <sheetFormatPr defaultColWidth="11.7109375" defaultRowHeight="12.75" customHeight="1"/>
  <cols>
    <col min="1" max="1" width="6.421875" style="56" customWidth="1"/>
    <col min="2" max="2" width="23.7109375" style="56" customWidth="1"/>
    <col min="3" max="3" width="22.00390625" style="56" customWidth="1"/>
    <col min="4" max="5" width="10.7109375" style="56" customWidth="1"/>
    <col min="6" max="6" width="7.421875" style="216" customWidth="1"/>
    <col min="7" max="16384" width="11.7109375" style="56" customWidth="1"/>
  </cols>
  <sheetData>
    <row r="1" spans="1:6" s="217" customFormat="1" ht="18" customHeight="1">
      <c r="A1" s="1382" t="s">
        <v>950</v>
      </c>
      <c r="B1" s="1382"/>
      <c r="C1" s="1382"/>
      <c r="D1" s="1382"/>
      <c r="E1" s="1382"/>
      <c r="F1" s="1382"/>
    </row>
    <row r="2" spans="1:4" ht="12.75" customHeight="1">
      <c r="A2" s="1500" t="s">
        <v>938</v>
      </c>
      <c r="B2" s="1500"/>
      <c r="C2" s="1500"/>
      <c r="D2" s="1500"/>
    </row>
    <row r="3" spans="1:6" ht="12.75">
      <c r="A3" s="1499" t="s">
        <v>947</v>
      </c>
      <c r="B3" s="1499"/>
      <c r="C3" s="1499"/>
      <c r="D3" s="1499"/>
      <c r="E3" s="1499"/>
      <c r="F3" s="1499"/>
    </row>
    <row r="4" spans="1:256" ht="29.25" customHeight="1">
      <c r="A4"/>
      <c r="B4" s="1376" t="s">
        <v>913</v>
      </c>
      <c r="C4" s="1376"/>
      <c r="D4" s="1376"/>
      <c r="E4" s="1376"/>
      <c r="F4" s="13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1129"/>
      <c r="C5" s="1129"/>
      <c r="D5" s="1129"/>
      <c r="E5" s="1129"/>
      <c r="F5" s="112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1129"/>
      <c r="C6" s="1129"/>
      <c r="D6" s="1129"/>
      <c r="E6" s="1129"/>
      <c r="F6" s="112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113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5" customHeight="1">
      <c r="A8" s="1383" t="s">
        <v>33</v>
      </c>
      <c r="B8" s="656" t="s">
        <v>24</v>
      </c>
      <c r="C8" s="1131" t="s">
        <v>914</v>
      </c>
      <c r="D8" s="1132" t="s">
        <v>915</v>
      </c>
      <c r="E8" s="1132" t="s">
        <v>916</v>
      </c>
      <c r="F8" s="1132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383"/>
      <c r="B9" s="656" t="s">
        <v>163</v>
      </c>
      <c r="C9" s="1131" t="s">
        <v>164</v>
      </c>
      <c r="D9" s="1132" t="s">
        <v>165</v>
      </c>
      <c r="E9" s="1132" t="s">
        <v>166</v>
      </c>
      <c r="F9" s="1132" t="s">
        <v>167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133" t="s">
        <v>38</v>
      </c>
      <c r="B10" s="1134" t="s">
        <v>917</v>
      </c>
      <c r="C10" s="1135">
        <v>3</v>
      </c>
      <c r="D10" s="1135">
        <v>1</v>
      </c>
      <c r="E10" s="1135"/>
      <c r="F10" s="1135">
        <f>SUM(C10:E10)</f>
        <v>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133" t="s">
        <v>40</v>
      </c>
      <c r="B11" s="1136" t="s">
        <v>918</v>
      </c>
      <c r="C11" s="1135"/>
      <c r="D11" s="1135"/>
      <c r="E11" s="1135"/>
      <c r="F11" s="1135">
        <f>SUM(C11:E11)</f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1133" t="s">
        <v>47</v>
      </c>
      <c r="B12" s="1136" t="s">
        <v>919</v>
      </c>
      <c r="C12" s="1135"/>
      <c r="D12" s="1135"/>
      <c r="E12" s="1135"/>
      <c r="F12" s="1135">
        <f>SUM(C12:E12)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133" t="s">
        <v>49</v>
      </c>
      <c r="B13" s="1136" t="s">
        <v>920</v>
      </c>
      <c r="C13" s="1135"/>
      <c r="D13" s="1135"/>
      <c r="E13" s="1135"/>
      <c r="F13" s="1135">
        <f>SUM(C13:E13)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133" t="s">
        <v>51</v>
      </c>
      <c r="B14" s="1136" t="s">
        <v>921</v>
      </c>
      <c r="C14" s="1135"/>
      <c r="D14" s="1135"/>
      <c r="E14" s="1135"/>
      <c r="F14" s="1135">
        <f>SUM(C14:E14)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1133" t="s">
        <v>53</v>
      </c>
      <c r="B15" s="1137" t="s">
        <v>306</v>
      </c>
      <c r="C15" s="1138">
        <f>SUM(C10:C14)</f>
        <v>3</v>
      </c>
      <c r="D15" s="1138">
        <f>SUM(D10:D14)</f>
        <v>1</v>
      </c>
      <c r="E15" s="1138">
        <f>SUM(E10:E14)</f>
        <v>0</v>
      </c>
      <c r="F15" s="1138">
        <f>SUM(F10:F14)</f>
        <v>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1133" t="s">
        <v>55</v>
      </c>
      <c r="B16" s="1136" t="s">
        <v>307</v>
      </c>
      <c r="C16" s="1135">
        <v>13</v>
      </c>
      <c r="D16" s="1135">
        <v>2</v>
      </c>
      <c r="E16" s="1135"/>
      <c r="F16" s="1135">
        <f>SUM(C16:E16)</f>
        <v>15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133" t="s">
        <v>57</v>
      </c>
      <c r="B17" s="1136" t="s">
        <v>922</v>
      </c>
      <c r="C17" s="1135">
        <v>21.5</v>
      </c>
      <c r="D17" s="1135">
        <v>1</v>
      </c>
      <c r="E17" s="1135"/>
      <c r="F17" s="1135">
        <f>SUM(C17:E17)</f>
        <v>22.5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1133" t="s">
        <v>86</v>
      </c>
      <c r="B18" s="1136" t="s">
        <v>626</v>
      </c>
      <c r="C18" s="1135">
        <v>23</v>
      </c>
      <c r="D18" s="1135"/>
      <c r="E18" s="1135"/>
      <c r="F18" s="1135">
        <v>23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1133" t="s">
        <v>59</v>
      </c>
      <c r="B19" s="1136" t="s">
        <v>923</v>
      </c>
      <c r="C19" s="1135">
        <v>1</v>
      </c>
      <c r="D19" s="1135">
        <v>2</v>
      </c>
      <c r="E19" s="1135"/>
      <c r="F19" s="1135">
        <f>SUM(C19:E19)</f>
        <v>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1133" t="s">
        <v>61</v>
      </c>
      <c r="B20" s="1137" t="s">
        <v>629</v>
      </c>
      <c r="C20" s="1138">
        <f>SUM(C15:C19)</f>
        <v>61.5</v>
      </c>
      <c r="D20" s="1138">
        <f>SUM(D15:D19)</f>
        <v>6</v>
      </c>
      <c r="E20" s="1138">
        <f>SUM(E15:E19)</f>
        <v>0</v>
      </c>
      <c r="F20" s="1138">
        <f>SUM(F15:F19)</f>
        <v>67.5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 s="1133" t="s">
        <v>63</v>
      </c>
      <c r="B21" s="1136" t="s">
        <v>924</v>
      </c>
      <c r="C21" s="1138">
        <v>12</v>
      </c>
      <c r="D21" s="1138"/>
      <c r="E21" s="1138"/>
      <c r="F21" s="1138">
        <f>SUM(C21:E21)</f>
        <v>12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 s="1133" t="s">
        <v>65</v>
      </c>
      <c r="B22" s="1139" t="s">
        <v>925</v>
      </c>
      <c r="C22" s="664">
        <f>SUM(C20:C21)</f>
        <v>73.5</v>
      </c>
      <c r="D22" s="664">
        <f>SUM(D20:D21)</f>
        <v>6</v>
      </c>
      <c r="E22" s="664">
        <f>SUM(E20:E21)</f>
        <v>0</v>
      </c>
      <c r="F22" s="664">
        <f>SUM(F20:F21)</f>
        <v>79.5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5">
    <mergeCell ref="A1:F1"/>
    <mergeCell ref="A2:D2"/>
    <mergeCell ref="B4:F4"/>
    <mergeCell ref="A8:A9"/>
    <mergeCell ref="A3:F3"/>
  </mergeCells>
  <printOptions/>
  <pageMargins left="1.2902777777777779" right="0.2298611111111111" top="0.3902777777777778" bottom="0.15" header="0.5118055555555555" footer="0.5118055555555555"/>
  <pageSetup firstPageNumber="1" useFirstPageNumber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V38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3" sqref="A3:N3"/>
    </sheetView>
  </sheetViews>
  <sheetFormatPr defaultColWidth="11.7109375" defaultRowHeight="12.75" customHeight="1"/>
  <cols>
    <col min="1" max="1" width="21.7109375" style="56" customWidth="1"/>
    <col min="2" max="2" width="13.57421875" style="56" customWidth="1"/>
    <col min="3" max="5" width="11.28125" style="56" customWidth="1"/>
    <col min="6" max="6" width="11.28125" style="216" customWidth="1"/>
    <col min="7" max="7" width="11.00390625" style="56" customWidth="1"/>
    <col min="8" max="13" width="11.28125" style="56" customWidth="1"/>
    <col min="14" max="14" width="15.57421875" style="56" customWidth="1"/>
    <col min="15" max="25" width="10.7109375" style="56" customWidth="1"/>
    <col min="26" max="16384" width="11.7109375" style="56" customWidth="1"/>
  </cols>
  <sheetData>
    <row r="1" spans="9:14" s="217" customFormat="1" ht="18" customHeight="1">
      <c r="I1" s="1384" t="s">
        <v>951</v>
      </c>
      <c r="J1" s="1384"/>
      <c r="K1" s="1384"/>
      <c r="L1" s="1384"/>
      <c r="M1" s="1384"/>
      <c r="N1" s="1384"/>
    </row>
    <row r="2" spans="1:14" ht="12.75" customHeight="1">
      <c r="A2" s="1377" t="s">
        <v>938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</row>
    <row r="3" spans="1:14" ht="12.75">
      <c r="A3" s="1499" t="s">
        <v>948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499"/>
      <c r="N3" s="1499"/>
    </row>
    <row r="4" spans="1:256" ht="12.75" customHeight="1">
      <c r="A4" s="1385" t="s">
        <v>660</v>
      </c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385"/>
      <c r="B5" s="1385"/>
      <c r="C5" s="1385"/>
      <c r="D5" s="1385"/>
      <c r="E5" s="1385"/>
      <c r="F5" s="1385"/>
      <c r="G5" s="1385"/>
      <c r="H5" s="1385"/>
      <c r="I5" s="1385"/>
      <c r="J5" s="1385"/>
      <c r="K5" s="1385"/>
      <c r="L5" s="1385"/>
      <c r="M5" s="1385"/>
      <c r="N5" s="138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638"/>
      <c r="B6" s="638"/>
      <c r="C6" s="638"/>
      <c r="D6" s="638"/>
      <c r="E6" s="638"/>
      <c r="F6" s="638"/>
      <c r="G6" s="638"/>
      <c r="H6" s="638"/>
      <c r="I6" s="638"/>
      <c r="J6" s="638"/>
      <c r="K6" s="638"/>
      <c r="L6"/>
      <c r="M6" s="1386" t="s">
        <v>661</v>
      </c>
      <c r="N6" s="138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639" t="s">
        <v>24</v>
      </c>
      <c r="B7" s="640" t="s">
        <v>662</v>
      </c>
      <c r="C7" s="640" t="s">
        <v>663</v>
      </c>
      <c r="D7" s="640" t="s">
        <v>664</v>
      </c>
      <c r="E7" s="640" t="s">
        <v>665</v>
      </c>
      <c r="F7" s="640" t="s">
        <v>666</v>
      </c>
      <c r="G7" s="640" t="s">
        <v>667</v>
      </c>
      <c r="H7" s="640" t="s">
        <v>668</v>
      </c>
      <c r="I7" s="640" t="s">
        <v>669</v>
      </c>
      <c r="J7" s="640" t="s">
        <v>670</v>
      </c>
      <c r="K7" s="640" t="s">
        <v>671</v>
      </c>
      <c r="L7" s="640" t="s">
        <v>672</v>
      </c>
      <c r="M7" s="640" t="s">
        <v>673</v>
      </c>
      <c r="N7" s="641" t="s">
        <v>674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642" t="s">
        <v>157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4">
        <f aca="true" t="shared" si="0" ref="N8:N19"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645" t="s">
        <v>283</v>
      </c>
      <c r="B9" s="643">
        <v>4109</v>
      </c>
      <c r="C9" s="643">
        <v>4109</v>
      </c>
      <c r="D9" s="643">
        <v>4109</v>
      </c>
      <c r="E9" s="643">
        <v>4109</v>
      </c>
      <c r="F9" s="643">
        <v>4109</v>
      </c>
      <c r="G9" s="643">
        <v>4109</v>
      </c>
      <c r="H9" s="643">
        <v>4109</v>
      </c>
      <c r="I9" s="643">
        <v>4109</v>
      </c>
      <c r="J9" s="643">
        <v>4110</v>
      </c>
      <c r="K9" s="643">
        <v>1591</v>
      </c>
      <c r="L9" s="643">
        <v>1591</v>
      </c>
      <c r="M9" s="643">
        <v>1590</v>
      </c>
      <c r="N9" s="644">
        <f t="shared" si="0"/>
        <v>41754</v>
      </c>
      <c r="O9"/>
      <c r="P9" s="28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645" t="s">
        <v>675</v>
      </c>
      <c r="B10" s="643">
        <v>11873</v>
      </c>
      <c r="C10" s="643">
        <v>11873</v>
      </c>
      <c r="D10" s="643">
        <v>11873</v>
      </c>
      <c r="E10" s="643">
        <v>11873</v>
      </c>
      <c r="F10" s="643">
        <v>11873</v>
      </c>
      <c r="G10" s="643">
        <v>11873</v>
      </c>
      <c r="H10" s="643">
        <v>11873</v>
      </c>
      <c r="I10" s="643">
        <v>11873</v>
      </c>
      <c r="J10" s="643">
        <v>11873</v>
      </c>
      <c r="K10" s="643">
        <v>19276</v>
      </c>
      <c r="L10" s="643">
        <v>11873</v>
      </c>
      <c r="M10" s="643">
        <v>11874</v>
      </c>
      <c r="N10" s="644">
        <f t="shared" si="0"/>
        <v>149880</v>
      </c>
      <c r="O10"/>
      <c r="P10" s="28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645" t="s">
        <v>676</v>
      </c>
      <c r="B11" s="643">
        <v>4003</v>
      </c>
      <c r="C11" s="643">
        <v>4003</v>
      </c>
      <c r="D11" s="643">
        <v>4003</v>
      </c>
      <c r="E11" s="643">
        <v>4003</v>
      </c>
      <c r="F11" s="643">
        <v>4003</v>
      </c>
      <c r="G11" s="643">
        <v>4003</v>
      </c>
      <c r="H11" s="643">
        <v>4003</v>
      </c>
      <c r="I11" s="643">
        <v>4003</v>
      </c>
      <c r="J11" s="643">
        <v>4003</v>
      </c>
      <c r="K11" s="643">
        <v>3148</v>
      </c>
      <c r="L11" s="643">
        <v>4004</v>
      </c>
      <c r="M11" s="643">
        <v>4004</v>
      </c>
      <c r="N11" s="644">
        <f t="shared" si="0"/>
        <v>47183</v>
      </c>
      <c r="O11" s="646"/>
      <c r="P11" s="283"/>
      <c r="Q11" s="64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645" t="s">
        <v>231</v>
      </c>
      <c r="B12" s="643">
        <v>15429</v>
      </c>
      <c r="C12" s="643">
        <v>15429</v>
      </c>
      <c r="D12" s="643">
        <v>15429</v>
      </c>
      <c r="E12" s="643">
        <v>15429</v>
      </c>
      <c r="F12" s="643">
        <v>15429</v>
      </c>
      <c r="G12" s="643">
        <v>15429</v>
      </c>
      <c r="H12" s="643">
        <v>15429</v>
      </c>
      <c r="I12" s="643">
        <v>15429</v>
      </c>
      <c r="J12" s="643">
        <v>15429</v>
      </c>
      <c r="K12" s="643">
        <v>15428</v>
      </c>
      <c r="L12" s="643">
        <v>15428</v>
      </c>
      <c r="M12" s="643">
        <v>15428</v>
      </c>
      <c r="N12" s="644">
        <f t="shared" si="0"/>
        <v>185145</v>
      </c>
      <c r="O12" s="648"/>
      <c r="P12" s="28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645" t="s">
        <v>183</v>
      </c>
      <c r="B13" s="643">
        <v>39</v>
      </c>
      <c r="C13" s="643">
        <v>39</v>
      </c>
      <c r="D13" s="643">
        <v>39</v>
      </c>
      <c r="E13" s="643">
        <v>39</v>
      </c>
      <c r="F13" s="643">
        <v>39</v>
      </c>
      <c r="G13" s="643">
        <v>39</v>
      </c>
      <c r="H13" s="643">
        <v>39</v>
      </c>
      <c r="I13" s="643">
        <v>39</v>
      </c>
      <c r="J13" s="643">
        <v>39</v>
      </c>
      <c r="K13" s="643">
        <v>39</v>
      </c>
      <c r="L13" s="643">
        <v>39</v>
      </c>
      <c r="M13" s="643">
        <v>39</v>
      </c>
      <c r="N13" s="644">
        <f t="shared" si="0"/>
        <v>468</v>
      </c>
      <c r="O13" s="648"/>
      <c r="P13" s="28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645" t="s">
        <v>13</v>
      </c>
      <c r="B14" s="643">
        <v>3456</v>
      </c>
      <c r="C14" s="643">
        <v>3456</v>
      </c>
      <c r="D14" s="643">
        <v>3456</v>
      </c>
      <c r="E14" s="643">
        <v>3456</v>
      </c>
      <c r="F14" s="643">
        <v>3456</v>
      </c>
      <c r="G14" s="643">
        <v>3456</v>
      </c>
      <c r="H14" s="643">
        <v>3456</v>
      </c>
      <c r="I14" s="643">
        <v>3456</v>
      </c>
      <c r="J14" s="643">
        <v>3455</v>
      </c>
      <c r="K14" s="643">
        <v>3455</v>
      </c>
      <c r="L14" s="643">
        <v>3455</v>
      </c>
      <c r="M14" s="643">
        <v>3455</v>
      </c>
      <c r="N14" s="644">
        <f t="shared" si="0"/>
        <v>41468</v>
      </c>
      <c r="O14" s="550"/>
      <c r="P14" s="28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645" t="s">
        <v>677</v>
      </c>
      <c r="B15" s="56">
        <v>6667</v>
      </c>
      <c r="C15" s="643">
        <v>6667</v>
      </c>
      <c r="D15" s="643">
        <v>6667</v>
      </c>
      <c r="E15" s="643">
        <v>6667</v>
      </c>
      <c r="F15" s="643">
        <v>6667</v>
      </c>
      <c r="G15" s="643">
        <v>6667</v>
      </c>
      <c r="H15" s="643">
        <v>6667</v>
      </c>
      <c r="I15" s="643">
        <v>6667</v>
      </c>
      <c r="J15" s="643">
        <v>6666</v>
      </c>
      <c r="K15" s="643">
        <v>6666</v>
      </c>
      <c r="L15" s="643">
        <v>6666</v>
      </c>
      <c r="M15" s="643">
        <v>6666</v>
      </c>
      <c r="N15" s="644">
        <f t="shared" si="0"/>
        <v>80000</v>
      </c>
      <c r="O15" s="550"/>
      <c r="P15" s="28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1.5" customHeight="1">
      <c r="A16" s="645" t="s">
        <v>678</v>
      </c>
      <c r="B16" s="643"/>
      <c r="C16" s="643"/>
      <c r="D16" s="643"/>
      <c r="E16" s="643"/>
      <c r="F16" s="643"/>
      <c r="G16" s="643">
        <v>80000</v>
      </c>
      <c r="H16" s="643"/>
      <c r="I16" s="643"/>
      <c r="J16" s="643"/>
      <c r="K16" s="643"/>
      <c r="L16" s="643"/>
      <c r="M16" s="643"/>
      <c r="N16" s="644">
        <f t="shared" si="0"/>
        <v>80000</v>
      </c>
      <c r="O16" s="550"/>
      <c r="P16" s="28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645" t="s">
        <v>194</v>
      </c>
      <c r="B17" s="643">
        <v>346</v>
      </c>
      <c r="C17" s="643">
        <v>346</v>
      </c>
      <c r="D17" s="643">
        <v>346</v>
      </c>
      <c r="E17" s="643">
        <v>346</v>
      </c>
      <c r="F17" s="643">
        <v>346</v>
      </c>
      <c r="G17" s="643">
        <v>346</v>
      </c>
      <c r="H17" s="643">
        <v>346</v>
      </c>
      <c r="I17" s="643">
        <v>346</v>
      </c>
      <c r="J17" s="643">
        <v>346</v>
      </c>
      <c r="K17" s="643">
        <v>346</v>
      </c>
      <c r="L17" s="643">
        <v>346</v>
      </c>
      <c r="M17" s="643">
        <v>347</v>
      </c>
      <c r="N17" s="644">
        <f t="shared" si="0"/>
        <v>4153</v>
      </c>
      <c r="O17" s="550"/>
      <c r="P17" s="28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645" t="s">
        <v>232</v>
      </c>
      <c r="B18" s="643">
        <v>2792</v>
      </c>
      <c r="C18" s="643">
        <v>5014</v>
      </c>
      <c r="D18" s="643">
        <v>3683</v>
      </c>
      <c r="E18" s="643">
        <v>5259</v>
      </c>
      <c r="F18" s="643">
        <v>5456</v>
      </c>
      <c r="G18" s="643">
        <v>5259</v>
      </c>
      <c r="H18" s="643">
        <v>5259</v>
      </c>
      <c r="I18" s="643">
        <v>5259</v>
      </c>
      <c r="J18" s="643">
        <v>5259</v>
      </c>
      <c r="K18" s="643">
        <v>6392</v>
      </c>
      <c r="L18" s="643">
        <v>5261</v>
      </c>
      <c r="M18" s="643">
        <v>5266</v>
      </c>
      <c r="N18" s="644">
        <f t="shared" si="0"/>
        <v>60159</v>
      </c>
      <c r="O18" s="646"/>
      <c r="P18" s="28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645" t="s">
        <v>679</v>
      </c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4">
        <f t="shared" si="0"/>
        <v>0</v>
      </c>
      <c r="O19" s="646"/>
      <c r="P19" s="28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649" t="s">
        <v>680</v>
      </c>
      <c r="B20" s="15">
        <f aca="true" t="shared" si="1" ref="B20:M20">SUM(B8:B18)</f>
        <v>48714</v>
      </c>
      <c r="C20" s="15">
        <f t="shared" si="1"/>
        <v>50936</v>
      </c>
      <c r="D20" s="15">
        <f t="shared" si="1"/>
        <v>49605</v>
      </c>
      <c r="E20" s="15">
        <f t="shared" si="1"/>
        <v>51181</v>
      </c>
      <c r="F20" s="15">
        <f t="shared" si="1"/>
        <v>51378</v>
      </c>
      <c r="G20" s="15">
        <f t="shared" si="1"/>
        <v>131181</v>
      </c>
      <c r="H20" s="15">
        <f t="shared" si="1"/>
        <v>51181</v>
      </c>
      <c r="I20" s="15">
        <f t="shared" si="1"/>
        <v>51181</v>
      </c>
      <c r="J20" s="15">
        <f t="shared" si="1"/>
        <v>51180</v>
      </c>
      <c r="K20" s="15">
        <f t="shared" si="1"/>
        <v>56341</v>
      </c>
      <c r="L20" s="15">
        <f t="shared" si="1"/>
        <v>48663</v>
      </c>
      <c r="M20" s="15">
        <f t="shared" si="1"/>
        <v>48669</v>
      </c>
      <c r="N20" s="650">
        <f>SUM(N8:N19)</f>
        <v>690210</v>
      </c>
      <c r="O20" s="651"/>
      <c r="P20" s="28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>
      <c r="A21" s="642" t="s">
        <v>119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587"/>
      <c r="O21" s="550"/>
      <c r="P21" s="28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645" t="s">
        <v>681</v>
      </c>
      <c r="B22" s="643">
        <v>35621</v>
      </c>
      <c r="C22" s="643">
        <v>35621</v>
      </c>
      <c r="D22" s="643">
        <v>35621</v>
      </c>
      <c r="E22" s="643">
        <v>35621</v>
      </c>
      <c r="F22" s="643">
        <v>35621</v>
      </c>
      <c r="G22" s="643">
        <v>35621</v>
      </c>
      <c r="H22" s="643">
        <v>35620</v>
      </c>
      <c r="I22" s="643">
        <v>35620</v>
      </c>
      <c r="J22" s="643">
        <v>35620</v>
      </c>
      <c r="K22" s="643">
        <v>35620</v>
      </c>
      <c r="L22" s="643">
        <v>35620</v>
      </c>
      <c r="M22" s="643">
        <v>35620</v>
      </c>
      <c r="N22" s="1308">
        <f aca="true" t="shared" si="2" ref="N22:N31">SUM(B22:M22)</f>
        <v>427446</v>
      </c>
      <c r="O22" s="648"/>
      <c r="P22" s="28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645" t="s">
        <v>682</v>
      </c>
      <c r="B23" s="643">
        <v>2756</v>
      </c>
      <c r="C23" s="643">
        <v>2756</v>
      </c>
      <c r="D23" s="643">
        <v>2756</v>
      </c>
      <c r="E23" s="643">
        <v>2756</v>
      </c>
      <c r="F23" s="643">
        <v>2756</v>
      </c>
      <c r="G23" s="643">
        <v>2756</v>
      </c>
      <c r="H23" s="643">
        <v>2756</v>
      </c>
      <c r="I23" s="643">
        <v>2756</v>
      </c>
      <c r="J23" s="643">
        <v>2756</v>
      </c>
      <c r="K23" s="643">
        <v>2756</v>
      </c>
      <c r="L23" s="643">
        <v>2756</v>
      </c>
      <c r="M23" s="643">
        <v>2756</v>
      </c>
      <c r="N23" s="1308">
        <f t="shared" si="2"/>
        <v>33072</v>
      </c>
      <c r="O23" s="550"/>
      <c r="P23" s="28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645" t="s">
        <v>683</v>
      </c>
      <c r="B24" s="643">
        <v>250</v>
      </c>
      <c r="C24" s="643">
        <v>250</v>
      </c>
      <c r="D24" s="643">
        <v>250</v>
      </c>
      <c r="E24" s="643">
        <v>250</v>
      </c>
      <c r="F24" s="643">
        <v>250</v>
      </c>
      <c r="G24" s="643">
        <v>250</v>
      </c>
      <c r="H24" s="643">
        <v>250</v>
      </c>
      <c r="I24" s="643">
        <v>250</v>
      </c>
      <c r="J24" s="643">
        <v>250</v>
      </c>
      <c r="K24" s="643">
        <v>250</v>
      </c>
      <c r="L24" s="643">
        <v>250</v>
      </c>
      <c r="M24" s="643">
        <v>250</v>
      </c>
      <c r="N24" s="1308">
        <f t="shared" si="2"/>
        <v>3000</v>
      </c>
      <c r="O24"/>
      <c r="P24" s="28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645" t="s">
        <v>640</v>
      </c>
      <c r="B25" s="643">
        <v>273</v>
      </c>
      <c r="C25" s="643">
        <v>273</v>
      </c>
      <c r="D25" s="643">
        <v>273</v>
      </c>
      <c r="E25" s="643">
        <v>273</v>
      </c>
      <c r="F25" s="643">
        <v>273</v>
      </c>
      <c r="G25" s="643">
        <v>273</v>
      </c>
      <c r="H25" s="643">
        <v>273</v>
      </c>
      <c r="I25" s="643">
        <v>273</v>
      </c>
      <c r="J25" s="643">
        <v>273</v>
      </c>
      <c r="K25" s="643">
        <v>273</v>
      </c>
      <c r="L25" s="643">
        <v>272</v>
      </c>
      <c r="M25" s="643">
        <v>272</v>
      </c>
      <c r="N25" s="1308">
        <f t="shared" si="2"/>
        <v>3274</v>
      </c>
      <c r="O25"/>
      <c r="P25" s="28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645" t="s">
        <v>347</v>
      </c>
      <c r="B26" s="643">
        <v>8293</v>
      </c>
      <c r="C26" s="643">
        <v>8293</v>
      </c>
      <c r="D26" s="643">
        <v>8293</v>
      </c>
      <c r="E26" s="643">
        <v>8293</v>
      </c>
      <c r="F26" s="643">
        <v>8293</v>
      </c>
      <c r="G26" s="643">
        <v>8293</v>
      </c>
      <c r="H26" s="643">
        <v>8293</v>
      </c>
      <c r="I26" s="643">
        <v>8293</v>
      </c>
      <c r="J26" s="643">
        <v>8294</v>
      </c>
      <c r="K26" s="643">
        <v>8294</v>
      </c>
      <c r="L26" s="643">
        <v>8294</v>
      </c>
      <c r="M26" s="643">
        <v>8294</v>
      </c>
      <c r="N26" s="1308">
        <f t="shared" si="2"/>
        <v>99520</v>
      </c>
      <c r="O26"/>
      <c r="P26" s="28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645" t="s">
        <v>214</v>
      </c>
      <c r="B27" s="643">
        <v>850</v>
      </c>
      <c r="C27" s="643">
        <v>850</v>
      </c>
      <c r="D27" s="643">
        <v>850</v>
      </c>
      <c r="E27" s="643">
        <v>850</v>
      </c>
      <c r="F27" s="643">
        <v>850</v>
      </c>
      <c r="G27" s="643">
        <v>850</v>
      </c>
      <c r="H27" s="643">
        <v>850</v>
      </c>
      <c r="I27" s="643">
        <v>850</v>
      </c>
      <c r="J27" s="643">
        <v>851</v>
      </c>
      <c r="K27" s="643">
        <v>851</v>
      </c>
      <c r="L27" s="643">
        <v>851</v>
      </c>
      <c r="M27" s="643">
        <v>851</v>
      </c>
      <c r="N27" s="1308">
        <f t="shared" si="2"/>
        <v>10204</v>
      </c>
      <c r="O27"/>
      <c r="P27" s="28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645" t="s">
        <v>245</v>
      </c>
      <c r="B28" s="643"/>
      <c r="C28" s="643"/>
      <c r="D28" s="643"/>
      <c r="E28" s="643"/>
      <c r="F28" s="643"/>
      <c r="G28" s="643">
        <v>80000</v>
      </c>
      <c r="H28" s="643"/>
      <c r="I28" s="643"/>
      <c r="J28" s="643"/>
      <c r="K28" s="643"/>
      <c r="L28" s="643"/>
      <c r="M28" s="643"/>
      <c r="N28" s="1308">
        <f t="shared" si="2"/>
        <v>80000</v>
      </c>
      <c r="O28"/>
      <c r="P28" s="28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645" t="s">
        <v>150</v>
      </c>
      <c r="B29" s="652">
        <v>612</v>
      </c>
      <c r="C29" s="652">
        <v>2893</v>
      </c>
      <c r="D29" s="652">
        <v>1562</v>
      </c>
      <c r="E29" s="652">
        <v>3138</v>
      </c>
      <c r="F29" s="652">
        <v>3138</v>
      </c>
      <c r="G29" s="652">
        <v>3138</v>
      </c>
      <c r="H29" s="652">
        <v>3139</v>
      </c>
      <c r="I29" s="652">
        <v>3139</v>
      </c>
      <c r="J29" s="652">
        <v>3136</v>
      </c>
      <c r="K29" s="652">
        <v>8297</v>
      </c>
      <c r="L29" s="652">
        <v>620</v>
      </c>
      <c r="M29" s="652">
        <v>626</v>
      </c>
      <c r="N29" s="1310">
        <f t="shared" si="2"/>
        <v>33438</v>
      </c>
      <c r="O29"/>
      <c r="P29" s="28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645" t="s">
        <v>684</v>
      </c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1308">
        <f t="shared" si="2"/>
        <v>0</v>
      </c>
      <c r="O30"/>
      <c r="P30" s="28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645" t="s">
        <v>240</v>
      </c>
      <c r="B31" s="643">
        <v>59</v>
      </c>
      <c r="C31" s="643"/>
      <c r="D31" s="643"/>
      <c r="E31" s="643"/>
      <c r="F31" s="643">
        <v>197</v>
      </c>
      <c r="G31" s="643"/>
      <c r="H31" s="643"/>
      <c r="I31" s="643"/>
      <c r="J31" s="643"/>
      <c r="K31" s="643"/>
      <c r="L31" s="643"/>
      <c r="M31" s="643"/>
      <c r="N31" s="1308">
        <f t="shared" si="2"/>
        <v>256</v>
      </c>
      <c r="O31"/>
      <c r="P31" s="28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649" t="s">
        <v>685</v>
      </c>
      <c r="B32" s="15">
        <f>SUM(B22:B31)</f>
        <v>48714</v>
      </c>
      <c r="C32" s="15">
        <f>SUM(C22:C29)</f>
        <v>50936</v>
      </c>
      <c r="D32" s="15">
        <f>SUM(D22:D29)</f>
        <v>49605</v>
      </c>
      <c r="E32" s="15">
        <f>SUM(E22:E29)</f>
        <v>51181</v>
      </c>
      <c r="F32" s="15">
        <f>SUM(F22:F31)</f>
        <v>51378</v>
      </c>
      <c r="G32" s="15">
        <f aca="true" t="shared" si="3" ref="G32:M32">SUM(G22:G29)</f>
        <v>131181</v>
      </c>
      <c r="H32" s="15">
        <f t="shared" si="3"/>
        <v>51181</v>
      </c>
      <c r="I32" s="15">
        <f t="shared" si="3"/>
        <v>51181</v>
      </c>
      <c r="J32" s="15">
        <f t="shared" si="3"/>
        <v>51180</v>
      </c>
      <c r="K32" s="15">
        <f t="shared" si="3"/>
        <v>56341</v>
      </c>
      <c r="L32" s="15">
        <f t="shared" si="3"/>
        <v>48663</v>
      </c>
      <c r="M32" s="15">
        <f t="shared" si="3"/>
        <v>48669</v>
      </c>
      <c r="N32" s="15">
        <f>SUM(N22:N31)</f>
        <v>690210</v>
      </c>
      <c r="O32" s="12"/>
      <c r="P32" s="28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645" t="s">
        <v>686</v>
      </c>
      <c r="B33" s="92">
        <f aca="true" t="shared" si="4" ref="B33:N33">SUM(B20-B32)</f>
        <v>0</v>
      </c>
      <c r="C33" s="92">
        <f t="shared" si="4"/>
        <v>0</v>
      </c>
      <c r="D33" s="92">
        <f t="shared" si="4"/>
        <v>0</v>
      </c>
      <c r="E33" s="92">
        <f t="shared" si="4"/>
        <v>0</v>
      </c>
      <c r="F33" s="92">
        <f t="shared" si="4"/>
        <v>0</v>
      </c>
      <c r="G33" s="92">
        <f t="shared" si="4"/>
        <v>0</v>
      </c>
      <c r="H33" s="92">
        <f t="shared" si="4"/>
        <v>0</v>
      </c>
      <c r="I33" s="92">
        <f t="shared" si="4"/>
        <v>0</v>
      </c>
      <c r="J33" s="92">
        <f t="shared" si="4"/>
        <v>0</v>
      </c>
      <c r="K33" s="92">
        <f t="shared" si="4"/>
        <v>0</v>
      </c>
      <c r="L33" s="92">
        <f t="shared" si="4"/>
        <v>0</v>
      </c>
      <c r="M33" s="92">
        <f t="shared" si="4"/>
        <v>0</v>
      </c>
      <c r="N33" s="92">
        <f t="shared" si="4"/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653" t="s">
        <v>687</v>
      </c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5">
        <f>SUM(N32:N33)</f>
        <v>690210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/>
      <c r="B35"/>
      <c r="C35"/>
      <c r="D35" s="280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8" ht="12.75" customHeight="1">
      <c r="N38" s="56">
        <f>N20-N34</f>
        <v>0</v>
      </c>
    </row>
  </sheetData>
  <sheetProtection selectLockedCells="1" selectUnlockedCells="1"/>
  <mergeCells count="5">
    <mergeCell ref="I1:N1"/>
    <mergeCell ref="A2:N2"/>
    <mergeCell ref="A4:N5"/>
    <mergeCell ref="M6:N6"/>
    <mergeCell ref="A3:N3"/>
  </mergeCells>
  <printOptions/>
  <pageMargins left="0.5597222222222222" right="0.2298611111111111" top="0.5201388888888889" bottom="0.15" header="0.5118055555555555" footer="0.5118055555555555"/>
  <pageSetup firstPageNumber="1" useFirstPageNumber="1"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SheetLayoutView="100" zoomScalePageLayoutView="0" workbookViewId="0" topLeftCell="A1">
      <selection activeCell="B19" sqref="B19"/>
    </sheetView>
  </sheetViews>
  <sheetFormatPr defaultColWidth="11.7109375" defaultRowHeight="12.75" customHeight="1"/>
  <cols>
    <col min="1" max="1" width="7.57421875" style="215" customWidth="1"/>
    <col min="2" max="2" width="36.8515625" style="56" customWidth="1"/>
    <col min="3" max="3" width="18.7109375" style="56" customWidth="1"/>
    <col min="4" max="6" width="15.7109375" style="56" customWidth="1"/>
    <col min="7" max="16384" width="11.7109375" style="56" customWidth="1"/>
  </cols>
  <sheetData>
    <row r="1" spans="1:6" s="217" customFormat="1" ht="25.5" customHeight="1">
      <c r="A1" s="1382" t="s">
        <v>952</v>
      </c>
      <c r="B1" s="1382"/>
      <c r="C1" s="1382"/>
      <c r="D1" s="1382"/>
      <c r="E1" s="1382"/>
      <c r="F1" s="1382"/>
    </row>
    <row r="2" spans="1:6" ht="12.75" customHeight="1">
      <c r="A2" s="1377" t="s">
        <v>938</v>
      </c>
      <c r="B2" s="1377"/>
      <c r="C2" s="1377"/>
      <c r="D2" s="1377"/>
      <c r="E2" s="1377"/>
      <c r="F2" s="1377"/>
    </row>
    <row r="3" spans="1:6" ht="12.75">
      <c r="A3" s="1495" t="s">
        <v>949</v>
      </c>
      <c r="B3" s="1495"/>
      <c r="C3" s="1495"/>
      <c r="D3" s="1495"/>
      <c r="E3" s="1495"/>
      <c r="F3" s="216"/>
    </row>
    <row r="4" spans="1:256" ht="12.75" customHeight="1">
      <c r="A4" s="1361" t="s">
        <v>73</v>
      </c>
      <c r="B4" s="1361"/>
      <c r="C4" s="1361"/>
      <c r="D4" s="1361"/>
      <c r="E4" s="1361"/>
      <c r="F4" s="136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361" t="s">
        <v>689</v>
      </c>
      <c r="B5" s="1361"/>
      <c r="C5" s="1361"/>
      <c r="D5" s="1361"/>
      <c r="E5" s="1361"/>
      <c r="F5" s="136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661"/>
      <c r="B6" s="661"/>
      <c r="C6" s="662"/>
      <c r="D6" s="662"/>
      <c r="E6" s="662"/>
      <c r="F6" s="66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663"/>
      <c r="B7"/>
      <c r="C7"/>
      <c r="D7" s="1381" t="s">
        <v>690</v>
      </c>
      <c r="E7" s="1381"/>
      <c r="F7" s="138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383" t="s">
        <v>33</v>
      </c>
      <c r="B8" s="657" t="s">
        <v>24</v>
      </c>
      <c r="C8" s="664" t="s">
        <v>691</v>
      </c>
      <c r="D8" s="664" t="s">
        <v>692</v>
      </c>
      <c r="E8" s="664" t="s">
        <v>693</v>
      </c>
      <c r="F8" s="664" t="s">
        <v>694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383"/>
      <c r="B9" s="657" t="s">
        <v>163</v>
      </c>
      <c r="C9" s="664" t="s">
        <v>164</v>
      </c>
      <c r="D9" s="664" t="s">
        <v>165</v>
      </c>
      <c r="E9" s="664" t="s">
        <v>166</v>
      </c>
      <c r="F9" s="664" t="s">
        <v>167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665" t="s">
        <v>38</v>
      </c>
      <c r="B10" s="666" t="s">
        <v>78</v>
      </c>
      <c r="C10" s="660">
        <f>SUM(C11:C13)</f>
        <v>41754</v>
      </c>
      <c r="D10" s="660">
        <f>SUM(D11:D13)</f>
        <v>40700</v>
      </c>
      <c r="E10" s="660">
        <f>SUM(E11:E13)</f>
        <v>40700</v>
      </c>
      <c r="F10" s="660">
        <f>SUM(F11:F13)</f>
        <v>40700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658" t="s">
        <v>40</v>
      </c>
      <c r="B11" s="667" t="s">
        <v>79</v>
      </c>
      <c r="C11" s="624">
        <v>39354</v>
      </c>
      <c r="D11" s="624">
        <v>40000</v>
      </c>
      <c r="E11" s="624">
        <v>40000</v>
      </c>
      <c r="F11" s="624">
        <v>40000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668" t="s">
        <v>47</v>
      </c>
      <c r="B12" s="667" t="s">
        <v>82</v>
      </c>
      <c r="C12" s="624">
        <v>2360</v>
      </c>
      <c r="D12" s="624"/>
      <c r="E12" s="624"/>
      <c r="F12" s="62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658" t="s">
        <v>49</v>
      </c>
      <c r="B13" s="667" t="s">
        <v>83</v>
      </c>
      <c r="C13" s="624">
        <v>40</v>
      </c>
      <c r="D13" s="624">
        <v>700</v>
      </c>
      <c r="E13" s="624">
        <v>700</v>
      </c>
      <c r="F13" s="624">
        <v>700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665" t="s">
        <v>51</v>
      </c>
      <c r="B14" s="669" t="s">
        <v>84</v>
      </c>
      <c r="C14" s="660">
        <f>SUM(C15:C18)</f>
        <v>231523</v>
      </c>
      <c r="D14" s="660">
        <f>SUM(D15:D18)</f>
        <v>219300</v>
      </c>
      <c r="E14" s="660">
        <f>SUM(E15:E18)</f>
        <v>219300</v>
      </c>
      <c r="F14" s="660">
        <f>SUM(F15:F18)</f>
        <v>265600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658" t="s">
        <v>53</v>
      </c>
      <c r="B15" s="667" t="s">
        <v>85</v>
      </c>
      <c r="C15" s="624">
        <v>46378</v>
      </c>
      <c r="D15" s="624">
        <v>46300</v>
      </c>
      <c r="E15" s="624">
        <v>46300</v>
      </c>
      <c r="F15" s="624">
        <v>46300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668" t="s">
        <v>55</v>
      </c>
      <c r="B16" s="667" t="s">
        <v>87</v>
      </c>
      <c r="C16" s="624"/>
      <c r="D16" s="624"/>
      <c r="E16" s="624"/>
      <c r="F16" s="624">
        <v>46300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658" t="s">
        <v>57</v>
      </c>
      <c r="B17" s="667" t="s">
        <v>88</v>
      </c>
      <c r="C17" s="624"/>
      <c r="D17" s="624"/>
      <c r="E17" s="624"/>
      <c r="F17" s="62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668" t="s">
        <v>86</v>
      </c>
      <c r="B18" s="667" t="s">
        <v>89</v>
      </c>
      <c r="C18" s="624">
        <v>185145</v>
      </c>
      <c r="D18" s="624">
        <v>173000</v>
      </c>
      <c r="E18" s="624">
        <v>173000</v>
      </c>
      <c r="F18" s="624">
        <v>173000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670" t="s">
        <v>59</v>
      </c>
      <c r="B19" s="669" t="s">
        <v>90</v>
      </c>
      <c r="C19" s="660">
        <v>149880</v>
      </c>
      <c r="D19" s="660">
        <f>SUM(D20:D25)</f>
        <v>136000</v>
      </c>
      <c r="E19" s="660">
        <f>SUM(E20:E25)</f>
        <v>136000</v>
      </c>
      <c r="F19" s="660">
        <f>SUM(F20:F25)</f>
        <v>136000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668" t="s">
        <v>61</v>
      </c>
      <c r="B20" s="667" t="s">
        <v>91</v>
      </c>
      <c r="C20" s="624"/>
      <c r="D20" s="624"/>
      <c r="E20" s="624"/>
      <c r="F20" s="62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658" t="s">
        <v>63</v>
      </c>
      <c r="B21" s="667" t="s">
        <v>39</v>
      </c>
      <c r="C21" s="624">
        <v>140187</v>
      </c>
      <c r="D21" s="624">
        <v>135000</v>
      </c>
      <c r="E21" s="624">
        <v>135000</v>
      </c>
      <c r="F21" s="624">
        <v>135000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668" t="s">
        <v>65</v>
      </c>
      <c r="B22" s="667" t="s">
        <v>93</v>
      </c>
      <c r="C22" s="624"/>
      <c r="D22" s="624"/>
      <c r="E22" s="624"/>
      <c r="F22" s="624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658" t="s">
        <v>92</v>
      </c>
      <c r="B23" s="667" t="s">
        <v>94</v>
      </c>
      <c r="C23" s="624">
        <v>8378</v>
      </c>
      <c r="D23" s="624"/>
      <c r="E23" s="624"/>
      <c r="F23" s="624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668" t="s">
        <v>66</v>
      </c>
      <c r="B24" s="667" t="s">
        <v>95</v>
      </c>
      <c r="C24" s="624">
        <v>1000</v>
      </c>
      <c r="D24" s="624">
        <v>1000</v>
      </c>
      <c r="E24" s="624">
        <v>1000</v>
      </c>
      <c r="F24" s="624">
        <v>1000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658" t="s">
        <v>67</v>
      </c>
      <c r="B25" s="667" t="s">
        <v>96</v>
      </c>
      <c r="C25" s="624">
        <v>315</v>
      </c>
      <c r="D25" s="624"/>
      <c r="E25" s="624"/>
      <c r="F25" s="624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665" t="s">
        <v>68</v>
      </c>
      <c r="B26" s="669" t="s">
        <v>98</v>
      </c>
      <c r="C26" s="660">
        <f>SUM(C27)</f>
        <v>80000</v>
      </c>
      <c r="D26" s="660">
        <f>SUM(D27)</f>
        <v>0</v>
      </c>
      <c r="E26" s="660">
        <f>SUM(E27)</f>
        <v>0</v>
      </c>
      <c r="F26" s="660">
        <f>SUM(F27)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658" t="s">
        <v>70</v>
      </c>
      <c r="B27" s="667" t="s">
        <v>100</v>
      </c>
      <c r="C27" s="624">
        <v>80000</v>
      </c>
      <c r="D27" s="624">
        <f>SUM(D28:D29)</f>
        <v>0</v>
      </c>
      <c r="E27" s="624">
        <f>SUM(E28:E29)</f>
        <v>0</v>
      </c>
      <c r="F27" s="624">
        <f>SUM(F28:F29)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668" t="s">
        <v>97</v>
      </c>
      <c r="B28" s="667" t="s">
        <v>102</v>
      </c>
      <c r="C28" s="624"/>
      <c r="D28" s="624"/>
      <c r="E28" s="624"/>
      <c r="F28" s="62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658" t="s">
        <v>99</v>
      </c>
      <c r="B29" s="667" t="s">
        <v>104</v>
      </c>
      <c r="C29" s="624">
        <v>80000</v>
      </c>
      <c r="D29" s="624">
        <v>0</v>
      </c>
      <c r="E29" s="624">
        <v>0</v>
      </c>
      <c r="F29" s="624"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665" t="s">
        <v>101</v>
      </c>
      <c r="B30" s="669" t="s">
        <v>303</v>
      </c>
      <c r="C30" s="660">
        <v>80000</v>
      </c>
      <c r="D30" s="660">
        <v>0</v>
      </c>
      <c r="E30" s="660">
        <v>0</v>
      </c>
      <c r="F30" s="660"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665" t="s">
        <v>103</v>
      </c>
      <c r="B31" s="669" t="s">
        <v>106</v>
      </c>
      <c r="C31" s="660">
        <f>SUM(C32:C34)</f>
        <v>42741</v>
      </c>
      <c r="D31" s="660">
        <f>SUM(D32:D34)</f>
        <v>15000</v>
      </c>
      <c r="E31" s="660">
        <f>SUM(E32:E34)</f>
        <v>15000</v>
      </c>
      <c r="F31" s="660">
        <f>SUM(F32:F34)</f>
        <v>15000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658" t="s">
        <v>105</v>
      </c>
      <c r="B32" s="667" t="s">
        <v>108</v>
      </c>
      <c r="C32" s="624">
        <v>41468</v>
      </c>
      <c r="D32" s="624">
        <v>15000</v>
      </c>
      <c r="E32" s="624">
        <v>15000</v>
      </c>
      <c r="F32" s="624">
        <v>15000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668" t="s">
        <v>107</v>
      </c>
      <c r="B33" s="667" t="s">
        <v>695</v>
      </c>
      <c r="C33" s="624">
        <v>805</v>
      </c>
      <c r="D33" s="624"/>
      <c r="E33" s="624"/>
      <c r="F33" s="62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668" t="s">
        <v>109</v>
      </c>
      <c r="B34" s="667" t="s">
        <v>183</v>
      </c>
      <c r="C34" s="624">
        <v>468</v>
      </c>
      <c r="D34" s="624">
        <v>0</v>
      </c>
      <c r="E34" s="624">
        <v>0</v>
      </c>
      <c r="F34" s="624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658" t="s">
        <v>111</v>
      </c>
      <c r="B35" s="667" t="s">
        <v>112</v>
      </c>
      <c r="C35" s="624"/>
      <c r="D35" s="624"/>
      <c r="E35" s="624"/>
      <c r="F35" s="62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6" s="12" customFormat="1" ht="12.75" customHeight="1">
      <c r="A36" s="670" t="s">
        <v>113</v>
      </c>
      <c r="B36" s="669" t="s">
        <v>194</v>
      </c>
      <c r="C36" s="660">
        <v>4153</v>
      </c>
      <c r="D36" s="660">
        <v>0</v>
      </c>
      <c r="E36" s="660">
        <v>0</v>
      </c>
      <c r="F36" s="660">
        <v>0</v>
      </c>
    </row>
    <row r="37" spans="1:6" s="12" customFormat="1" ht="12.75" customHeight="1">
      <c r="A37" s="670" t="s">
        <v>115</v>
      </c>
      <c r="B37" s="669" t="s">
        <v>275</v>
      </c>
      <c r="C37" s="660">
        <v>0</v>
      </c>
      <c r="D37" s="660"/>
      <c r="E37" s="660"/>
      <c r="F37" s="660"/>
    </row>
    <row r="38" spans="1:256" ht="12.75" customHeight="1">
      <c r="A38" s="670" t="s">
        <v>117</v>
      </c>
      <c r="B38" s="669" t="s">
        <v>114</v>
      </c>
      <c r="C38" s="624">
        <v>60159</v>
      </c>
      <c r="D38" s="624"/>
      <c r="E38" s="624"/>
      <c r="F38" s="624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671" t="s">
        <v>118</v>
      </c>
      <c r="B39" s="672" t="s">
        <v>116</v>
      </c>
      <c r="C39" s="673">
        <f>C38+C31+C19+C14+C10+C36+C27+C30</f>
        <v>690210</v>
      </c>
      <c r="D39" s="673">
        <f>D38+D31+D19+D14+D10+D36+D27</f>
        <v>411000</v>
      </c>
      <c r="E39" s="673">
        <f>E38+E31+E19+E14+E10+E36+E27</f>
        <v>411000</v>
      </c>
      <c r="F39" s="673">
        <f>F38+F31+F19+F14+F10+F36+F27</f>
        <v>457300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658" t="s">
        <v>120</v>
      </c>
      <c r="B40" s="669" t="s">
        <v>119</v>
      </c>
      <c r="C40" s="660">
        <f>SUM(C41,C42,C43,C44,C45,)</f>
        <v>466792</v>
      </c>
      <c r="D40" s="660">
        <f>SUM(D41,D42,D43,D44,D45,)</f>
        <v>411000</v>
      </c>
      <c r="E40" s="660">
        <f>SUM(E41,E42,E43,E44,E45,)</f>
        <v>411000</v>
      </c>
      <c r="F40" s="660">
        <f>SUM(F41,F42,F43,F44,F45,)</f>
        <v>411000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658" t="s">
        <v>122</v>
      </c>
      <c r="B41" s="667" t="s">
        <v>121</v>
      </c>
      <c r="C41" s="624">
        <v>215804</v>
      </c>
      <c r="D41" s="624">
        <v>210000</v>
      </c>
      <c r="E41" s="624">
        <v>210000</v>
      </c>
      <c r="F41" s="624">
        <v>210000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658" t="s">
        <v>124</v>
      </c>
      <c r="B42" s="667" t="s">
        <v>123</v>
      </c>
      <c r="C42" s="624">
        <v>55844</v>
      </c>
      <c r="D42" s="624">
        <v>54000</v>
      </c>
      <c r="E42" s="624">
        <v>54000</v>
      </c>
      <c r="F42" s="624">
        <v>54000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658" t="s">
        <v>126</v>
      </c>
      <c r="B43" s="667" t="s">
        <v>125</v>
      </c>
      <c r="C43" s="624">
        <v>155798</v>
      </c>
      <c r="D43" s="624">
        <v>114000</v>
      </c>
      <c r="E43" s="624">
        <v>114000</v>
      </c>
      <c r="F43" s="624">
        <v>114000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658" t="s">
        <v>128</v>
      </c>
      <c r="B44" s="667" t="s">
        <v>127</v>
      </c>
      <c r="C44" s="624">
        <v>36072</v>
      </c>
      <c r="D44" s="624">
        <v>30000</v>
      </c>
      <c r="E44" s="624">
        <v>30000</v>
      </c>
      <c r="F44" s="624">
        <v>30000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658" t="s">
        <v>130</v>
      </c>
      <c r="B45" s="667" t="s">
        <v>129</v>
      </c>
      <c r="C45" s="624">
        <v>3274</v>
      </c>
      <c r="D45" s="624">
        <v>3000</v>
      </c>
      <c r="E45" s="624">
        <v>3000</v>
      </c>
      <c r="F45" s="624">
        <v>3000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6" s="12" customFormat="1" ht="28.5" customHeight="1">
      <c r="A46" s="670" t="s">
        <v>131</v>
      </c>
      <c r="B46" s="674" t="s">
        <v>214</v>
      </c>
      <c r="C46" s="660">
        <v>10204</v>
      </c>
      <c r="D46" s="660">
        <v>0</v>
      </c>
      <c r="E46" s="660">
        <v>0</v>
      </c>
      <c r="F46" s="660">
        <v>0</v>
      </c>
    </row>
    <row r="47" spans="1:6" s="12" customFormat="1" ht="28.5" customHeight="1">
      <c r="A47" s="670" t="s">
        <v>133</v>
      </c>
      <c r="B47" s="674" t="s">
        <v>696</v>
      </c>
      <c r="C47" s="660">
        <v>256</v>
      </c>
      <c r="D47" s="660"/>
      <c r="E47" s="660"/>
      <c r="F47" s="660"/>
    </row>
    <row r="48" spans="1:6" s="12" customFormat="1" ht="28.5" customHeight="1">
      <c r="A48" s="670" t="s">
        <v>135</v>
      </c>
      <c r="B48" s="674" t="s">
        <v>275</v>
      </c>
      <c r="C48" s="660">
        <v>0</v>
      </c>
      <c r="D48" s="660">
        <v>0</v>
      </c>
      <c r="E48" s="660">
        <v>0</v>
      </c>
      <c r="F48" s="660">
        <v>0</v>
      </c>
    </row>
    <row r="49" spans="1:256" ht="12.75" customHeight="1">
      <c r="A49" s="670" t="s">
        <v>137</v>
      </c>
      <c r="B49" s="669" t="s">
        <v>15</v>
      </c>
      <c r="C49" s="660">
        <v>99520</v>
      </c>
      <c r="D49" s="660">
        <v>0</v>
      </c>
      <c r="E49" s="660">
        <v>0</v>
      </c>
      <c r="F49" s="660"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670" t="s">
        <v>139</v>
      </c>
      <c r="B50" s="669" t="s">
        <v>697</v>
      </c>
      <c r="C50" s="660">
        <v>80000</v>
      </c>
      <c r="D50" s="660"/>
      <c r="E50" s="660"/>
      <c r="F50" s="66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670" t="s">
        <v>141</v>
      </c>
      <c r="B51" s="669" t="s">
        <v>383</v>
      </c>
      <c r="C51" s="660">
        <v>0</v>
      </c>
      <c r="D51" s="660">
        <v>0</v>
      </c>
      <c r="E51" s="660">
        <v>0</v>
      </c>
      <c r="F51" s="660"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670" t="s">
        <v>143</v>
      </c>
      <c r="B52" s="669" t="s">
        <v>150</v>
      </c>
      <c r="C52" s="675">
        <v>33438</v>
      </c>
      <c r="D52" s="660">
        <v>0</v>
      </c>
      <c r="E52" s="660">
        <v>0</v>
      </c>
      <c r="F52" s="660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671" t="s">
        <v>145</v>
      </c>
      <c r="B53" s="672" t="s">
        <v>152</v>
      </c>
      <c r="C53" s="673">
        <f>SUM(C40+C46+C49+C52)+C50+C47</f>
        <v>690210</v>
      </c>
      <c r="D53" s="673">
        <f>SUM(D40+D46+D49+D52)</f>
        <v>411000</v>
      </c>
      <c r="E53" s="673">
        <f>SUM(E40+E46+E49+E52)</f>
        <v>411000</v>
      </c>
      <c r="F53" s="673">
        <f>SUM(F40+F46+F49+F52)</f>
        <v>411000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</sheetData>
  <sheetProtection selectLockedCells="1" selectUnlockedCells="1"/>
  <mergeCells count="7">
    <mergeCell ref="A8:A9"/>
    <mergeCell ref="A1:F1"/>
    <mergeCell ref="A2:F2"/>
    <mergeCell ref="A3:E3"/>
    <mergeCell ref="A4:F4"/>
    <mergeCell ref="A5:F5"/>
    <mergeCell ref="D7:F7"/>
  </mergeCells>
  <printOptions/>
  <pageMargins left="0.7875" right="0.7875" top="1.0631944444444446" bottom="1.0631944444444446" header="0.5118055555555555" footer="0.7875"/>
  <pageSetup horizontalDpi="300" verticalDpi="300" orientation="portrait" paperSize="9" scale="78" r:id="rId1"/>
  <headerFooter alignWithMargins="0"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N64"/>
  <sheetViews>
    <sheetView zoomScalePageLayoutView="0" workbookViewId="0" topLeftCell="A1">
      <selection activeCell="A3" sqref="A3:I3"/>
    </sheetView>
  </sheetViews>
  <sheetFormatPr defaultColWidth="11.57421875" defaultRowHeight="12.75" customHeight="1"/>
  <cols>
    <col min="1" max="1" width="3.7109375" style="241" customWidth="1"/>
    <col min="2" max="2" width="4.140625" style="241" customWidth="1"/>
    <col min="3" max="3" width="32.140625" style="241" customWidth="1"/>
    <col min="4" max="4" width="4.8515625" style="241" customWidth="1"/>
    <col min="5" max="5" width="14.00390625" style="57" customWidth="1"/>
    <col min="6" max="6" width="13.28125" style="57" customWidth="1"/>
    <col min="7" max="7" width="12.57421875" style="57" customWidth="1"/>
    <col min="8" max="8" width="12.140625" style="57" customWidth="1"/>
    <col min="9" max="9" width="12.57421875" style="57" customWidth="1"/>
    <col min="10" max="10" width="7.7109375" style="241" customWidth="1"/>
    <col min="11" max="11" width="9.8515625" style="241" customWidth="1"/>
    <col min="12" max="16384" width="11.57421875" style="241" customWidth="1"/>
  </cols>
  <sheetData>
    <row r="1" spans="1:9" s="677" customFormat="1" ht="18" customHeight="1">
      <c r="A1" s="1391" t="s">
        <v>954</v>
      </c>
      <c r="B1" s="1391"/>
      <c r="C1" s="1391"/>
      <c r="D1" s="1391"/>
      <c r="E1" s="1391"/>
      <c r="F1" s="1391"/>
      <c r="G1" s="1391"/>
      <c r="H1" s="1391"/>
      <c r="I1" s="1391"/>
    </row>
    <row r="2" spans="1:9" ht="12.75" customHeight="1">
      <c r="A2" s="1392" t="s">
        <v>938</v>
      </c>
      <c r="B2" s="1392"/>
      <c r="C2" s="1392"/>
      <c r="D2" s="1392"/>
      <c r="E2" s="1392"/>
      <c r="F2" s="1392"/>
      <c r="G2" s="1392"/>
      <c r="H2" s="1392"/>
      <c r="I2" s="1392"/>
    </row>
    <row r="3" spans="1:9" ht="12.75" customHeight="1">
      <c r="A3" s="1501" t="s">
        <v>953</v>
      </c>
      <c r="B3" s="1501"/>
      <c r="C3" s="1501"/>
      <c r="D3" s="1501"/>
      <c r="E3" s="1501"/>
      <c r="F3" s="1501"/>
      <c r="G3" s="1501"/>
      <c r="H3" s="1501"/>
      <c r="I3" s="1501"/>
    </row>
    <row r="4" spans="1:9" ht="41.25" customHeight="1">
      <c r="A4" s="1393" t="s">
        <v>698</v>
      </c>
      <c r="B4" s="1393"/>
      <c r="C4" s="1393"/>
      <c r="D4" s="1393"/>
      <c r="E4" s="1393"/>
      <c r="F4" s="1393"/>
      <c r="G4" s="1393"/>
      <c r="H4" s="1393"/>
      <c r="I4" s="1393"/>
    </row>
    <row r="5" spans="1:9" ht="23.25" customHeight="1">
      <c r="A5" s="678"/>
      <c r="B5" s="678"/>
      <c r="C5" s="678"/>
      <c r="D5" s="678"/>
      <c r="E5" s="678"/>
      <c r="F5" s="678"/>
      <c r="G5" s="678"/>
      <c r="H5" s="678"/>
      <c r="I5" s="678"/>
    </row>
    <row r="6" spans="5:9" ht="12.75" customHeight="1" thickBot="1">
      <c r="E6" s="679"/>
      <c r="F6" s="1394" t="s">
        <v>155</v>
      </c>
      <c r="G6" s="1394"/>
      <c r="H6" s="1394"/>
      <c r="I6" s="1394"/>
    </row>
    <row r="7" spans="1:9" ht="49.5" customHeight="1" thickBot="1">
      <c r="A7" s="1398" t="s">
        <v>156</v>
      </c>
      <c r="B7" s="1398"/>
      <c r="C7" s="680" t="s">
        <v>157</v>
      </c>
      <c r="D7" s="681"/>
      <c r="E7" s="682" t="s">
        <v>158</v>
      </c>
      <c r="F7" s="683" t="s">
        <v>159</v>
      </c>
      <c r="G7" s="683" t="s">
        <v>699</v>
      </c>
      <c r="H7" s="683" t="s">
        <v>700</v>
      </c>
      <c r="I7" s="683" t="s">
        <v>908</v>
      </c>
    </row>
    <row r="8" spans="1:9" ht="12.75" customHeight="1">
      <c r="A8" s="1398"/>
      <c r="B8" s="1398"/>
      <c r="C8" s="684" t="s">
        <v>163</v>
      </c>
      <c r="D8" s="685"/>
      <c r="E8" s="686" t="s">
        <v>164</v>
      </c>
      <c r="F8" s="687" t="s">
        <v>165</v>
      </c>
      <c r="G8" s="687" t="s">
        <v>166</v>
      </c>
      <c r="H8" s="687" t="s">
        <v>167</v>
      </c>
      <c r="I8" s="687" t="s">
        <v>168</v>
      </c>
    </row>
    <row r="9" spans="1:9" ht="12.75" customHeight="1">
      <c r="A9" s="1390" t="s">
        <v>38</v>
      </c>
      <c r="B9" s="1390"/>
      <c r="C9" s="79" t="s">
        <v>313</v>
      </c>
      <c r="D9" s="688"/>
      <c r="E9" s="168">
        <v>3579</v>
      </c>
      <c r="F9" s="359">
        <v>2000</v>
      </c>
      <c r="G9" s="359">
        <v>2000</v>
      </c>
      <c r="H9" s="359">
        <v>2000</v>
      </c>
      <c r="I9" s="359">
        <v>1340</v>
      </c>
    </row>
    <row r="10" spans="1:9" ht="12.75" customHeight="1">
      <c r="A10" s="1390" t="s">
        <v>40</v>
      </c>
      <c r="B10" s="1390"/>
      <c r="C10" s="79" t="s">
        <v>314</v>
      </c>
      <c r="D10" s="689"/>
      <c r="E10" s="168">
        <v>481</v>
      </c>
      <c r="F10" s="359">
        <v>200</v>
      </c>
      <c r="G10" s="359">
        <v>200</v>
      </c>
      <c r="H10" s="359">
        <v>200</v>
      </c>
      <c r="I10" s="359">
        <v>100</v>
      </c>
    </row>
    <row r="11" spans="1:9" ht="12.75" customHeight="1">
      <c r="A11" s="1390" t="s">
        <v>47</v>
      </c>
      <c r="B11" s="1390"/>
      <c r="C11" s="690" t="s">
        <v>701</v>
      </c>
      <c r="D11" s="689"/>
      <c r="E11" s="168">
        <v>8</v>
      </c>
      <c r="F11" s="359"/>
      <c r="G11" s="359"/>
      <c r="H11" s="359">
        <v>0</v>
      </c>
      <c r="I11" s="359">
        <v>0</v>
      </c>
    </row>
    <row r="12" spans="1:9" ht="12.75" customHeight="1">
      <c r="A12" s="1390" t="s">
        <v>49</v>
      </c>
      <c r="B12" s="1390"/>
      <c r="C12" s="691" t="s">
        <v>702</v>
      </c>
      <c r="D12" s="692"/>
      <c r="E12" s="168">
        <v>21</v>
      </c>
      <c r="F12" s="359">
        <v>0</v>
      </c>
      <c r="G12" s="359">
        <v>0</v>
      </c>
      <c r="H12" s="359">
        <v>1</v>
      </c>
      <c r="I12" s="359">
        <v>0</v>
      </c>
    </row>
    <row r="13" spans="1:9" ht="12.75" customHeight="1">
      <c r="A13" s="1390" t="s">
        <v>51</v>
      </c>
      <c r="B13" s="1390"/>
      <c r="C13" s="358" t="s">
        <v>316</v>
      </c>
      <c r="D13" s="692"/>
      <c r="E13" s="168">
        <v>1098</v>
      </c>
      <c r="F13" s="359">
        <v>1100</v>
      </c>
      <c r="G13" s="359">
        <v>1100</v>
      </c>
      <c r="H13" s="359">
        <v>1099</v>
      </c>
      <c r="I13" s="359">
        <v>400</v>
      </c>
    </row>
    <row r="14" spans="1:9" s="408" customFormat="1" ht="12.75" customHeight="1">
      <c r="A14" s="1389" t="s">
        <v>53</v>
      </c>
      <c r="B14" s="1389"/>
      <c r="C14" s="693" t="s">
        <v>317</v>
      </c>
      <c r="D14" s="694"/>
      <c r="E14" s="695">
        <f>SUM(E9:E13)</f>
        <v>5187</v>
      </c>
      <c r="F14" s="696">
        <f>SUM(F9:F13)</f>
        <v>3300</v>
      </c>
      <c r="G14" s="696">
        <f>SUM(G9:G13)</f>
        <v>3300</v>
      </c>
      <c r="H14" s="696">
        <f>SUM(H9:H13)</f>
        <v>3300</v>
      </c>
      <c r="I14" s="696">
        <f>SUM(I9:I13)</f>
        <v>1840</v>
      </c>
    </row>
    <row r="15" spans="1:9" ht="12.75" customHeight="1" thickBot="1">
      <c r="A15" s="1390" t="s">
        <v>55</v>
      </c>
      <c r="B15" s="1390"/>
      <c r="C15" s="697" t="s">
        <v>703</v>
      </c>
      <c r="D15" s="698"/>
      <c r="E15" s="699">
        <v>790</v>
      </c>
      <c r="F15" s="700"/>
      <c r="G15" s="700">
        <v>0</v>
      </c>
      <c r="H15" s="700">
        <v>20</v>
      </c>
      <c r="I15" s="700">
        <v>20</v>
      </c>
    </row>
    <row r="16" spans="1:9" s="408" customFormat="1" ht="12.75" customHeight="1" thickBot="1">
      <c r="A16" s="1387" t="s">
        <v>57</v>
      </c>
      <c r="B16" s="1387"/>
      <c r="C16" s="701" t="s">
        <v>704</v>
      </c>
      <c r="D16" s="702"/>
      <c r="E16" s="703">
        <f>SUM(E14:E15)</f>
        <v>5977</v>
      </c>
      <c r="F16" s="703">
        <f>SUM(F14:F15)</f>
        <v>3300</v>
      </c>
      <c r="G16" s="703">
        <f>SUM(G14:G15)</f>
        <v>3300</v>
      </c>
      <c r="H16" s="703">
        <f>SUM(H14:H15)</f>
        <v>3320</v>
      </c>
      <c r="I16" s="703">
        <f>SUM(I14:I15)</f>
        <v>1860</v>
      </c>
    </row>
    <row r="17" spans="1:9" ht="12.75" customHeight="1">
      <c r="A17" s="1388" t="s">
        <v>86</v>
      </c>
      <c r="B17" s="1388"/>
      <c r="C17" s="353" t="s">
        <v>705</v>
      </c>
      <c r="D17" s="704"/>
      <c r="E17" s="705">
        <f>SUM(E18:E19)</f>
        <v>98574</v>
      </c>
      <c r="F17" s="354">
        <f>SUM(F18:F19)</f>
        <v>98357</v>
      </c>
      <c r="G17" s="354">
        <f>SUM(G18:G19)</f>
        <v>99003</v>
      </c>
      <c r="H17" s="354">
        <f>SUM(H18:H19)</f>
        <v>100866</v>
      </c>
      <c r="I17" s="354">
        <f>SUM(I18:I19)</f>
        <v>103649</v>
      </c>
    </row>
    <row r="18" spans="1:9" s="710" customFormat="1" ht="12.75" customHeight="1">
      <c r="A18" s="1399" t="s">
        <v>59</v>
      </c>
      <c r="B18" s="1399"/>
      <c r="C18" s="706" t="s">
        <v>706</v>
      </c>
      <c r="D18" s="707"/>
      <c r="E18" s="708">
        <v>68534</v>
      </c>
      <c r="F18" s="709">
        <v>73101</v>
      </c>
      <c r="G18" s="709">
        <v>73747</v>
      </c>
      <c r="H18" s="709">
        <v>74044</v>
      </c>
      <c r="I18" s="709">
        <v>76898</v>
      </c>
    </row>
    <row r="19" spans="1:9" ht="12.75" customHeight="1">
      <c r="A19" s="1390" t="s">
        <v>61</v>
      </c>
      <c r="B19" s="1390"/>
      <c r="C19" s="706" t="s">
        <v>707</v>
      </c>
      <c r="D19" s="692"/>
      <c r="E19" s="708">
        <v>30040</v>
      </c>
      <c r="F19" s="709">
        <v>25256</v>
      </c>
      <c r="G19" s="709">
        <v>25256</v>
      </c>
      <c r="H19" s="709">
        <v>26822</v>
      </c>
      <c r="I19" s="709">
        <v>26751</v>
      </c>
    </row>
    <row r="20" spans="1:9" s="710" customFormat="1" ht="12.75" customHeight="1" thickBot="1">
      <c r="A20" s="1400" t="s">
        <v>63</v>
      </c>
      <c r="B20" s="1400"/>
      <c r="C20" s="711" t="s">
        <v>708</v>
      </c>
      <c r="D20" s="712"/>
      <c r="E20" s="146">
        <v>722</v>
      </c>
      <c r="F20" s="713">
        <v>3309</v>
      </c>
      <c r="G20" s="713">
        <v>3309</v>
      </c>
      <c r="H20" s="713">
        <v>3309</v>
      </c>
      <c r="I20" s="713">
        <v>3309</v>
      </c>
    </row>
    <row r="21" spans="1:9" s="408" customFormat="1" ht="12.75" customHeight="1" thickBot="1">
      <c r="A21" s="1401" t="s">
        <v>65</v>
      </c>
      <c r="B21" s="1401"/>
      <c r="C21" s="1395" t="s">
        <v>709</v>
      </c>
      <c r="D21" s="1395"/>
      <c r="E21" s="714">
        <f>SUM(E17)+E20</f>
        <v>99296</v>
      </c>
      <c r="F21" s="714">
        <f>SUM(F17)+F20</f>
        <v>101666</v>
      </c>
      <c r="G21" s="714">
        <f>SUM(G17)+G20</f>
        <v>102312</v>
      </c>
      <c r="H21" s="714">
        <f>SUM(H17)+H20</f>
        <v>104175</v>
      </c>
      <c r="I21" s="714">
        <f>SUM(I17)+I20</f>
        <v>106958</v>
      </c>
    </row>
    <row r="22" spans="1:9" ht="12.75" customHeight="1" thickBot="1">
      <c r="A22" s="1396" t="s">
        <v>92</v>
      </c>
      <c r="B22" s="1396"/>
      <c r="C22" s="1397" t="s">
        <v>321</v>
      </c>
      <c r="D22" s="1397"/>
      <c r="E22" s="715">
        <f>SUM(E16+E21)</f>
        <v>105273</v>
      </c>
      <c r="F22" s="715">
        <f>SUM(F16+F21)</f>
        <v>104966</v>
      </c>
      <c r="G22" s="715">
        <f>SUM(G16+G21)</f>
        <v>105612</v>
      </c>
      <c r="H22" s="715">
        <f>SUM(H16+H21)</f>
        <v>107495</v>
      </c>
      <c r="I22" s="715">
        <f>SUM(I16+I21)</f>
        <v>108818</v>
      </c>
    </row>
    <row r="23" spans="1:4" ht="12.75" customHeight="1" thickBot="1">
      <c r="A23" s="397"/>
      <c r="B23" s="397"/>
      <c r="C23" s="398"/>
      <c r="D23" s="398"/>
    </row>
    <row r="24" spans="1:9" ht="49.5" customHeight="1" thickBot="1">
      <c r="A24" s="1398" t="s">
        <v>156</v>
      </c>
      <c r="B24" s="1398"/>
      <c r="C24" s="716" t="s">
        <v>119</v>
      </c>
      <c r="D24" s="717" t="s">
        <v>710</v>
      </c>
      <c r="E24" s="682" t="s">
        <v>158</v>
      </c>
      <c r="F24" s="683" t="s">
        <v>159</v>
      </c>
      <c r="G24" s="683" t="s">
        <v>699</v>
      </c>
      <c r="H24" s="683" t="s">
        <v>700</v>
      </c>
      <c r="I24" s="683" t="s">
        <v>908</v>
      </c>
    </row>
    <row r="25" spans="1:9" ht="12.75" customHeight="1">
      <c r="A25" s="1398"/>
      <c r="B25" s="1398"/>
      <c r="C25" s="718" t="s">
        <v>163</v>
      </c>
      <c r="D25" s="719" t="s">
        <v>164</v>
      </c>
      <c r="E25" s="720" t="s">
        <v>165</v>
      </c>
      <c r="F25" s="721" t="s">
        <v>166</v>
      </c>
      <c r="G25" s="721" t="s">
        <v>167</v>
      </c>
      <c r="H25" s="721" t="s">
        <v>168</v>
      </c>
      <c r="I25" s="721" t="s">
        <v>228</v>
      </c>
    </row>
    <row r="26" spans="1:9" ht="12.75" customHeight="1">
      <c r="A26" s="722" t="s">
        <v>38</v>
      </c>
      <c r="B26" s="723" t="s">
        <v>169</v>
      </c>
      <c r="C26" s="724" t="s">
        <v>444</v>
      </c>
      <c r="D26" s="725">
        <v>1</v>
      </c>
      <c r="E26" s="165">
        <f>SUM(E27:E29)</f>
        <v>14452</v>
      </c>
      <c r="F26" s="386">
        <f>SUM(F27:F29)</f>
        <v>14541</v>
      </c>
      <c r="G26" s="386">
        <f>SUM(G27:G29)</f>
        <v>14541</v>
      </c>
      <c r="H26" s="386">
        <f>SUM(H27:H29)</f>
        <v>14541</v>
      </c>
      <c r="I26" s="386">
        <f>SUM(I27:I29)</f>
        <v>14541</v>
      </c>
    </row>
    <row r="27" spans="1:9" ht="12.75" customHeight="1">
      <c r="A27" s="726" t="s">
        <v>40</v>
      </c>
      <c r="B27" s="727"/>
      <c r="C27" s="92" t="s">
        <v>203</v>
      </c>
      <c r="D27" s="442"/>
      <c r="E27" s="168">
        <v>1642</v>
      </c>
      <c r="F27" s="728">
        <v>1505</v>
      </c>
      <c r="G27" s="728">
        <v>1505</v>
      </c>
      <c r="H27" s="728">
        <v>1505</v>
      </c>
      <c r="I27" s="728">
        <v>1505</v>
      </c>
    </row>
    <row r="28" spans="1:9" ht="12.75" customHeight="1">
      <c r="A28" s="726" t="s">
        <v>47</v>
      </c>
      <c r="B28" s="727"/>
      <c r="C28" s="92" t="s">
        <v>204</v>
      </c>
      <c r="D28" s="442"/>
      <c r="E28" s="168">
        <v>427</v>
      </c>
      <c r="F28" s="728">
        <v>416</v>
      </c>
      <c r="G28" s="728">
        <v>416</v>
      </c>
      <c r="H28" s="728">
        <v>416</v>
      </c>
      <c r="I28" s="728">
        <v>416</v>
      </c>
    </row>
    <row r="29" spans="1:9" ht="12.75" customHeight="1">
      <c r="A29" s="726" t="s">
        <v>49</v>
      </c>
      <c r="B29" s="727"/>
      <c r="C29" s="92" t="s">
        <v>340</v>
      </c>
      <c r="D29" s="442"/>
      <c r="E29" s="81">
        <v>12383</v>
      </c>
      <c r="F29" s="728">
        <v>12620</v>
      </c>
      <c r="G29" s="728">
        <v>12620</v>
      </c>
      <c r="H29" s="728">
        <v>12620</v>
      </c>
      <c r="I29" s="728">
        <v>12620</v>
      </c>
    </row>
    <row r="30" spans="1:9" ht="12.75" customHeight="1">
      <c r="A30" s="722" t="s">
        <v>51</v>
      </c>
      <c r="B30" s="729" t="s">
        <v>173</v>
      </c>
      <c r="C30" s="10" t="s">
        <v>711</v>
      </c>
      <c r="D30" s="443"/>
      <c r="E30" s="165">
        <f>SUM(E31:E33)</f>
        <v>1778</v>
      </c>
      <c r="F30" s="730">
        <f>SUM(F31:F33)</f>
        <v>1845</v>
      </c>
      <c r="G30" s="730">
        <f>SUM(G31:G33)</f>
        <v>1845</v>
      </c>
      <c r="H30" s="730">
        <f>SUM(H31:H33)</f>
        <v>1845</v>
      </c>
      <c r="I30" s="730">
        <f>SUM(I31:I33)</f>
        <v>1845</v>
      </c>
    </row>
    <row r="31" spans="1:9" ht="12.75" customHeight="1">
      <c r="A31" s="726" t="s">
        <v>53</v>
      </c>
      <c r="B31" s="727"/>
      <c r="C31" s="92" t="s">
        <v>203</v>
      </c>
      <c r="D31" s="442"/>
      <c r="E31" s="168">
        <v>95</v>
      </c>
      <c r="F31" s="728">
        <v>192</v>
      </c>
      <c r="G31" s="728">
        <v>192</v>
      </c>
      <c r="H31" s="728">
        <v>192</v>
      </c>
      <c r="I31" s="728">
        <v>192</v>
      </c>
    </row>
    <row r="32" spans="1:9" ht="12.75" customHeight="1">
      <c r="A32" s="726" t="s">
        <v>55</v>
      </c>
      <c r="B32" s="727"/>
      <c r="C32" s="92" t="s">
        <v>204</v>
      </c>
      <c r="D32" s="443"/>
      <c r="E32" s="168">
        <v>31</v>
      </c>
      <c r="F32" s="728">
        <v>53</v>
      </c>
      <c r="G32" s="728">
        <v>53</v>
      </c>
      <c r="H32" s="728">
        <v>53</v>
      </c>
      <c r="I32" s="728">
        <v>53</v>
      </c>
    </row>
    <row r="33" spans="1:9" ht="12.75" customHeight="1">
      <c r="A33" s="726" t="s">
        <v>57</v>
      </c>
      <c r="B33" s="727"/>
      <c r="C33" s="92" t="s">
        <v>340</v>
      </c>
      <c r="D33" s="443"/>
      <c r="E33" s="168">
        <v>1652</v>
      </c>
      <c r="F33" s="728">
        <v>1600</v>
      </c>
      <c r="G33" s="728">
        <v>1600</v>
      </c>
      <c r="H33" s="728">
        <v>1600</v>
      </c>
      <c r="I33" s="728">
        <v>1600</v>
      </c>
    </row>
    <row r="34" spans="1:9" s="408" customFormat="1" ht="12.75" customHeight="1">
      <c r="A34" s="722" t="s">
        <v>86</v>
      </c>
      <c r="B34" s="729" t="s">
        <v>177</v>
      </c>
      <c r="C34" s="10" t="s">
        <v>712</v>
      </c>
      <c r="D34" s="443"/>
      <c r="E34" s="165">
        <v>10</v>
      </c>
      <c r="F34" s="730">
        <v>0</v>
      </c>
      <c r="G34" s="730">
        <v>0</v>
      </c>
      <c r="H34" s="730">
        <v>0</v>
      </c>
      <c r="I34" s="730">
        <v>0</v>
      </c>
    </row>
    <row r="35" spans="1:9" ht="12.75" customHeight="1">
      <c r="A35" s="726" t="s">
        <v>59</v>
      </c>
      <c r="B35" s="727"/>
      <c r="C35" s="92" t="s">
        <v>340</v>
      </c>
      <c r="D35" s="443"/>
      <c r="E35" s="168">
        <v>10</v>
      </c>
      <c r="F35" s="728">
        <v>0</v>
      </c>
      <c r="G35" s="728">
        <v>0</v>
      </c>
      <c r="H35" s="728">
        <v>0</v>
      </c>
      <c r="I35" s="728">
        <v>0</v>
      </c>
    </row>
    <row r="36" spans="1:9" ht="12.75" customHeight="1">
      <c r="A36" s="722" t="s">
        <v>61</v>
      </c>
      <c r="B36" s="729" t="s">
        <v>179</v>
      </c>
      <c r="C36" s="10" t="s">
        <v>454</v>
      </c>
      <c r="D36" s="443">
        <v>15</v>
      </c>
      <c r="E36" s="165">
        <f>SUM(E37:E40)</f>
        <v>59429</v>
      </c>
      <c r="F36" s="730">
        <f>SUM(F37:F40)</f>
        <v>64293</v>
      </c>
      <c r="G36" s="730">
        <f>SUM(G37:G40)</f>
        <v>60748</v>
      </c>
      <c r="H36" s="730">
        <f>SUM(H37:H40)</f>
        <v>61938</v>
      </c>
      <c r="I36" s="730">
        <f>SUM(I37:I40)</f>
        <v>61938</v>
      </c>
    </row>
    <row r="37" spans="1:11" ht="12.75" customHeight="1">
      <c r="A37" s="726" t="s">
        <v>63</v>
      </c>
      <c r="B37" s="727"/>
      <c r="C37" s="92" t="s">
        <v>203</v>
      </c>
      <c r="D37" s="443"/>
      <c r="E37" s="168">
        <v>46510</v>
      </c>
      <c r="F37" s="728">
        <v>49460</v>
      </c>
      <c r="G37" s="728">
        <v>47834</v>
      </c>
      <c r="H37" s="728">
        <v>47514</v>
      </c>
      <c r="I37" s="728">
        <v>47514</v>
      </c>
      <c r="K37" s="57"/>
    </row>
    <row r="38" spans="1:9" ht="12.75" customHeight="1">
      <c r="A38" s="726" t="s">
        <v>65</v>
      </c>
      <c r="B38" s="727"/>
      <c r="C38" s="92" t="s">
        <v>204</v>
      </c>
      <c r="D38" s="443"/>
      <c r="E38" s="168">
        <v>12497</v>
      </c>
      <c r="F38" s="728">
        <v>12483</v>
      </c>
      <c r="G38" s="728">
        <v>12514</v>
      </c>
      <c r="H38" s="728">
        <v>12458</v>
      </c>
      <c r="I38" s="728">
        <v>12458</v>
      </c>
    </row>
    <row r="39" spans="1:9" ht="12.75" customHeight="1">
      <c r="A39" s="726" t="s">
        <v>92</v>
      </c>
      <c r="B39" s="727"/>
      <c r="C39" s="92" t="s">
        <v>340</v>
      </c>
      <c r="D39" s="443"/>
      <c r="E39" s="168">
        <v>337</v>
      </c>
      <c r="F39" s="728">
        <v>2350</v>
      </c>
      <c r="G39" s="728">
        <v>400</v>
      </c>
      <c r="H39" s="728">
        <v>1966</v>
      </c>
      <c r="I39" s="728">
        <v>1966</v>
      </c>
    </row>
    <row r="40" spans="1:9" ht="12.75" customHeight="1">
      <c r="A40" s="726" t="s">
        <v>66</v>
      </c>
      <c r="B40" s="727"/>
      <c r="C40" s="92" t="s">
        <v>376</v>
      </c>
      <c r="D40" s="443"/>
      <c r="E40" s="168">
        <v>85</v>
      </c>
      <c r="F40" s="728">
        <v>0</v>
      </c>
      <c r="G40" s="728">
        <v>0</v>
      </c>
      <c r="H40" s="728">
        <v>0</v>
      </c>
      <c r="I40" s="728">
        <v>0</v>
      </c>
    </row>
    <row r="41" spans="1:9" s="408" customFormat="1" ht="12.75" customHeight="1">
      <c r="A41" s="722" t="s">
        <v>67</v>
      </c>
      <c r="B41" s="729" t="s">
        <v>180</v>
      </c>
      <c r="C41" s="10" t="s">
        <v>713</v>
      </c>
      <c r="D41" s="443"/>
      <c r="E41" s="165">
        <v>194</v>
      </c>
      <c r="F41" s="730">
        <f>SUM(F42:F44)</f>
        <v>0</v>
      </c>
      <c r="G41" s="730">
        <f>SUM(G42:G44)</f>
        <v>194</v>
      </c>
      <c r="H41" s="730">
        <f>SUM(H42:H44)</f>
        <v>194</v>
      </c>
      <c r="I41" s="730">
        <f>SUM(I42:I44)</f>
        <v>194</v>
      </c>
    </row>
    <row r="42" spans="1:11" ht="12.75" customHeight="1">
      <c r="A42" s="726" t="s">
        <v>68</v>
      </c>
      <c r="B42" s="727"/>
      <c r="C42" s="92" t="s">
        <v>203</v>
      </c>
      <c r="D42" s="443"/>
      <c r="E42" s="168">
        <v>112</v>
      </c>
      <c r="F42" s="728">
        <v>0</v>
      </c>
      <c r="G42" s="728">
        <v>112</v>
      </c>
      <c r="H42" s="728">
        <v>112</v>
      </c>
      <c r="I42" s="728">
        <v>112</v>
      </c>
      <c r="K42" s="57"/>
    </row>
    <row r="43" spans="1:9" ht="12.75" customHeight="1">
      <c r="A43" s="726" t="s">
        <v>70</v>
      </c>
      <c r="B43" s="727"/>
      <c r="C43" s="92" t="s">
        <v>204</v>
      </c>
      <c r="D43" s="443"/>
      <c r="E43" s="168">
        <v>82</v>
      </c>
      <c r="F43" s="728">
        <v>0</v>
      </c>
      <c r="G43" s="728">
        <v>82</v>
      </c>
      <c r="H43" s="728">
        <v>82</v>
      </c>
      <c r="I43" s="728">
        <v>82</v>
      </c>
    </row>
    <row r="44" spans="1:9" ht="12.75" customHeight="1">
      <c r="A44" s="726" t="s">
        <v>97</v>
      </c>
      <c r="B44" s="727"/>
      <c r="C44" s="92" t="s">
        <v>340</v>
      </c>
      <c r="D44" s="443"/>
      <c r="E44" s="168">
        <v>0</v>
      </c>
      <c r="F44" s="728">
        <v>0</v>
      </c>
      <c r="G44" s="728">
        <v>0</v>
      </c>
      <c r="H44" s="728">
        <v>0</v>
      </c>
      <c r="I44" s="728">
        <v>0</v>
      </c>
    </row>
    <row r="45" spans="1:9" ht="12.75" customHeight="1">
      <c r="A45" s="722" t="s">
        <v>99</v>
      </c>
      <c r="B45" s="729" t="s">
        <v>182</v>
      </c>
      <c r="C45" s="10" t="s">
        <v>465</v>
      </c>
      <c r="D45" s="443"/>
      <c r="E45" s="165">
        <f>SUM(E46:E48)</f>
        <v>16395</v>
      </c>
      <c r="F45" s="730">
        <f>SUM(F46:F48)</f>
        <v>13559</v>
      </c>
      <c r="G45" s="730">
        <f>SUM(G46:G48)</f>
        <v>15606</v>
      </c>
      <c r="H45" s="730">
        <f>SUM(H46:H48)</f>
        <v>15626</v>
      </c>
      <c r="I45" s="730">
        <f>SUM(I46:I48)</f>
        <v>15626</v>
      </c>
    </row>
    <row r="46" spans="1:9" ht="12.75" customHeight="1">
      <c r="A46" s="726" t="s">
        <v>101</v>
      </c>
      <c r="B46" s="727"/>
      <c r="C46" s="92" t="s">
        <v>203</v>
      </c>
      <c r="D46" s="443">
        <v>3</v>
      </c>
      <c r="E46" s="168">
        <v>12590</v>
      </c>
      <c r="F46" s="728">
        <v>10543</v>
      </c>
      <c r="G46" s="728">
        <v>12590</v>
      </c>
      <c r="H46" s="728">
        <v>12590</v>
      </c>
      <c r="I46" s="728">
        <v>12590</v>
      </c>
    </row>
    <row r="47" spans="1:9" ht="12.75" customHeight="1">
      <c r="A47" s="726" t="s">
        <v>103</v>
      </c>
      <c r="B47" s="727"/>
      <c r="C47" s="92" t="s">
        <v>204</v>
      </c>
      <c r="D47" s="443"/>
      <c r="E47" s="168">
        <v>3755</v>
      </c>
      <c r="F47" s="728">
        <v>2881</v>
      </c>
      <c r="G47" s="728">
        <v>2881</v>
      </c>
      <c r="H47" s="728">
        <v>2881</v>
      </c>
      <c r="I47" s="728">
        <v>2881</v>
      </c>
    </row>
    <row r="48" spans="1:9" ht="12.75" customHeight="1">
      <c r="A48" s="726" t="s">
        <v>105</v>
      </c>
      <c r="B48" s="727"/>
      <c r="C48" s="92" t="s">
        <v>340</v>
      </c>
      <c r="D48" s="443"/>
      <c r="E48" s="168">
        <v>50</v>
      </c>
      <c r="F48" s="728">
        <v>135</v>
      </c>
      <c r="G48" s="728">
        <v>135</v>
      </c>
      <c r="H48" s="728">
        <v>155</v>
      </c>
      <c r="I48" s="728">
        <v>155</v>
      </c>
    </row>
    <row r="49" spans="1:9" ht="12.75" customHeight="1">
      <c r="A49" s="722" t="s">
        <v>107</v>
      </c>
      <c r="B49" s="729" t="s">
        <v>714</v>
      </c>
      <c r="C49" s="10" t="s">
        <v>470</v>
      </c>
      <c r="D49" s="443">
        <v>2</v>
      </c>
      <c r="E49" s="165">
        <f>SUM(E50:E53)</f>
        <v>7736</v>
      </c>
      <c r="F49" s="730">
        <f>SUM(F50:F53)</f>
        <v>6798</v>
      </c>
      <c r="G49" s="730">
        <f>SUM(G50:G53)</f>
        <v>7065</v>
      </c>
      <c r="H49" s="730">
        <f>SUM(H50:H53)</f>
        <v>7738</v>
      </c>
      <c r="I49" s="730">
        <f>SUM(I50:I53)</f>
        <v>7738</v>
      </c>
    </row>
    <row r="50" spans="1:9" ht="12.75" customHeight="1">
      <c r="A50" s="726" t="s">
        <v>109</v>
      </c>
      <c r="B50" s="727"/>
      <c r="C50" s="92" t="s">
        <v>203</v>
      </c>
      <c r="D50" s="443"/>
      <c r="E50" s="168">
        <v>5525</v>
      </c>
      <c r="F50" s="728">
        <v>5090</v>
      </c>
      <c r="G50" s="728">
        <v>5090</v>
      </c>
      <c r="H50" s="728">
        <v>5620</v>
      </c>
      <c r="I50" s="728">
        <v>5620</v>
      </c>
    </row>
    <row r="51" spans="1:9" ht="12.75" customHeight="1">
      <c r="A51" s="726" t="s">
        <v>111</v>
      </c>
      <c r="B51" s="727"/>
      <c r="C51" s="92" t="s">
        <v>204</v>
      </c>
      <c r="D51" s="442"/>
      <c r="E51" s="168">
        <v>1352</v>
      </c>
      <c r="F51" s="728">
        <v>1408</v>
      </c>
      <c r="G51" s="728">
        <v>1408</v>
      </c>
      <c r="H51" s="728">
        <v>1551</v>
      </c>
      <c r="I51" s="728">
        <v>1551</v>
      </c>
    </row>
    <row r="52" spans="1:9" ht="12.75" customHeight="1">
      <c r="A52" s="726" t="s">
        <v>113</v>
      </c>
      <c r="B52" s="727"/>
      <c r="C52" s="92" t="s">
        <v>125</v>
      </c>
      <c r="D52" s="442"/>
      <c r="E52" s="168">
        <v>824</v>
      </c>
      <c r="F52" s="359">
        <v>300</v>
      </c>
      <c r="G52" s="359">
        <v>567</v>
      </c>
      <c r="H52" s="359">
        <v>567</v>
      </c>
      <c r="I52" s="359">
        <v>567</v>
      </c>
    </row>
    <row r="53" spans="1:9" ht="12.75" customHeight="1">
      <c r="A53" s="726" t="s">
        <v>115</v>
      </c>
      <c r="B53" s="727"/>
      <c r="C53" s="92" t="s">
        <v>376</v>
      </c>
      <c r="D53" s="442"/>
      <c r="E53" s="168">
        <v>35</v>
      </c>
      <c r="F53" s="359">
        <v>0</v>
      </c>
      <c r="G53" s="359">
        <v>0</v>
      </c>
      <c r="H53" s="359">
        <v>0</v>
      </c>
      <c r="I53" s="359">
        <v>0</v>
      </c>
    </row>
    <row r="54" spans="1:9" ht="12.75" customHeight="1">
      <c r="A54" s="722" t="s">
        <v>117</v>
      </c>
      <c r="B54" s="729" t="s">
        <v>186</v>
      </c>
      <c r="C54" s="10" t="s">
        <v>476</v>
      </c>
      <c r="D54" s="443">
        <v>3</v>
      </c>
      <c r="E54" s="165">
        <f>SUM(E57:E58)</f>
        <v>5279</v>
      </c>
      <c r="F54" s="386">
        <f>SUM(F57:F58)</f>
        <v>3930</v>
      </c>
      <c r="G54" s="386">
        <f>SUM(G57:G58)</f>
        <v>5613</v>
      </c>
      <c r="H54" s="386">
        <f>SUM(H57:H58)</f>
        <v>5613</v>
      </c>
      <c r="I54" s="386">
        <f>SUM(I57:I58)</f>
        <v>6936</v>
      </c>
    </row>
    <row r="55" spans="1:9" ht="12.75" customHeight="1">
      <c r="A55" s="726" t="s">
        <v>118</v>
      </c>
      <c r="B55" s="727"/>
      <c r="C55" s="92" t="s">
        <v>715</v>
      </c>
      <c r="D55" s="442"/>
      <c r="E55" s="168"/>
      <c r="F55" s="359"/>
      <c r="G55" s="359"/>
      <c r="H55" s="359"/>
      <c r="I55" s="359"/>
    </row>
    <row r="56" spans="1:9" ht="12.75" customHeight="1">
      <c r="A56" s="726" t="s">
        <v>120</v>
      </c>
      <c r="B56" s="727"/>
      <c r="C56" s="92" t="s">
        <v>716</v>
      </c>
      <c r="D56" s="442"/>
      <c r="E56" s="168"/>
      <c r="F56" s="359"/>
      <c r="G56" s="359"/>
      <c r="H56" s="359"/>
      <c r="I56" s="359"/>
    </row>
    <row r="57" spans="1:9" ht="12.75" customHeight="1">
      <c r="A57" s="726" t="s">
        <v>122</v>
      </c>
      <c r="B57" s="727"/>
      <c r="C57" s="92" t="s">
        <v>633</v>
      </c>
      <c r="D57" s="442"/>
      <c r="E57" s="168">
        <v>4933</v>
      </c>
      <c r="F57" s="359">
        <v>3250</v>
      </c>
      <c r="G57" s="359">
        <v>4933</v>
      </c>
      <c r="H57" s="359">
        <v>4933</v>
      </c>
      <c r="I57" s="359">
        <v>6256</v>
      </c>
    </row>
    <row r="58" spans="1:9" ht="12.75" customHeight="1" thickBot="1">
      <c r="A58" s="726" t="s">
        <v>124</v>
      </c>
      <c r="B58" s="731"/>
      <c r="C58" s="493" t="s">
        <v>376</v>
      </c>
      <c r="D58" s="732"/>
      <c r="E58" s="699">
        <v>346</v>
      </c>
      <c r="F58" s="700">
        <v>680</v>
      </c>
      <c r="G58" s="700">
        <v>680</v>
      </c>
      <c r="H58" s="700">
        <v>680</v>
      </c>
      <c r="I58" s="700">
        <v>680</v>
      </c>
    </row>
    <row r="59" spans="1:66" s="7" customFormat="1" ht="12.75" customHeight="1" thickBot="1">
      <c r="A59" s="733" t="s">
        <v>126</v>
      </c>
      <c r="B59" s="733" t="s">
        <v>191</v>
      </c>
      <c r="C59" s="603" t="s">
        <v>717</v>
      </c>
      <c r="D59" s="734">
        <v>23</v>
      </c>
      <c r="E59" s="735">
        <f>SUM(E26+E30+E36+E45+E49+E54)+E34+E41</f>
        <v>105273</v>
      </c>
      <c r="F59" s="735">
        <f>SUM(F26+F30+F36+F45+F49+F54)</f>
        <v>104966</v>
      </c>
      <c r="G59" s="735">
        <f>SUM(G26+G30+G36+G45+G49+G54)+G41</f>
        <v>105612</v>
      </c>
      <c r="H59" s="735">
        <f>SUM(H26+H30+H36+H45+H49+H54)+H41</f>
        <v>107495</v>
      </c>
      <c r="I59" s="735">
        <f>SUM(I26+I30+I36+I45+I49+I54)+I41</f>
        <v>108818</v>
      </c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736"/>
      <c r="AL59" s="736"/>
      <c r="AM59" s="736"/>
      <c r="AN59" s="736"/>
      <c r="AO59" s="736"/>
      <c r="AP59" s="736"/>
      <c r="AQ59" s="736"/>
      <c r="AR59" s="736"/>
      <c r="AS59" s="736"/>
      <c r="AT59" s="736"/>
      <c r="AU59" s="736"/>
      <c r="AV59" s="736"/>
      <c r="AW59" s="736"/>
      <c r="AX59" s="736"/>
      <c r="AY59" s="736"/>
      <c r="AZ59" s="736"/>
      <c r="BA59" s="736"/>
      <c r="BB59" s="736"/>
      <c r="BC59" s="736"/>
      <c r="BD59" s="736"/>
      <c r="BE59" s="736"/>
      <c r="BF59" s="736"/>
      <c r="BG59" s="736"/>
      <c r="BH59" s="736"/>
      <c r="BI59" s="736"/>
      <c r="BJ59" s="736"/>
      <c r="BK59" s="736"/>
      <c r="BL59" s="736"/>
      <c r="BM59" s="736"/>
      <c r="BN59" s="736"/>
    </row>
    <row r="60" spans="1:66" s="7" customFormat="1" ht="12.75" customHeight="1">
      <c r="A60" s="726" t="s">
        <v>128</v>
      </c>
      <c r="B60" s="737"/>
      <c r="C60" s="738" t="s">
        <v>203</v>
      </c>
      <c r="D60" s="739">
        <f>D59</f>
        <v>23</v>
      </c>
      <c r="E60" s="126">
        <f>SUM(E27+E31+E37+E46+E50)+E42</f>
        <v>66474</v>
      </c>
      <c r="F60" s="740">
        <f>SUM(F27+F31+F37+F46+F50)</f>
        <v>66790</v>
      </c>
      <c r="G60" s="740">
        <f>SUM(G27+G31+G37+G46+G50)+G42</f>
        <v>67323</v>
      </c>
      <c r="H60" s="740">
        <f>SUM(H27+H31+H37+H46+H50)+H42</f>
        <v>67533</v>
      </c>
      <c r="I60" s="740">
        <f>SUM(I27+I31+I37+I46+I50)+I42</f>
        <v>67533</v>
      </c>
      <c r="J60" s="736"/>
      <c r="K60" s="736"/>
      <c r="L60" s="736"/>
      <c r="M60" s="736"/>
      <c r="N60" s="736"/>
      <c r="O60" s="736"/>
      <c r="P60" s="736"/>
      <c r="Q60" s="736"/>
      <c r="R60" s="736"/>
      <c r="S60" s="736"/>
      <c r="T60" s="736"/>
      <c r="U60" s="736"/>
      <c r="V60" s="736"/>
      <c r="W60" s="736"/>
      <c r="X60" s="736"/>
      <c r="Y60" s="736"/>
      <c r="Z60" s="736"/>
      <c r="AA60" s="736"/>
      <c r="AB60" s="736"/>
      <c r="AC60" s="736"/>
      <c r="AD60" s="736"/>
      <c r="AE60" s="736"/>
      <c r="AF60" s="736"/>
      <c r="AG60" s="736"/>
      <c r="AH60" s="736"/>
      <c r="AI60" s="736"/>
      <c r="AJ60" s="736"/>
      <c r="AK60" s="736"/>
      <c r="AL60" s="736"/>
      <c r="AM60" s="736"/>
      <c r="AN60" s="736"/>
      <c r="AO60" s="736"/>
      <c r="AP60" s="736"/>
      <c r="AQ60" s="736"/>
      <c r="AR60" s="736"/>
      <c r="AS60" s="736"/>
      <c r="AT60" s="736"/>
      <c r="AU60" s="736"/>
      <c r="AV60" s="736"/>
      <c r="AW60" s="736"/>
      <c r="AX60" s="736"/>
      <c r="AY60" s="736"/>
      <c r="AZ60" s="736"/>
      <c r="BA60" s="736"/>
      <c r="BB60" s="736"/>
      <c r="BC60" s="736"/>
      <c r="BD60" s="736"/>
      <c r="BE60" s="736"/>
      <c r="BF60" s="736"/>
      <c r="BG60" s="736"/>
      <c r="BH60" s="736"/>
      <c r="BI60" s="736"/>
      <c r="BJ60" s="736"/>
      <c r="BK60" s="736"/>
      <c r="BL60" s="736"/>
      <c r="BM60" s="736"/>
      <c r="BN60" s="736"/>
    </row>
    <row r="61" spans="1:66" s="7" customFormat="1" ht="12.75" customHeight="1">
      <c r="A61" s="726" t="s">
        <v>130</v>
      </c>
      <c r="B61" s="591"/>
      <c r="C61" s="595" t="s">
        <v>204</v>
      </c>
      <c r="D61" s="741"/>
      <c r="E61" s="81">
        <f>SUM(E28+E38+E47+E51)+E32+E43</f>
        <v>18144</v>
      </c>
      <c r="F61" s="728">
        <f>SUM(F28+F38+F47+F51)+F32</f>
        <v>17241</v>
      </c>
      <c r="G61" s="728">
        <f>SUM(G28+G38+G47+G51)+G32+G43</f>
        <v>17354</v>
      </c>
      <c r="H61" s="728">
        <f>SUM(H28+H38+H47+H51)+H32+H43</f>
        <v>17441</v>
      </c>
      <c r="I61" s="728">
        <f>SUM(I28+I38+I47+I51)+I32+I43</f>
        <v>17441</v>
      </c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736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6"/>
      <c r="AW61" s="736"/>
      <c r="AX61" s="736"/>
      <c r="AY61" s="736"/>
      <c r="AZ61" s="736"/>
      <c r="BA61" s="736"/>
      <c r="BB61" s="736"/>
      <c r="BC61" s="736"/>
      <c r="BD61" s="736"/>
      <c r="BE61" s="736"/>
      <c r="BF61" s="736"/>
      <c r="BG61" s="736"/>
      <c r="BH61" s="736"/>
      <c r="BI61" s="736"/>
      <c r="BJ61" s="736"/>
      <c r="BK61" s="736"/>
      <c r="BL61" s="736"/>
      <c r="BM61" s="736"/>
      <c r="BN61" s="736"/>
    </row>
    <row r="62" spans="1:66" s="7" customFormat="1" ht="12.75" customHeight="1">
      <c r="A62" s="726" t="s">
        <v>131</v>
      </c>
      <c r="B62" s="591"/>
      <c r="C62" s="595" t="s">
        <v>340</v>
      </c>
      <c r="D62" s="741"/>
      <c r="E62" s="81">
        <f>SUM(E29+E33+E39+E48+E52+E57)+E35</f>
        <v>20189</v>
      </c>
      <c r="F62" s="728">
        <f>SUM(F29+F33+F39+F48+F52+F57)</f>
        <v>20255</v>
      </c>
      <c r="G62" s="728">
        <f>SUM(G29+G33+G39+G48+G52+G57)</f>
        <v>20255</v>
      </c>
      <c r="H62" s="728">
        <f>SUM(H29+H33+H39+H48+H52+H57)</f>
        <v>21841</v>
      </c>
      <c r="I62" s="728">
        <f>SUM(I29+I33+I39+I48+I52+I57)</f>
        <v>23164</v>
      </c>
      <c r="J62" s="736"/>
      <c r="K62" s="736"/>
      <c r="L62" s="736"/>
      <c r="M62" s="736"/>
      <c r="N62" s="736"/>
      <c r="O62" s="736"/>
      <c r="P62" s="736"/>
      <c r="Q62" s="736"/>
      <c r="R62" s="736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  <c r="AH62" s="736"/>
      <c r="AI62" s="736"/>
      <c r="AJ62" s="736"/>
      <c r="AK62" s="736"/>
      <c r="AL62" s="736"/>
      <c r="AM62" s="736"/>
      <c r="AN62" s="736"/>
      <c r="AO62" s="736"/>
      <c r="AP62" s="736"/>
      <c r="AQ62" s="736"/>
      <c r="AR62" s="736"/>
      <c r="AS62" s="736"/>
      <c r="AT62" s="736"/>
      <c r="AU62" s="736"/>
      <c r="AV62" s="736"/>
      <c r="AW62" s="736"/>
      <c r="AX62" s="736"/>
      <c r="AY62" s="736"/>
      <c r="AZ62" s="736"/>
      <c r="BA62" s="736"/>
      <c r="BB62" s="736"/>
      <c r="BC62" s="736"/>
      <c r="BD62" s="736"/>
      <c r="BE62" s="736"/>
      <c r="BF62" s="736"/>
      <c r="BG62" s="736"/>
      <c r="BH62" s="736"/>
      <c r="BI62" s="736"/>
      <c r="BJ62" s="736"/>
      <c r="BK62" s="736"/>
      <c r="BL62" s="736"/>
      <c r="BM62" s="736"/>
      <c r="BN62" s="736"/>
    </row>
    <row r="63" spans="1:66" s="7" customFormat="1" ht="12.75" customHeight="1" thickBot="1">
      <c r="A63" s="742" t="s">
        <v>133</v>
      </c>
      <c r="B63" s="743"/>
      <c r="C63" s="744" t="s">
        <v>376</v>
      </c>
      <c r="D63" s="745"/>
      <c r="E63" s="746">
        <f>SUM(E53+E58)+E40</f>
        <v>466</v>
      </c>
      <c r="F63" s="747">
        <f>SUM(F53+F58)+F40</f>
        <v>680</v>
      </c>
      <c r="G63" s="747">
        <f>SUM(G53+G58)+G40</f>
        <v>680</v>
      </c>
      <c r="H63" s="747">
        <f>SUM(H53+H58)+H40</f>
        <v>680</v>
      </c>
      <c r="I63" s="747">
        <f>SUM(I53+I58)+I40</f>
        <v>680</v>
      </c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6"/>
      <c r="AL63" s="736"/>
      <c r="AM63" s="736"/>
      <c r="AN63" s="736"/>
      <c r="AO63" s="736"/>
      <c r="AP63" s="736"/>
      <c r="AQ63" s="736"/>
      <c r="AR63" s="736"/>
      <c r="AS63" s="736"/>
      <c r="AT63" s="736"/>
      <c r="AU63" s="736"/>
      <c r="AV63" s="736"/>
      <c r="AW63" s="736"/>
      <c r="AX63" s="736"/>
      <c r="AY63" s="736"/>
      <c r="AZ63" s="736"/>
      <c r="BA63" s="736"/>
      <c r="BB63" s="736"/>
      <c r="BC63" s="736"/>
      <c r="BD63" s="736"/>
      <c r="BE63" s="736"/>
      <c r="BF63" s="736"/>
      <c r="BG63" s="736"/>
      <c r="BH63" s="736"/>
      <c r="BI63" s="736"/>
      <c r="BJ63" s="736"/>
      <c r="BK63" s="736"/>
      <c r="BL63" s="736"/>
      <c r="BM63" s="736"/>
      <c r="BN63" s="736"/>
    </row>
    <row r="64" spans="1:9" s="749" customFormat="1" ht="12.75" customHeight="1">
      <c r="A64" s="748"/>
      <c r="B64" s="748"/>
      <c r="D64" s="750"/>
      <c r="E64" s="751"/>
      <c r="F64" s="751"/>
      <c r="G64" s="751"/>
      <c r="H64" s="751"/>
      <c r="I64" s="751"/>
    </row>
  </sheetData>
  <sheetProtection selectLockedCells="1" selectUnlockedCells="1"/>
  <mergeCells count="23">
    <mergeCell ref="A24:B25"/>
    <mergeCell ref="A7:B8"/>
    <mergeCell ref="A9:B9"/>
    <mergeCell ref="A18:B18"/>
    <mergeCell ref="A19:B19"/>
    <mergeCell ref="A20:B20"/>
    <mergeCell ref="A21:B21"/>
    <mergeCell ref="A1:I1"/>
    <mergeCell ref="A2:I2"/>
    <mergeCell ref="A4:I4"/>
    <mergeCell ref="F6:I6"/>
    <mergeCell ref="C21:D21"/>
    <mergeCell ref="A22:B22"/>
    <mergeCell ref="C22:D22"/>
    <mergeCell ref="A3:I3"/>
    <mergeCell ref="A16:B16"/>
    <mergeCell ref="A17:B17"/>
    <mergeCell ref="A14:B14"/>
    <mergeCell ref="A15:B15"/>
    <mergeCell ref="A10:B10"/>
    <mergeCell ref="A11:B11"/>
    <mergeCell ref="A12:B12"/>
    <mergeCell ref="A13:B13"/>
  </mergeCells>
  <printOptions/>
  <pageMargins left="0.8270833333333333" right="0.11805555555555555" top="0.9840277777777777" bottom="0.9840277777777777" header="0.5118055555555555" footer="0.5118055555555555"/>
  <pageSetup fitToWidth="0" fitToHeight="1" horizontalDpi="300" verticalDpi="3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zoomScalePageLayoutView="0" workbookViewId="0" topLeftCell="A1">
      <selection activeCell="A2" sqref="A2:I2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5" width="10.8515625" style="57" customWidth="1"/>
    <col min="6" max="6" width="11.28125" style="57" customWidth="1"/>
    <col min="7" max="7" width="10.8515625" style="57" customWidth="1"/>
    <col min="8" max="8" width="12.8515625" style="57" customWidth="1"/>
    <col min="9" max="9" width="12.140625" style="57" customWidth="1"/>
    <col min="10" max="10" width="7.7109375" style="0" customWidth="1"/>
    <col min="11" max="11" width="9.8515625" style="0" customWidth="1"/>
  </cols>
  <sheetData>
    <row r="1" spans="1:8" s="752" customFormat="1" ht="18" customHeight="1">
      <c r="A1" s="1410" t="s">
        <v>956</v>
      </c>
      <c r="B1" s="1410"/>
      <c r="C1" s="1410"/>
      <c r="D1" s="1410"/>
      <c r="E1" s="1410"/>
      <c r="F1" s="1410"/>
      <c r="G1" s="1410"/>
      <c r="H1" s="1410"/>
    </row>
    <row r="2" spans="1:9" ht="15" customHeight="1">
      <c r="A2" s="1411" t="s">
        <v>938</v>
      </c>
      <c r="B2" s="1411"/>
      <c r="C2" s="1411"/>
      <c r="D2" s="1411"/>
      <c r="E2" s="1411"/>
      <c r="F2" s="1411"/>
      <c r="G2" s="1411"/>
      <c r="H2" s="1411"/>
      <c r="I2" s="1411"/>
    </row>
    <row r="3" spans="1:9" ht="12.75" customHeight="1">
      <c r="A3" s="1498" t="s">
        <v>955</v>
      </c>
      <c r="B3" s="1498"/>
      <c r="C3" s="1498"/>
      <c r="D3" s="1498"/>
      <c r="E3" s="1498"/>
      <c r="F3" s="1498"/>
      <c r="G3" s="1498"/>
      <c r="H3" s="1498"/>
      <c r="I3" s="1498"/>
    </row>
    <row r="4" spans="1:9" ht="21" customHeight="1">
      <c r="A4" s="1412" t="s">
        <v>719</v>
      </c>
      <c r="B4" s="1412"/>
      <c r="C4" s="1412"/>
      <c r="D4" s="1412"/>
      <c r="E4" s="1412"/>
      <c r="F4" s="1412"/>
      <c r="G4" s="1412"/>
      <c r="H4" s="1412"/>
      <c r="I4"/>
    </row>
    <row r="5" spans="3:4" ht="21" customHeight="1">
      <c r="C5" s="753"/>
      <c r="D5" s="753"/>
    </row>
    <row r="6" spans="6:9" ht="12.75" customHeight="1" thickBot="1">
      <c r="F6" s="1355" t="s">
        <v>155</v>
      </c>
      <c r="G6" s="1355"/>
      <c r="H6" s="1355"/>
      <c r="I6" s="1355"/>
    </row>
    <row r="7" spans="1:9" ht="38.25" customHeight="1" thickBot="1">
      <c r="A7" s="1413" t="s">
        <v>156</v>
      </c>
      <c r="B7" s="1413"/>
      <c r="C7" s="1414" t="s">
        <v>157</v>
      </c>
      <c r="D7" s="1414"/>
      <c r="E7" s="754" t="s">
        <v>158</v>
      </c>
      <c r="F7" s="755" t="s">
        <v>159</v>
      </c>
      <c r="G7" s="755" t="s">
        <v>201</v>
      </c>
      <c r="H7" s="755" t="s">
        <v>162</v>
      </c>
      <c r="I7" s="755" t="s">
        <v>905</v>
      </c>
    </row>
    <row r="8" spans="1:9" ht="12.75" customHeight="1">
      <c r="A8" s="1413"/>
      <c r="B8" s="1413"/>
      <c r="C8" s="756" t="s">
        <v>163</v>
      </c>
      <c r="D8" s="757"/>
      <c r="E8" s="758" t="s">
        <v>164</v>
      </c>
      <c r="F8" s="759" t="s">
        <v>165</v>
      </c>
      <c r="G8" s="759" t="s">
        <v>166</v>
      </c>
      <c r="H8" s="759" t="s">
        <v>167</v>
      </c>
      <c r="I8" s="759" t="s">
        <v>168</v>
      </c>
    </row>
    <row r="9" spans="1:9" ht="12.75" customHeight="1">
      <c r="A9" s="1402" t="s">
        <v>38</v>
      </c>
      <c r="B9" s="1402"/>
      <c r="C9" s="383" t="s">
        <v>323</v>
      </c>
      <c r="D9" s="760"/>
      <c r="E9" s="761">
        <v>465</v>
      </c>
      <c r="F9" s="369">
        <v>600</v>
      </c>
      <c r="G9" s="369">
        <v>600</v>
      </c>
      <c r="H9" s="369">
        <v>600</v>
      </c>
      <c r="I9" s="369">
        <v>300</v>
      </c>
    </row>
    <row r="10" spans="1:9" ht="12.75" customHeight="1">
      <c r="A10" s="1408" t="s">
        <v>40</v>
      </c>
      <c r="B10" s="1408"/>
      <c r="C10" s="762" t="s">
        <v>678</v>
      </c>
      <c r="D10" s="763"/>
      <c r="E10" s="426">
        <v>10</v>
      </c>
      <c r="F10" s="427">
        <v>0</v>
      </c>
      <c r="G10" s="427">
        <v>0</v>
      </c>
      <c r="H10" s="427">
        <v>0</v>
      </c>
      <c r="I10" s="427">
        <v>0</v>
      </c>
    </row>
    <row r="11" spans="1:9" ht="12.75" customHeight="1">
      <c r="A11" s="1408" t="s">
        <v>47</v>
      </c>
      <c r="B11" s="1408"/>
      <c r="C11" s="762" t="s">
        <v>704</v>
      </c>
      <c r="D11" s="763"/>
      <c r="E11" s="426">
        <f>SUM(E9)+E10</f>
        <v>475</v>
      </c>
      <c r="F11" s="427">
        <f>SUM(F9)</f>
        <v>600</v>
      </c>
      <c r="G11" s="427">
        <f>SUM(G9)</f>
        <v>600</v>
      </c>
      <c r="H11" s="427">
        <f>SUM(H9)</f>
        <v>600</v>
      </c>
      <c r="I11" s="427">
        <f>SUM(I9)</f>
        <v>300</v>
      </c>
    </row>
    <row r="12" spans="1:9" ht="12.75" customHeight="1">
      <c r="A12" s="1402" t="s">
        <v>49</v>
      </c>
      <c r="B12" s="1402"/>
      <c r="C12" s="358" t="s">
        <v>720</v>
      </c>
      <c r="D12" s="692"/>
      <c r="E12" s="761">
        <f>SUM(E13:E14)</f>
        <v>11904</v>
      </c>
      <c r="F12" s="369">
        <f>SUM(F13:F14)</f>
        <v>10624</v>
      </c>
      <c r="G12" s="369">
        <f>SUM(G13:G14)</f>
        <v>11578</v>
      </c>
      <c r="H12" s="369">
        <f>SUM(H13:H14)</f>
        <v>13728</v>
      </c>
      <c r="I12" s="369">
        <f>SUM(I13:I14)</f>
        <v>14819</v>
      </c>
    </row>
    <row r="13" spans="1:9" ht="12.75" customHeight="1">
      <c r="A13" s="1402" t="s">
        <v>51</v>
      </c>
      <c r="B13" s="1402"/>
      <c r="C13" s="764" t="s">
        <v>706</v>
      </c>
      <c r="D13" s="765"/>
      <c r="E13" s="766">
        <v>4044</v>
      </c>
      <c r="F13" s="767">
        <v>4028</v>
      </c>
      <c r="G13" s="767">
        <v>4036</v>
      </c>
      <c r="H13" s="767">
        <v>4036</v>
      </c>
      <c r="I13" s="767">
        <v>4146</v>
      </c>
    </row>
    <row r="14" spans="1:9" ht="12.75" customHeight="1">
      <c r="A14" s="1409" t="s">
        <v>53</v>
      </c>
      <c r="B14" s="1409"/>
      <c r="C14" s="768" t="s">
        <v>707</v>
      </c>
      <c r="D14" s="712"/>
      <c r="E14" s="769">
        <v>7860</v>
      </c>
      <c r="F14" s="770">
        <v>6596</v>
      </c>
      <c r="G14" s="770">
        <v>7542</v>
      </c>
      <c r="H14" s="770">
        <v>9692</v>
      </c>
      <c r="I14" s="770">
        <v>10673</v>
      </c>
    </row>
    <row r="15" spans="1:9" s="1" customFormat="1" ht="12.75" customHeight="1">
      <c r="A15" s="1402" t="s">
        <v>55</v>
      </c>
      <c r="B15" s="1402"/>
      <c r="C15" s="1403" t="s">
        <v>232</v>
      </c>
      <c r="D15" s="1403"/>
      <c r="E15" s="761">
        <v>129</v>
      </c>
      <c r="F15" s="369">
        <v>330</v>
      </c>
      <c r="G15" s="369">
        <v>330</v>
      </c>
      <c r="H15" s="369">
        <v>330</v>
      </c>
      <c r="I15" s="369">
        <v>330</v>
      </c>
    </row>
    <row r="16" spans="1:9" s="1" customFormat="1" ht="12.75" customHeight="1" thickBot="1">
      <c r="A16" s="1404" t="s">
        <v>57</v>
      </c>
      <c r="B16" s="1404"/>
      <c r="C16" s="1405" t="s">
        <v>192</v>
      </c>
      <c r="D16" s="1405"/>
      <c r="E16" s="772">
        <f>SUM(E12+E15)</f>
        <v>12033</v>
      </c>
      <c r="F16" s="773">
        <f>SUM(F12+F15)</f>
        <v>10954</v>
      </c>
      <c r="G16" s="773">
        <f>SUM(G12+G15)</f>
        <v>11908</v>
      </c>
      <c r="H16" s="773">
        <f>SUM(H12+H15)</f>
        <v>14058</v>
      </c>
      <c r="I16" s="773">
        <f>SUM(I12+I15)</f>
        <v>15149</v>
      </c>
    </row>
    <row r="17" spans="1:9" ht="12.75" customHeight="1" thickBot="1">
      <c r="A17" s="1406" t="s">
        <v>86</v>
      </c>
      <c r="B17" s="1406"/>
      <c r="C17" s="774" t="s">
        <v>116</v>
      </c>
      <c r="D17" s="775"/>
      <c r="E17" s="776">
        <f>SUM(E9+E12+E15)+E10</f>
        <v>12508</v>
      </c>
      <c r="F17" s="777">
        <f>SUM(F9+F12+F15)</f>
        <v>11554</v>
      </c>
      <c r="G17" s="777">
        <f>SUM(G9+G12+G15)</f>
        <v>12508</v>
      </c>
      <c r="H17" s="777">
        <f>SUM(H9+H12+H15)</f>
        <v>14658</v>
      </c>
      <c r="I17" s="777">
        <f>SUM(I9+I12+I15)</f>
        <v>15449</v>
      </c>
    </row>
    <row r="18" spans="1:9" s="241" customFormat="1" ht="12.75" customHeight="1" thickBot="1">
      <c r="A18" s="397"/>
      <c r="B18" s="397"/>
      <c r="C18" s="398"/>
      <c r="D18" s="398"/>
      <c r="E18" s="778"/>
      <c r="F18" s="778"/>
      <c r="G18" s="778"/>
      <c r="H18" s="778"/>
      <c r="I18" s="778"/>
    </row>
    <row r="19" spans="1:9" ht="49.5" customHeight="1" thickBot="1">
      <c r="A19" s="1407" t="s">
        <v>156</v>
      </c>
      <c r="B19" s="1407"/>
      <c r="C19" s="779" t="s">
        <v>119</v>
      </c>
      <c r="D19" s="780" t="s">
        <v>721</v>
      </c>
      <c r="E19" s="415" t="s">
        <v>158</v>
      </c>
      <c r="F19" s="781" t="s">
        <v>159</v>
      </c>
      <c r="G19" s="782" t="s">
        <v>201</v>
      </c>
      <c r="H19" s="782" t="s">
        <v>162</v>
      </c>
      <c r="I19" s="782" t="s">
        <v>905</v>
      </c>
    </row>
    <row r="20" spans="1:9" ht="12.75" customHeight="1">
      <c r="A20" s="1407"/>
      <c r="B20" s="1407"/>
      <c r="C20" s="783" t="s">
        <v>163</v>
      </c>
      <c r="D20" s="8" t="s">
        <v>164</v>
      </c>
      <c r="E20" s="784" t="s">
        <v>165</v>
      </c>
      <c r="F20" s="784" t="s">
        <v>166</v>
      </c>
      <c r="G20" s="164" t="s">
        <v>167</v>
      </c>
      <c r="H20" s="164" t="s">
        <v>168</v>
      </c>
      <c r="I20" s="164" t="s">
        <v>228</v>
      </c>
    </row>
    <row r="21" spans="1:9" ht="12.75" customHeight="1">
      <c r="A21" s="785" t="s">
        <v>59</v>
      </c>
      <c r="B21" s="357" t="s">
        <v>169</v>
      </c>
      <c r="C21" s="532" t="s">
        <v>493</v>
      </c>
      <c r="D21" s="425">
        <v>2.5</v>
      </c>
      <c r="E21" s="786">
        <f>SUM(E22:E25)</f>
        <v>10610</v>
      </c>
      <c r="F21" s="786">
        <f>SUM(F22:F25)</f>
        <v>9553</v>
      </c>
      <c r="G21" s="76">
        <f>SUM(G22:G25)</f>
        <v>10507</v>
      </c>
      <c r="H21" s="76">
        <f>SUM(H22:H25)</f>
        <v>10507</v>
      </c>
      <c r="I21" s="76">
        <f>SUM(I22:I25)</f>
        <v>12086</v>
      </c>
    </row>
    <row r="22" spans="1:9" ht="12.75" customHeight="1">
      <c r="A22" s="787" t="s">
        <v>61</v>
      </c>
      <c r="B22" s="363"/>
      <c r="C22" s="316" t="s">
        <v>203</v>
      </c>
      <c r="D22" s="430"/>
      <c r="E22" s="368">
        <v>5460</v>
      </c>
      <c r="F22" s="368">
        <v>5766</v>
      </c>
      <c r="G22" s="788">
        <v>5803</v>
      </c>
      <c r="H22" s="788">
        <v>5803</v>
      </c>
      <c r="I22" s="788">
        <v>5803</v>
      </c>
    </row>
    <row r="23" spans="1:9" ht="12.75" customHeight="1">
      <c r="A23" s="787" t="s">
        <v>63</v>
      </c>
      <c r="B23" s="363"/>
      <c r="C23" s="316" t="s">
        <v>204</v>
      </c>
      <c r="D23" s="430"/>
      <c r="E23" s="368">
        <v>1485</v>
      </c>
      <c r="F23" s="368">
        <v>1577</v>
      </c>
      <c r="G23" s="788">
        <v>1730</v>
      </c>
      <c r="H23" s="788">
        <v>1730</v>
      </c>
      <c r="I23" s="788">
        <v>1730</v>
      </c>
    </row>
    <row r="24" spans="1:9" ht="12.75" customHeight="1">
      <c r="A24" s="787" t="s">
        <v>65</v>
      </c>
      <c r="B24" s="363"/>
      <c r="C24" s="316" t="s">
        <v>340</v>
      </c>
      <c r="D24" s="430"/>
      <c r="E24" s="368">
        <v>3172</v>
      </c>
      <c r="F24" s="368">
        <v>2210</v>
      </c>
      <c r="G24" s="788">
        <v>2974</v>
      </c>
      <c r="H24" s="788">
        <v>2974</v>
      </c>
      <c r="I24" s="788">
        <v>4155</v>
      </c>
    </row>
    <row r="25" spans="1:9" ht="12.75" customHeight="1">
      <c r="A25" s="787" t="s">
        <v>92</v>
      </c>
      <c r="B25" s="363"/>
      <c r="C25" s="316" t="s">
        <v>338</v>
      </c>
      <c r="D25" s="430"/>
      <c r="E25" s="368">
        <v>493</v>
      </c>
      <c r="F25" s="368">
        <v>0</v>
      </c>
      <c r="G25" s="788">
        <v>0</v>
      </c>
      <c r="H25" s="788">
        <v>0</v>
      </c>
      <c r="I25" s="788">
        <v>398</v>
      </c>
    </row>
    <row r="26" spans="1:9" ht="12.75" customHeight="1">
      <c r="A26" s="785" t="s">
        <v>66</v>
      </c>
      <c r="B26" s="357" t="s">
        <v>173</v>
      </c>
      <c r="C26" s="13" t="s">
        <v>499</v>
      </c>
      <c r="D26" s="425">
        <v>0.5</v>
      </c>
      <c r="E26" s="386">
        <f>SUM(E27:E30)</f>
        <v>1898</v>
      </c>
      <c r="F26" s="386">
        <f>SUM(F27:F29)</f>
        <v>2001</v>
      </c>
      <c r="G26" s="167">
        <f>SUM(G27:G29)</f>
        <v>2001</v>
      </c>
      <c r="H26" s="167">
        <f>SUM(H27:H29)</f>
        <v>2001</v>
      </c>
      <c r="I26" s="167">
        <f>SUM(I27:I29)</f>
        <v>2001</v>
      </c>
    </row>
    <row r="27" spans="1:9" ht="12.75" customHeight="1">
      <c r="A27" s="787" t="s">
        <v>67</v>
      </c>
      <c r="B27" s="363"/>
      <c r="C27" s="316" t="s">
        <v>203</v>
      </c>
      <c r="D27" s="430"/>
      <c r="E27" s="368">
        <v>462</v>
      </c>
      <c r="F27" s="368">
        <v>786</v>
      </c>
      <c r="G27" s="788">
        <v>786</v>
      </c>
      <c r="H27" s="788">
        <v>786</v>
      </c>
      <c r="I27" s="788">
        <v>786</v>
      </c>
    </row>
    <row r="28" spans="1:9" ht="12.75" customHeight="1">
      <c r="A28" s="787" t="s">
        <v>68</v>
      </c>
      <c r="B28" s="363"/>
      <c r="C28" s="316" t="s">
        <v>204</v>
      </c>
      <c r="D28" s="430"/>
      <c r="E28" s="368">
        <v>106</v>
      </c>
      <c r="F28" s="368">
        <v>215</v>
      </c>
      <c r="G28" s="788">
        <v>215</v>
      </c>
      <c r="H28" s="788">
        <v>215</v>
      </c>
      <c r="I28" s="788">
        <v>215</v>
      </c>
    </row>
    <row r="29" spans="1:9" ht="12.75" customHeight="1">
      <c r="A29" s="789" t="s">
        <v>70</v>
      </c>
      <c r="B29" s="540"/>
      <c r="C29" s="541" t="s">
        <v>340</v>
      </c>
      <c r="D29" s="542"/>
      <c r="E29" s="790">
        <v>1263</v>
      </c>
      <c r="F29" s="790">
        <v>1000</v>
      </c>
      <c r="G29" s="187">
        <v>1000</v>
      </c>
      <c r="H29" s="187">
        <v>1000</v>
      </c>
      <c r="I29" s="187">
        <v>1000</v>
      </c>
    </row>
    <row r="30" spans="1:9" ht="12.75" customHeight="1">
      <c r="A30" s="129" t="s">
        <v>97</v>
      </c>
      <c r="B30" s="540"/>
      <c r="C30" s="541" t="s">
        <v>338</v>
      </c>
      <c r="D30" s="542"/>
      <c r="E30" s="186">
        <v>67</v>
      </c>
      <c r="F30" s="790">
        <v>0</v>
      </c>
      <c r="G30" s="187">
        <v>0</v>
      </c>
      <c r="H30" s="187">
        <v>0</v>
      </c>
      <c r="I30" s="187">
        <v>0</v>
      </c>
    </row>
    <row r="31" spans="1:9" ht="12.75" customHeight="1">
      <c r="A31" s="1118" t="s">
        <v>99</v>
      </c>
      <c r="B31" s="1121" t="s">
        <v>177</v>
      </c>
      <c r="C31" s="13" t="s">
        <v>910</v>
      </c>
      <c r="D31" s="425">
        <v>0</v>
      </c>
      <c r="E31" s="386"/>
      <c r="F31" s="386">
        <f>SUM(F32:F34)</f>
        <v>0</v>
      </c>
      <c r="G31" s="167">
        <f>SUM(G32:G34)</f>
        <v>0</v>
      </c>
      <c r="H31" s="167">
        <f>SUM(H32:H34)</f>
        <v>2150</v>
      </c>
      <c r="I31" s="167">
        <f>SUM(I32:I34)</f>
        <v>669</v>
      </c>
    </row>
    <row r="32" spans="1:9" ht="12.75" customHeight="1">
      <c r="A32" s="1118" t="s">
        <v>101</v>
      </c>
      <c r="B32" s="1121"/>
      <c r="C32" s="316" t="s">
        <v>203</v>
      </c>
      <c r="D32" s="430"/>
      <c r="E32" s="368"/>
      <c r="F32" s="368">
        <v>0</v>
      </c>
      <c r="G32" s="788">
        <v>0</v>
      </c>
      <c r="H32" s="788">
        <v>0</v>
      </c>
      <c r="I32" s="788">
        <v>0</v>
      </c>
    </row>
    <row r="33" spans="1:9" ht="12.75" customHeight="1">
      <c r="A33" s="1118" t="s">
        <v>103</v>
      </c>
      <c r="B33" s="1121"/>
      <c r="C33" s="316" t="s">
        <v>204</v>
      </c>
      <c r="D33" s="430"/>
      <c r="E33" s="368"/>
      <c r="F33" s="368">
        <v>0</v>
      </c>
      <c r="G33" s="788">
        <v>0</v>
      </c>
      <c r="H33" s="788">
        <v>0</v>
      </c>
      <c r="I33" s="788">
        <v>0</v>
      </c>
    </row>
    <row r="34" spans="1:9" ht="12.75" customHeight="1">
      <c r="A34" s="1118" t="s">
        <v>105</v>
      </c>
      <c r="B34" s="1121"/>
      <c r="C34" s="541" t="s">
        <v>340</v>
      </c>
      <c r="D34" s="542"/>
      <c r="E34" s="790"/>
      <c r="F34" s="790">
        <v>0</v>
      </c>
      <c r="G34" s="187">
        <v>0</v>
      </c>
      <c r="H34" s="187">
        <v>2150</v>
      </c>
      <c r="I34" s="187">
        <v>669</v>
      </c>
    </row>
    <row r="35" spans="1:9" ht="12.75" customHeight="1">
      <c r="A35" s="1118" t="s">
        <v>107</v>
      </c>
      <c r="B35" s="1121" t="s">
        <v>179</v>
      </c>
      <c r="C35" s="13" t="s">
        <v>911</v>
      </c>
      <c r="D35" s="425">
        <v>0</v>
      </c>
      <c r="E35" s="386"/>
      <c r="F35" s="386">
        <v>0</v>
      </c>
      <c r="G35" s="167">
        <v>0</v>
      </c>
      <c r="H35" s="167">
        <v>0</v>
      </c>
      <c r="I35" s="167">
        <f>SUM(I36:I38)</f>
        <v>693</v>
      </c>
    </row>
    <row r="36" spans="1:9" ht="12.75" customHeight="1">
      <c r="A36" s="1118" t="s">
        <v>109</v>
      </c>
      <c r="B36" s="1121"/>
      <c r="C36" s="316" t="s">
        <v>203</v>
      </c>
      <c r="D36" s="430"/>
      <c r="E36" s="368"/>
      <c r="F36" s="368">
        <v>0</v>
      </c>
      <c r="G36" s="788">
        <v>0</v>
      </c>
      <c r="H36" s="788">
        <v>0</v>
      </c>
      <c r="I36" s="788">
        <v>0</v>
      </c>
    </row>
    <row r="37" spans="1:9" ht="12.75" customHeight="1">
      <c r="A37" s="1118" t="s">
        <v>111</v>
      </c>
      <c r="B37" s="1121"/>
      <c r="C37" s="316" t="s">
        <v>204</v>
      </c>
      <c r="D37" s="430"/>
      <c r="E37" s="368"/>
      <c r="F37" s="368">
        <v>0</v>
      </c>
      <c r="G37" s="788"/>
      <c r="H37" s="788">
        <v>0</v>
      </c>
      <c r="I37" s="788">
        <v>0</v>
      </c>
    </row>
    <row r="38" spans="1:9" ht="12.75" customHeight="1">
      <c r="A38" s="1118" t="s">
        <v>113</v>
      </c>
      <c r="B38" s="1121"/>
      <c r="C38" s="541" t="s">
        <v>340</v>
      </c>
      <c r="D38" s="542"/>
      <c r="E38" s="790"/>
      <c r="F38" s="790">
        <v>0</v>
      </c>
      <c r="G38" s="187"/>
      <c r="H38" s="187">
        <v>0</v>
      </c>
      <c r="I38" s="187">
        <v>693</v>
      </c>
    </row>
    <row r="39" spans="1:9" ht="26.25" customHeight="1" thickBot="1">
      <c r="A39" s="792" t="s">
        <v>115</v>
      </c>
      <c r="B39" s="793" t="s">
        <v>180</v>
      </c>
      <c r="C39" s="794" t="s">
        <v>722</v>
      </c>
      <c r="D39" s="795">
        <f>SUM(D20:D29)</f>
        <v>3</v>
      </c>
      <c r="E39" s="796">
        <f>SUM(E40:E43)</f>
        <v>12508</v>
      </c>
      <c r="F39" s="796">
        <f>SUM(F40:F43)</f>
        <v>11554</v>
      </c>
      <c r="G39" s="797">
        <f>SUM(G40:G43)</f>
        <v>12508</v>
      </c>
      <c r="H39" s="797">
        <f>SUM(H40:H43)</f>
        <v>14658</v>
      </c>
      <c r="I39" s="797">
        <f>SUM(I40:I43)</f>
        <v>15449</v>
      </c>
    </row>
    <row r="40" spans="1:9" ht="12.75" customHeight="1">
      <c r="A40" s="1119" t="s">
        <v>117</v>
      </c>
      <c r="B40" s="737"/>
      <c r="C40" s="738" t="s">
        <v>203</v>
      </c>
      <c r="D40" s="739">
        <f>D39</f>
        <v>3</v>
      </c>
      <c r="E40" s="740">
        <f aca="true" t="shared" si="0" ref="E40:H41">E22+E27</f>
        <v>5922</v>
      </c>
      <c r="F40" s="740">
        <f t="shared" si="0"/>
        <v>6552</v>
      </c>
      <c r="G40" s="798">
        <f t="shared" si="0"/>
        <v>6589</v>
      </c>
      <c r="H40" s="798">
        <f t="shared" si="0"/>
        <v>6589</v>
      </c>
      <c r="I40" s="798">
        <f>I22+I27+I32+I36</f>
        <v>6589</v>
      </c>
    </row>
    <row r="41" spans="1:9" ht="12.75" customHeight="1">
      <c r="A41" s="1119" t="s">
        <v>118</v>
      </c>
      <c r="B41" s="591"/>
      <c r="C41" s="595" t="s">
        <v>204</v>
      </c>
      <c r="D41" s="741"/>
      <c r="E41" s="728">
        <f t="shared" si="0"/>
        <v>1591</v>
      </c>
      <c r="F41" s="728">
        <f t="shared" si="0"/>
        <v>1792</v>
      </c>
      <c r="G41" s="83">
        <f t="shared" si="0"/>
        <v>1945</v>
      </c>
      <c r="H41" s="83">
        <f t="shared" si="0"/>
        <v>1945</v>
      </c>
      <c r="I41" s="83">
        <f>I23+I28+I33+I37</f>
        <v>1945</v>
      </c>
    </row>
    <row r="42" spans="1:9" ht="12.75" customHeight="1">
      <c r="A42" s="1119" t="s">
        <v>120</v>
      </c>
      <c r="B42" s="591"/>
      <c r="C42" s="595" t="s">
        <v>340</v>
      </c>
      <c r="D42" s="741"/>
      <c r="E42" s="728">
        <f>E24+E29</f>
        <v>4435</v>
      </c>
      <c r="F42" s="728">
        <f>F24+F29</f>
        <v>3210</v>
      </c>
      <c r="G42" s="83">
        <f>G24+G29</f>
        <v>3974</v>
      </c>
      <c r="H42" s="83">
        <f>H24+H29+H34</f>
        <v>6124</v>
      </c>
      <c r="I42" s="83">
        <f>I24+I29+I34+I38</f>
        <v>6517</v>
      </c>
    </row>
    <row r="43" spans="1:9" ht="12.75" customHeight="1" thickBot="1">
      <c r="A43" s="1120" t="s">
        <v>122</v>
      </c>
      <c r="B43" s="743"/>
      <c r="C43" s="744" t="s">
        <v>347</v>
      </c>
      <c r="D43" s="745"/>
      <c r="E43" s="799">
        <f>SUM(E25)+E30</f>
        <v>560</v>
      </c>
      <c r="F43" s="800">
        <f>SUM(F25)</f>
        <v>0</v>
      </c>
      <c r="G43" s="801">
        <f>SUM(G25)</f>
        <v>0</v>
      </c>
      <c r="H43" s="801">
        <f>SUM(H25)</f>
        <v>0</v>
      </c>
      <c r="I43" s="801">
        <f>SUM(I25)</f>
        <v>398</v>
      </c>
    </row>
    <row r="44" spans="5:9" s="749" customFormat="1" ht="12.75" customHeight="1">
      <c r="E44" s="751"/>
      <c r="F44" s="751"/>
      <c r="G44" s="751"/>
      <c r="H44" s="751"/>
      <c r="I44" s="751"/>
    </row>
  </sheetData>
  <sheetProtection selectLockedCells="1" selectUnlockedCells="1"/>
  <mergeCells count="19">
    <mergeCell ref="A1:H1"/>
    <mergeCell ref="A4:H4"/>
    <mergeCell ref="A7:B8"/>
    <mergeCell ref="C7:D7"/>
    <mergeCell ref="F6:I6"/>
    <mergeCell ref="A3:I3"/>
    <mergeCell ref="A2:I2"/>
    <mergeCell ref="A9:B9"/>
    <mergeCell ref="A10:B10"/>
    <mergeCell ref="A11:B11"/>
    <mergeCell ref="A12:B12"/>
    <mergeCell ref="A13:B13"/>
    <mergeCell ref="A14:B14"/>
    <mergeCell ref="A15:B15"/>
    <mergeCell ref="C15:D15"/>
    <mergeCell ref="A16:B16"/>
    <mergeCell ref="C16:D16"/>
    <mergeCell ref="A17:B17"/>
    <mergeCell ref="A19:B20"/>
  </mergeCells>
  <printOptions/>
  <pageMargins left="0.9840277777777777" right="0.15763888888888888" top="0.9840277777777777" bottom="0.9840277777777777" header="0.5118055555555555" footer="0.5118055555555555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47"/>
  <sheetViews>
    <sheetView zoomScalePageLayoutView="0" workbookViewId="0" topLeftCell="A1">
      <selection activeCell="A3" sqref="A3:I3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5.7109375" style="0" customWidth="1"/>
    <col min="4" max="4" width="7.00390625" style="0" customWidth="1"/>
    <col min="5" max="5" width="13.57421875" style="802" customWidth="1"/>
    <col min="6" max="6" width="14.7109375" style="802" customWidth="1"/>
    <col min="7" max="7" width="14.57421875" style="802" customWidth="1"/>
    <col min="8" max="8" width="14.140625" style="802" customWidth="1"/>
    <col min="9" max="9" width="13.8515625" style="802" customWidth="1"/>
    <col min="10" max="10" width="9.8515625" style="0" customWidth="1"/>
  </cols>
  <sheetData>
    <row r="1" spans="1:9" s="752" customFormat="1" ht="18" customHeight="1">
      <c r="A1" s="1450" t="s">
        <v>958</v>
      </c>
      <c r="B1" s="1450"/>
      <c r="C1" s="1450"/>
      <c r="D1" s="1450"/>
      <c r="E1" s="1450"/>
      <c r="F1" s="1450"/>
      <c r="G1" s="1450"/>
      <c r="H1" s="1450"/>
      <c r="I1" s="1450"/>
    </row>
    <row r="2" spans="1:9" ht="12.75" customHeight="1">
      <c r="A2" s="1411" t="s">
        <v>938</v>
      </c>
      <c r="B2" s="1411"/>
      <c r="C2" s="1411"/>
      <c r="D2" s="1411"/>
      <c r="E2" s="1411"/>
      <c r="F2" s="1411"/>
      <c r="G2" s="1411"/>
      <c r="H2" s="1411"/>
      <c r="I2" s="1411"/>
    </row>
    <row r="3" spans="1:9" ht="12.75" customHeight="1">
      <c r="A3" s="1353" t="s">
        <v>957</v>
      </c>
      <c r="B3" s="1353"/>
      <c r="C3" s="1353"/>
      <c r="D3" s="1353"/>
      <c r="E3" s="1353"/>
      <c r="F3" s="1353"/>
      <c r="G3" s="1353"/>
      <c r="H3" s="1353"/>
      <c r="I3" s="1353"/>
    </row>
    <row r="4" spans="1:9" ht="12.75" customHeight="1">
      <c r="A4" s="803"/>
      <c r="B4" s="803"/>
      <c r="C4" s="803"/>
      <c r="D4" s="803"/>
      <c r="E4" s="803"/>
      <c r="F4"/>
      <c r="G4"/>
      <c r="H4"/>
      <c r="I4"/>
    </row>
    <row r="5" spans="1:9" ht="42.75" customHeight="1">
      <c r="A5" s="1449" t="s">
        <v>724</v>
      </c>
      <c r="B5" s="1449"/>
      <c r="C5" s="1449"/>
      <c r="D5" s="1449"/>
      <c r="E5" s="1449"/>
      <c r="F5" s="1449"/>
      <c r="G5" s="1449"/>
      <c r="H5" s="1449"/>
      <c r="I5" s="1449"/>
    </row>
    <row r="6" spans="3:4" ht="18.75" customHeight="1">
      <c r="C6" s="753"/>
      <c r="D6" s="753"/>
    </row>
    <row r="7" spans="6:9" ht="12.75" customHeight="1" thickBot="1">
      <c r="F7" s="1426" t="s">
        <v>155</v>
      </c>
      <c r="G7" s="1426"/>
      <c r="H7" s="1426"/>
      <c r="I7" s="1426"/>
    </row>
    <row r="8" spans="1:9" ht="56.25" customHeight="1" thickBot="1">
      <c r="A8" s="1338" t="s">
        <v>156</v>
      </c>
      <c r="B8" s="1338"/>
      <c r="C8" s="1448" t="s">
        <v>157</v>
      </c>
      <c r="D8" s="1448"/>
      <c r="E8" s="804" t="s">
        <v>158</v>
      </c>
      <c r="F8" s="805" t="s">
        <v>159</v>
      </c>
      <c r="G8" s="805" t="s">
        <v>725</v>
      </c>
      <c r="H8" s="805" t="s">
        <v>162</v>
      </c>
      <c r="I8" s="805" t="s">
        <v>905</v>
      </c>
    </row>
    <row r="9" spans="1:9" ht="12.75" customHeight="1">
      <c r="A9" s="1451" t="s">
        <v>163</v>
      </c>
      <c r="B9" s="1451"/>
      <c r="C9" s="1452" t="s">
        <v>164</v>
      </c>
      <c r="D9" s="1452"/>
      <c r="E9" s="806" t="s">
        <v>165</v>
      </c>
      <c r="F9" s="806" t="s">
        <v>166</v>
      </c>
      <c r="G9" s="806" t="s">
        <v>167</v>
      </c>
      <c r="H9" s="806" t="s">
        <v>168</v>
      </c>
      <c r="I9" s="806" t="s">
        <v>228</v>
      </c>
    </row>
    <row r="10" spans="1:9" ht="12.75" customHeight="1">
      <c r="A10" s="1445" t="s">
        <v>38</v>
      </c>
      <c r="B10" s="1445"/>
      <c r="C10" s="807" t="s">
        <v>283</v>
      </c>
      <c r="D10" s="808"/>
      <c r="E10" s="809">
        <f>SUM(E11)</f>
        <v>790</v>
      </c>
      <c r="F10" s="809">
        <f>SUM(F11)</f>
        <v>799</v>
      </c>
      <c r="G10" s="809">
        <f>SUM(G11)</f>
        <v>799</v>
      </c>
      <c r="H10" s="809">
        <f>SUM(H11)</f>
        <v>799</v>
      </c>
      <c r="I10" s="809">
        <f>SUM(I11)</f>
        <v>796</v>
      </c>
    </row>
    <row r="11" spans="1:9" ht="12.75" customHeight="1">
      <c r="A11" s="1440" t="s">
        <v>40</v>
      </c>
      <c r="B11" s="1440"/>
      <c r="C11" s="79" t="s">
        <v>726</v>
      </c>
      <c r="D11" s="688"/>
      <c r="E11" s="810">
        <v>790</v>
      </c>
      <c r="F11" s="810">
        <v>799</v>
      </c>
      <c r="G11" s="810">
        <v>799</v>
      </c>
      <c r="H11" s="810">
        <v>799</v>
      </c>
      <c r="I11" s="810">
        <v>796</v>
      </c>
    </row>
    <row r="12" spans="1:9" ht="12.75" customHeight="1">
      <c r="A12" s="1440" t="s">
        <v>47</v>
      </c>
      <c r="B12" s="1440"/>
      <c r="C12" s="762" t="s">
        <v>727</v>
      </c>
      <c r="D12" s="763"/>
      <c r="E12" s="811">
        <v>877</v>
      </c>
      <c r="F12" s="811">
        <v>0</v>
      </c>
      <c r="G12" s="811">
        <v>0</v>
      </c>
      <c r="H12" s="811">
        <v>0</v>
      </c>
      <c r="I12" s="811">
        <v>951</v>
      </c>
    </row>
    <row r="13" spans="1:9" ht="17.25" customHeight="1">
      <c r="A13" s="1446" t="s">
        <v>49</v>
      </c>
      <c r="B13" s="1446"/>
      <c r="C13" s="1447" t="s">
        <v>704</v>
      </c>
      <c r="D13" s="1447"/>
      <c r="E13" s="812">
        <f>SUM(E10+E12)</f>
        <v>1667</v>
      </c>
      <c r="F13" s="812">
        <f>SUM(F10+F12)</f>
        <v>799</v>
      </c>
      <c r="G13" s="812">
        <f>SUM(G10+G12)</f>
        <v>799</v>
      </c>
      <c r="H13" s="812">
        <f>SUM(H10+H12)</f>
        <v>799</v>
      </c>
      <c r="I13" s="812">
        <f>SUM(I10+I12)</f>
        <v>1747</v>
      </c>
    </row>
    <row r="14" spans="1:9" s="1" customFormat="1" ht="12.75" customHeight="1">
      <c r="A14" s="1440" t="s">
        <v>51</v>
      </c>
      <c r="B14" s="1440"/>
      <c r="C14" s="383" t="s">
        <v>728</v>
      </c>
      <c r="D14" s="760"/>
      <c r="E14" s="813">
        <v>188</v>
      </c>
      <c r="F14" s="813">
        <v>2407</v>
      </c>
      <c r="G14" s="813">
        <v>2407</v>
      </c>
      <c r="H14" s="813">
        <v>2407</v>
      </c>
      <c r="I14" s="813">
        <v>2407</v>
      </c>
    </row>
    <row r="15" spans="1:9" ht="12.75" customHeight="1">
      <c r="A15" s="1440" t="s">
        <v>53</v>
      </c>
      <c r="B15" s="1440"/>
      <c r="C15" s="358" t="s">
        <v>720</v>
      </c>
      <c r="D15" s="692"/>
      <c r="E15" s="810">
        <f>SUM(E16:E17)</f>
        <v>74821</v>
      </c>
      <c r="F15" s="810">
        <f>SUM(F16:F17)</f>
        <v>74200</v>
      </c>
      <c r="G15" s="810">
        <f>SUM(G16:G17)</f>
        <v>74226</v>
      </c>
      <c r="H15" s="810">
        <f>SUM(H16:H17)</f>
        <v>74226</v>
      </c>
      <c r="I15" s="810">
        <v>72748</v>
      </c>
    </row>
    <row r="16" spans="1:9" s="362" customFormat="1" ht="12.75" customHeight="1">
      <c r="A16" s="1441" t="s">
        <v>55</v>
      </c>
      <c r="B16" s="1441"/>
      <c r="C16" s="1442" t="s">
        <v>706</v>
      </c>
      <c r="D16" s="1442"/>
      <c r="E16" s="810">
        <v>60946</v>
      </c>
      <c r="F16" s="810">
        <v>57793</v>
      </c>
      <c r="G16" s="810">
        <v>57819</v>
      </c>
      <c r="H16" s="810">
        <v>57819</v>
      </c>
      <c r="I16" s="810">
        <v>57819</v>
      </c>
    </row>
    <row r="17" spans="1:9" s="362" customFormat="1" ht="12.75" customHeight="1">
      <c r="A17" s="1441" t="s">
        <v>57</v>
      </c>
      <c r="B17" s="1441"/>
      <c r="C17" s="1442" t="s">
        <v>729</v>
      </c>
      <c r="D17" s="1442"/>
      <c r="E17" s="810">
        <v>13875</v>
      </c>
      <c r="F17" s="810">
        <v>16407</v>
      </c>
      <c r="G17" s="810">
        <v>16407</v>
      </c>
      <c r="H17" s="810">
        <v>16407</v>
      </c>
      <c r="I17" s="810">
        <v>14929</v>
      </c>
    </row>
    <row r="18" spans="1:9" s="12" customFormat="1" ht="19.5" customHeight="1" thickBot="1">
      <c r="A18" s="1443" t="s">
        <v>86</v>
      </c>
      <c r="B18" s="1443"/>
      <c r="C18" s="1444" t="s">
        <v>192</v>
      </c>
      <c r="D18" s="1444"/>
      <c r="E18" s="814">
        <f>SUM(E14+E15)</f>
        <v>75009</v>
      </c>
      <c r="F18" s="814">
        <f>SUM(F14+F15)</f>
        <v>76607</v>
      </c>
      <c r="G18" s="814">
        <f>SUM(G14+G15)</f>
        <v>76633</v>
      </c>
      <c r="H18" s="814">
        <f>SUM(H14+H15)</f>
        <v>76633</v>
      </c>
      <c r="I18" s="814">
        <f>SUM(I14+I15)</f>
        <v>75155</v>
      </c>
    </row>
    <row r="19" spans="1:9" ht="21" customHeight="1" thickBot="1">
      <c r="A19" s="1435" t="s">
        <v>59</v>
      </c>
      <c r="B19" s="1435"/>
      <c r="C19" s="815" t="s">
        <v>116</v>
      </c>
      <c r="D19" s="816"/>
      <c r="E19" s="817">
        <f>SUM(E13+E18)</f>
        <v>76676</v>
      </c>
      <c r="F19" s="817">
        <f>SUM(F13+F18)</f>
        <v>77406</v>
      </c>
      <c r="G19" s="817">
        <f>SUM(G13+G18)</f>
        <v>77432</v>
      </c>
      <c r="H19" s="817">
        <f>SUM(H13+H18)</f>
        <v>77432</v>
      </c>
      <c r="I19" s="817">
        <f>SUM(I13+I18)</f>
        <v>76902</v>
      </c>
    </row>
    <row r="20" spans="1:9" ht="21" customHeight="1">
      <c r="A20" s="818"/>
      <c r="B20" s="818"/>
      <c r="C20" s="819"/>
      <c r="D20" s="819"/>
      <c r="E20" s="820"/>
      <c r="F20" s="820"/>
      <c r="G20" s="820"/>
      <c r="H20" s="820"/>
      <c r="I20" s="820"/>
    </row>
    <row r="21" spans="1:4" ht="12.75" customHeight="1" thickBot="1">
      <c r="A21" s="1"/>
      <c r="B21" s="1"/>
      <c r="C21" s="1"/>
      <c r="D21" s="1"/>
    </row>
    <row r="22" spans="1:9" ht="63.75" customHeight="1" thickBot="1">
      <c r="A22" s="1436" t="s">
        <v>156</v>
      </c>
      <c r="B22" s="1437"/>
      <c r="C22" s="1088" t="s">
        <v>331</v>
      </c>
      <c r="D22" s="1088" t="s">
        <v>721</v>
      </c>
      <c r="E22" s="1089" t="s">
        <v>158</v>
      </c>
      <c r="F22" s="1090" t="s">
        <v>159</v>
      </c>
      <c r="G22" s="1091" t="s">
        <v>201</v>
      </c>
      <c r="H22" s="1091" t="s">
        <v>162</v>
      </c>
      <c r="I22" s="1092" t="s">
        <v>905</v>
      </c>
    </row>
    <row r="23" spans="1:9" ht="12.75" customHeight="1" thickBot="1">
      <c r="A23" s="1436" t="s">
        <v>163</v>
      </c>
      <c r="B23" s="1437"/>
      <c r="C23" s="1088" t="s">
        <v>376</v>
      </c>
      <c r="D23" s="1088" t="s">
        <v>165</v>
      </c>
      <c r="E23" s="1093" t="s">
        <v>166</v>
      </c>
      <c r="F23" s="1094" t="s">
        <v>167</v>
      </c>
      <c r="G23" s="1095" t="s">
        <v>168</v>
      </c>
      <c r="H23" s="1095" t="s">
        <v>228</v>
      </c>
      <c r="I23" s="1096" t="s">
        <v>688</v>
      </c>
    </row>
    <row r="24" spans="1:9" ht="12.75" customHeight="1">
      <c r="A24" s="1438" t="s">
        <v>38</v>
      </c>
      <c r="B24" s="1439"/>
      <c r="C24" s="1097" t="s">
        <v>370</v>
      </c>
      <c r="D24" s="1098">
        <v>14</v>
      </c>
      <c r="E24" s="1099">
        <f>SUM(E25:E28)</f>
        <v>75799</v>
      </c>
      <c r="F24" s="1108">
        <f>SUM(F25:F28)</f>
        <v>77406</v>
      </c>
      <c r="G24" s="1108">
        <f>SUM(G25:G28)</f>
        <v>74378</v>
      </c>
      <c r="H24" s="1108">
        <f>SUM(H25:H28)</f>
        <v>74378</v>
      </c>
      <c r="I24" s="1108">
        <f>SUM(I25:I28)</f>
        <v>72897</v>
      </c>
    </row>
    <row r="25" spans="1:9" ht="12.75" customHeight="1">
      <c r="A25" s="1417" t="s">
        <v>40</v>
      </c>
      <c r="B25" s="1418"/>
      <c r="C25" s="92" t="s">
        <v>203</v>
      </c>
      <c r="D25" s="442"/>
      <c r="E25" s="1100">
        <v>49349</v>
      </c>
      <c r="F25" s="1109">
        <v>50191</v>
      </c>
      <c r="G25" s="1109">
        <v>47808</v>
      </c>
      <c r="H25" s="1109">
        <v>47808</v>
      </c>
      <c r="I25" s="1109">
        <v>47808</v>
      </c>
    </row>
    <row r="26" spans="1:9" ht="12.75" customHeight="1">
      <c r="A26" s="1417" t="s">
        <v>47</v>
      </c>
      <c r="B26" s="1418"/>
      <c r="C26" s="92" t="s">
        <v>204</v>
      </c>
      <c r="D26" s="442"/>
      <c r="E26" s="1100">
        <v>12756</v>
      </c>
      <c r="F26" s="1109">
        <v>13715</v>
      </c>
      <c r="G26" s="1109">
        <v>13070</v>
      </c>
      <c r="H26" s="1109">
        <v>13070</v>
      </c>
      <c r="I26" s="1109">
        <v>13070</v>
      </c>
    </row>
    <row r="27" spans="1:9" ht="12.75" customHeight="1">
      <c r="A27" s="1417" t="s">
        <v>49</v>
      </c>
      <c r="B27" s="1418"/>
      <c r="C27" s="92" t="s">
        <v>340</v>
      </c>
      <c r="D27" s="442"/>
      <c r="E27" s="1100">
        <v>13520</v>
      </c>
      <c r="F27" s="1109">
        <v>13000</v>
      </c>
      <c r="G27" s="1109">
        <v>13000</v>
      </c>
      <c r="H27" s="1109">
        <v>13000</v>
      </c>
      <c r="I27" s="1109">
        <v>12019</v>
      </c>
    </row>
    <row r="28" spans="1:9" ht="12.75" customHeight="1">
      <c r="A28" s="1417" t="s">
        <v>51</v>
      </c>
      <c r="B28" s="1418"/>
      <c r="C28" s="92" t="s">
        <v>376</v>
      </c>
      <c r="D28" s="442"/>
      <c r="E28" s="1100">
        <v>174</v>
      </c>
      <c r="F28" s="1109">
        <v>500</v>
      </c>
      <c r="G28" s="1109">
        <v>500</v>
      </c>
      <c r="H28" s="1109">
        <v>500</v>
      </c>
      <c r="I28" s="1109">
        <v>0</v>
      </c>
    </row>
    <row r="29" spans="1:9" ht="12.75" customHeight="1">
      <c r="A29" s="1431" t="s">
        <v>53</v>
      </c>
      <c r="B29" s="1432"/>
      <c r="C29" s="13" t="s">
        <v>730</v>
      </c>
      <c r="D29" s="425">
        <v>0</v>
      </c>
      <c r="E29" s="1101">
        <f>SUM(E30:E32)</f>
        <v>877</v>
      </c>
      <c r="F29" s="1110">
        <f>SUM(F30:F32)</f>
        <v>0</v>
      </c>
      <c r="G29" s="1110">
        <f>SUM(G30:G32)</f>
        <v>0</v>
      </c>
      <c r="H29" s="1110">
        <f>SUM(H30:H32)</f>
        <v>0</v>
      </c>
      <c r="I29" s="1110">
        <f>SUM(I30:I32)</f>
        <v>0</v>
      </c>
    </row>
    <row r="30" spans="1:9" ht="12.75" customHeight="1">
      <c r="A30" s="1417" t="s">
        <v>55</v>
      </c>
      <c r="B30" s="1418"/>
      <c r="C30" s="92" t="s">
        <v>203</v>
      </c>
      <c r="D30" s="430"/>
      <c r="E30" s="1100">
        <v>707</v>
      </c>
      <c r="F30" s="1109">
        <v>0</v>
      </c>
      <c r="G30" s="1109">
        <v>0</v>
      </c>
      <c r="H30" s="1109">
        <v>0</v>
      </c>
      <c r="I30" s="1109">
        <v>0</v>
      </c>
    </row>
    <row r="31" spans="1:9" ht="12.75" customHeight="1">
      <c r="A31" s="1417" t="s">
        <v>57</v>
      </c>
      <c r="B31" s="1418"/>
      <c r="C31" s="92" t="s">
        <v>204</v>
      </c>
      <c r="D31" s="430"/>
      <c r="E31" s="1100">
        <v>147</v>
      </c>
      <c r="F31" s="1109">
        <v>0</v>
      </c>
      <c r="G31" s="1109">
        <v>0</v>
      </c>
      <c r="H31" s="1109">
        <v>0</v>
      </c>
      <c r="I31" s="1109">
        <v>0</v>
      </c>
    </row>
    <row r="32" spans="1:9" ht="12.75" customHeight="1">
      <c r="A32" s="1417" t="s">
        <v>86</v>
      </c>
      <c r="B32" s="1418"/>
      <c r="C32" s="92" t="s">
        <v>340</v>
      </c>
      <c r="D32" s="430"/>
      <c r="E32" s="1100">
        <v>23</v>
      </c>
      <c r="F32" s="1109">
        <v>0</v>
      </c>
      <c r="G32" s="1109">
        <v>0</v>
      </c>
      <c r="H32" s="1109">
        <v>0</v>
      </c>
      <c r="I32" s="1109">
        <v>0</v>
      </c>
    </row>
    <row r="33" spans="1:9" s="12" customFormat="1" ht="12.75" customHeight="1">
      <c r="A33" s="1431" t="s">
        <v>59</v>
      </c>
      <c r="B33" s="1432"/>
      <c r="C33" s="174" t="s">
        <v>432</v>
      </c>
      <c r="D33" s="821">
        <v>1</v>
      </c>
      <c r="E33" s="1102">
        <v>3054</v>
      </c>
      <c r="F33" s="1111">
        <f>SUM(F34:F36)</f>
        <v>0</v>
      </c>
      <c r="G33" s="1111">
        <f>SUM(G34:G36)</f>
        <v>3054</v>
      </c>
      <c r="H33" s="1111">
        <f>SUM(H34:H36)</f>
        <v>3054</v>
      </c>
      <c r="I33" s="1111">
        <f>SUM(I34:I36)</f>
        <v>3054</v>
      </c>
    </row>
    <row r="34" spans="1:9" ht="12.75" customHeight="1">
      <c r="A34" s="1433" t="s">
        <v>61</v>
      </c>
      <c r="B34" s="1434"/>
      <c r="C34" s="493" t="s">
        <v>203</v>
      </c>
      <c r="D34" s="542"/>
      <c r="E34" s="1103">
        <v>2409</v>
      </c>
      <c r="F34" s="1112">
        <v>0</v>
      </c>
      <c r="G34" s="1112">
        <v>2409</v>
      </c>
      <c r="H34" s="1112">
        <v>2409</v>
      </c>
      <c r="I34" s="1112">
        <v>2409</v>
      </c>
    </row>
    <row r="35" spans="1:9" ht="12.75" customHeight="1">
      <c r="A35" s="1417" t="s">
        <v>63</v>
      </c>
      <c r="B35" s="1418"/>
      <c r="C35" s="92" t="s">
        <v>204</v>
      </c>
      <c r="D35" s="430"/>
      <c r="E35" s="1100">
        <v>645</v>
      </c>
      <c r="F35" s="1109">
        <v>0</v>
      </c>
      <c r="G35" s="1109">
        <v>645</v>
      </c>
      <c r="H35" s="1109">
        <v>645</v>
      </c>
      <c r="I35" s="1109">
        <v>645</v>
      </c>
    </row>
    <row r="36" spans="1:9" ht="12.75" customHeight="1">
      <c r="A36" s="1433" t="s">
        <v>65</v>
      </c>
      <c r="B36" s="1434"/>
      <c r="C36" s="493" t="s">
        <v>340</v>
      </c>
      <c r="D36" s="542"/>
      <c r="E36" s="1103"/>
      <c r="F36" s="1112"/>
      <c r="G36" s="1112"/>
      <c r="H36" s="1112"/>
      <c r="I36" s="1112"/>
    </row>
    <row r="37" spans="1:9" s="12" customFormat="1" ht="12.75" customHeight="1">
      <c r="A37" s="1427" t="s">
        <v>92</v>
      </c>
      <c r="B37" s="1428"/>
      <c r="C37" s="1079" t="s">
        <v>906</v>
      </c>
      <c r="D37" s="1115">
        <v>0</v>
      </c>
      <c r="E37" s="1116">
        <v>0</v>
      </c>
      <c r="F37" s="1117">
        <f>SUM(F38:F40)</f>
        <v>0</v>
      </c>
      <c r="G37" s="1117">
        <f>SUM(G38:G40)</f>
        <v>0</v>
      </c>
      <c r="H37" s="1117">
        <f>SUM(H38:H40)</f>
        <v>0</v>
      </c>
      <c r="I37" s="1117">
        <f>SUM(I38:I40)</f>
        <v>951</v>
      </c>
    </row>
    <row r="38" spans="1:9" ht="12.75" customHeight="1">
      <c r="A38" s="1429" t="s">
        <v>66</v>
      </c>
      <c r="B38" s="1430"/>
      <c r="C38" s="1081" t="s">
        <v>203</v>
      </c>
      <c r="D38" s="1080"/>
      <c r="E38" s="1104">
        <v>0</v>
      </c>
      <c r="F38" s="1113">
        <v>0</v>
      </c>
      <c r="G38" s="1113">
        <v>0</v>
      </c>
      <c r="H38" s="1113">
        <v>0</v>
      </c>
      <c r="I38" s="1113">
        <v>640</v>
      </c>
    </row>
    <row r="39" spans="1:9" ht="12.75" customHeight="1">
      <c r="A39" s="1429" t="s">
        <v>67</v>
      </c>
      <c r="B39" s="1430"/>
      <c r="C39" s="1081" t="s">
        <v>204</v>
      </c>
      <c r="D39" s="1080"/>
      <c r="E39" s="1104">
        <v>0</v>
      </c>
      <c r="F39" s="1113">
        <v>0</v>
      </c>
      <c r="G39" s="1113">
        <v>0</v>
      </c>
      <c r="H39" s="1113">
        <v>0</v>
      </c>
      <c r="I39" s="1113">
        <v>175</v>
      </c>
    </row>
    <row r="40" spans="1:9" ht="12.75" customHeight="1">
      <c r="A40" s="1429" t="s">
        <v>68</v>
      </c>
      <c r="B40" s="1430"/>
      <c r="C40" s="1081" t="s">
        <v>340</v>
      </c>
      <c r="D40" s="1080"/>
      <c r="E40" s="1104">
        <v>0</v>
      </c>
      <c r="F40" s="1113">
        <v>0</v>
      </c>
      <c r="G40" s="1113">
        <v>0</v>
      </c>
      <c r="H40" s="1113">
        <v>0</v>
      </c>
      <c r="I40" s="1113">
        <v>136</v>
      </c>
    </row>
    <row r="41" spans="1:9" ht="12.75" customHeight="1" thickBot="1">
      <c r="A41" s="1419" t="s">
        <v>70</v>
      </c>
      <c r="B41" s="1420"/>
      <c r="C41" s="1105"/>
      <c r="D41" s="1106"/>
      <c r="E41" s="1107"/>
      <c r="F41" s="1114"/>
      <c r="G41" s="1114"/>
      <c r="H41" s="1114"/>
      <c r="I41" s="1114"/>
    </row>
    <row r="42" spans="1:9" ht="36.75" customHeight="1" thickBot="1">
      <c r="A42" s="1421" t="s">
        <v>97</v>
      </c>
      <c r="B42" s="1422"/>
      <c r="C42" s="1082" t="s">
        <v>311</v>
      </c>
      <c r="D42" s="1083">
        <f>SUM(D24:D34)</f>
        <v>15</v>
      </c>
      <c r="E42" s="1084">
        <f>SUM(E43:E46)</f>
        <v>76676</v>
      </c>
      <c r="F42" s="1085">
        <f>SUM(F43:F46)</f>
        <v>77406</v>
      </c>
      <c r="G42" s="1086">
        <f>SUM(G43:G46)</f>
        <v>77432</v>
      </c>
      <c r="H42" s="1086">
        <f>SUM(H43:H46)</f>
        <v>77432</v>
      </c>
      <c r="I42" s="1087">
        <f>SUM(I43:I46)</f>
        <v>76902</v>
      </c>
    </row>
    <row r="43" spans="1:9" ht="12.75" customHeight="1">
      <c r="A43" s="1423" t="s">
        <v>99</v>
      </c>
      <c r="B43" s="1424"/>
      <c r="C43" s="738" t="s">
        <v>203</v>
      </c>
      <c r="D43" s="739">
        <f>D42</f>
        <v>15</v>
      </c>
      <c r="E43" s="822">
        <f aca="true" t="shared" si="0" ref="E43:F45">SUM(E25+E30)</f>
        <v>50056</v>
      </c>
      <c r="F43" s="823">
        <f t="shared" si="0"/>
        <v>50191</v>
      </c>
      <c r="G43" s="824">
        <f>SUM(G25+G30)+G34</f>
        <v>50217</v>
      </c>
      <c r="H43" s="824">
        <f>SUM(H25+H30)+H34</f>
        <v>50217</v>
      </c>
      <c r="I43" s="824">
        <f>SUM(I25+I30)+I34+I38</f>
        <v>50857</v>
      </c>
    </row>
    <row r="44" spans="1:9" ht="12.75" customHeight="1">
      <c r="A44" s="1425" t="s">
        <v>101</v>
      </c>
      <c r="B44" s="1418"/>
      <c r="C44" s="595" t="s">
        <v>204</v>
      </c>
      <c r="D44" s="741"/>
      <c r="E44" s="825">
        <f t="shared" si="0"/>
        <v>12903</v>
      </c>
      <c r="F44" s="826">
        <f t="shared" si="0"/>
        <v>13715</v>
      </c>
      <c r="G44" s="827">
        <f>SUM(G26+G31)+G35</f>
        <v>13715</v>
      </c>
      <c r="H44" s="827">
        <f>SUM(H26+H31)+H35</f>
        <v>13715</v>
      </c>
      <c r="I44" s="827">
        <f>SUM(I26+I31)+I35+I39</f>
        <v>13890</v>
      </c>
    </row>
    <row r="45" spans="1:9" ht="12.75" customHeight="1">
      <c r="A45" s="1425" t="s">
        <v>103</v>
      </c>
      <c r="B45" s="1418"/>
      <c r="C45" s="595" t="s">
        <v>340</v>
      </c>
      <c r="D45" s="741"/>
      <c r="E45" s="825">
        <f t="shared" si="0"/>
        <v>13543</v>
      </c>
      <c r="F45" s="826">
        <f t="shared" si="0"/>
        <v>13000</v>
      </c>
      <c r="G45" s="827">
        <f>SUM(G27+G32)</f>
        <v>13000</v>
      </c>
      <c r="H45" s="827">
        <f>SUM(H27+H32)</f>
        <v>13000</v>
      </c>
      <c r="I45" s="827">
        <f>SUM(I27+I32)+I40</f>
        <v>12155</v>
      </c>
    </row>
    <row r="46" spans="1:9" ht="12.75" customHeight="1" thickBot="1">
      <c r="A46" s="1415" t="s">
        <v>105</v>
      </c>
      <c r="B46" s="1416"/>
      <c r="C46" s="744" t="s">
        <v>347</v>
      </c>
      <c r="D46" s="745"/>
      <c r="E46" s="828">
        <f>SUM(E28)</f>
        <v>174</v>
      </c>
      <c r="F46" s="829">
        <f>SUM(F28)</f>
        <v>500</v>
      </c>
      <c r="G46" s="830">
        <f>SUM(G28)</f>
        <v>500</v>
      </c>
      <c r="H46" s="830">
        <f>SUM(H28)</f>
        <v>500</v>
      </c>
      <c r="I46" s="830">
        <f>SUM(I28)</f>
        <v>0</v>
      </c>
    </row>
    <row r="47" spans="5:9" s="749" customFormat="1" ht="12.75" customHeight="1">
      <c r="E47" s="831"/>
      <c r="F47" s="831"/>
      <c r="G47" s="831"/>
      <c r="H47" s="831"/>
      <c r="I47" s="831"/>
    </row>
    <row r="48" ht="12.75" customHeight="1"/>
  </sheetData>
  <sheetProtection selectLockedCells="1" selectUnlockedCells="1"/>
  <mergeCells count="48">
    <mergeCell ref="A8:B8"/>
    <mergeCell ref="C8:D8"/>
    <mergeCell ref="A5:I5"/>
    <mergeCell ref="A1:I1"/>
    <mergeCell ref="A2:I2"/>
    <mergeCell ref="A9:B9"/>
    <mergeCell ref="C9:D9"/>
    <mergeCell ref="A3:I3"/>
    <mergeCell ref="A10:B10"/>
    <mergeCell ref="A11:B11"/>
    <mergeCell ref="A12:B12"/>
    <mergeCell ref="A13:B13"/>
    <mergeCell ref="C13:D13"/>
    <mergeCell ref="A14:B14"/>
    <mergeCell ref="A15:B15"/>
    <mergeCell ref="A16:B16"/>
    <mergeCell ref="C16:D16"/>
    <mergeCell ref="A17:B17"/>
    <mergeCell ref="C17:D17"/>
    <mergeCell ref="A18:B18"/>
    <mergeCell ref="C18:D18"/>
    <mergeCell ref="A19:B19"/>
    <mergeCell ref="A22:B22"/>
    <mergeCell ref="A23:B23"/>
    <mergeCell ref="A24:B24"/>
    <mergeCell ref="A36:B36"/>
    <mergeCell ref="A25:B25"/>
    <mergeCell ref="A26:B26"/>
    <mergeCell ref="A27:B27"/>
    <mergeCell ref="A28:B28"/>
    <mergeCell ref="A29:B29"/>
    <mergeCell ref="A30:B30"/>
    <mergeCell ref="F7:I7"/>
    <mergeCell ref="A37:B37"/>
    <mergeCell ref="A38:B38"/>
    <mergeCell ref="A39:B39"/>
    <mergeCell ref="A40:B40"/>
    <mergeCell ref="A31:B31"/>
    <mergeCell ref="A32:B32"/>
    <mergeCell ref="A33:B33"/>
    <mergeCell ref="A34:B34"/>
    <mergeCell ref="A46:B46"/>
    <mergeCell ref="A35:B35"/>
    <mergeCell ref="A41:B41"/>
    <mergeCell ref="A42:B42"/>
    <mergeCell ref="A43:B43"/>
    <mergeCell ref="A44:B44"/>
    <mergeCell ref="A45:B45"/>
  </mergeCells>
  <printOptions/>
  <pageMargins left="0.9055118110236221" right="0.984251968503937" top="0.5511811023622047" bottom="0.984251968503937" header="0.5118110236220472" footer="0.5118110236220472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M82"/>
  <sheetViews>
    <sheetView zoomScalePageLayoutView="0" workbookViewId="0" topLeftCell="A1">
      <selection activeCell="A4" sqref="A4:I4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27.8515625" style="0" customWidth="1"/>
    <col min="4" max="4" width="7.7109375" style="0" customWidth="1"/>
    <col min="5" max="5" width="13.7109375" style="802" customWidth="1"/>
    <col min="6" max="6" width="14.8515625" style="802" customWidth="1"/>
    <col min="7" max="7" width="14.421875" style="802" customWidth="1"/>
    <col min="8" max="8" width="11.57421875" style="802" customWidth="1"/>
    <col min="9" max="9" width="13.421875" style="802" customWidth="1"/>
  </cols>
  <sheetData>
    <row r="1" spans="1:9" ht="18" customHeight="1">
      <c r="A1" s="1391" t="s">
        <v>960</v>
      </c>
      <c r="B1" s="1391"/>
      <c r="C1" s="1391"/>
      <c r="D1" s="1391"/>
      <c r="E1" s="1391"/>
      <c r="F1" s="1391"/>
      <c r="G1" s="1391"/>
      <c r="H1" s="1391"/>
      <c r="I1" s="1391"/>
    </row>
    <row r="2" spans="1:9" ht="18" customHeight="1">
      <c r="A2" s="676"/>
      <c r="B2" s="676"/>
      <c r="C2" s="676"/>
      <c r="D2" s="676"/>
      <c r="E2" s="676"/>
      <c r="F2" s="676"/>
      <c r="G2" s="676"/>
      <c r="H2" s="676"/>
      <c r="I2" s="676"/>
    </row>
    <row r="3" spans="1:9" ht="12.75" customHeight="1">
      <c r="A3" s="1411" t="s">
        <v>938</v>
      </c>
      <c r="B3" s="1411"/>
      <c r="C3" s="1411"/>
      <c r="D3" s="1411"/>
      <c r="E3" s="1411"/>
      <c r="F3" s="1411"/>
      <c r="G3" s="1411"/>
      <c r="H3" s="1411"/>
      <c r="I3" s="1411"/>
    </row>
    <row r="4" spans="1:9" ht="12.75" customHeight="1">
      <c r="A4" s="1353" t="s">
        <v>959</v>
      </c>
      <c r="B4" s="1353"/>
      <c r="C4" s="1353"/>
      <c r="D4" s="1353"/>
      <c r="E4" s="1353"/>
      <c r="F4" s="1353"/>
      <c r="G4" s="1353"/>
      <c r="H4" s="1353"/>
      <c r="I4" s="1353"/>
    </row>
    <row r="5" spans="1:9" ht="18.75" customHeight="1">
      <c r="A5" s="1412" t="s">
        <v>325</v>
      </c>
      <c r="B5" s="1412"/>
      <c r="C5" s="1412"/>
      <c r="D5" s="1412"/>
      <c r="E5" s="1412"/>
      <c r="F5" s="1412"/>
      <c r="G5" s="1412"/>
      <c r="H5" s="1412"/>
      <c r="I5" s="1412"/>
    </row>
    <row r="6" spans="3:4" ht="18.75" customHeight="1">
      <c r="C6" s="753"/>
      <c r="D6" s="753"/>
    </row>
    <row r="7" spans="6:9" ht="12.75" customHeight="1" thickBot="1">
      <c r="F7" s="1426" t="s">
        <v>155</v>
      </c>
      <c r="G7" s="1426"/>
      <c r="H7" s="1426"/>
      <c r="I7" s="1426"/>
    </row>
    <row r="8" spans="1:9" ht="54" customHeight="1" thickBot="1">
      <c r="A8" s="1338" t="s">
        <v>156</v>
      </c>
      <c r="B8" s="1338"/>
      <c r="C8" s="1414" t="s">
        <v>157</v>
      </c>
      <c r="D8" s="1414"/>
      <c r="E8" s="62" t="s">
        <v>158</v>
      </c>
      <c r="F8" s="347" t="s">
        <v>159</v>
      </c>
      <c r="G8" s="347" t="s">
        <v>731</v>
      </c>
      <c r="H8" s="347" t="s">
        <v>732</v>
      </c>
      <c r="I8" s="347" t="s">
        <v>909</v>
      </c>
    </row>
    <row r="9" spans="1:9" ht="12.75" customHeight="1" thickBot="1">
      <c r="A9" s="1338" t="s">
        <v>163</v>
      </c>
      <c r="B9" s="1338"/>
      <c r="C9" s="1453" t="s">
        <v>164</v>
      </c>
      <c r="D9" s="1453"/>
      <c r="E9" s="832" t="s">
        <v>165</v>
      </c>
      <c r="F9" s="832" t="s">
        <v>166</v>
      </c>
      <c r="G9" s="832" t="s">
        <v>167</v>
      </c>
      <c r="H9" s="832" t="s">
        <v>168</v>
      </c>
      <c r="I9" s="832" t="s">
        <v>228</v>
      </c>
    </row>
    <row r="10" spans="1:9" ht="12.75" customHeight="1">
      <c r="A10" s="833" t="s">
        <v>38</v>
      </c>
      <c r="B10" s="834"/>
      <c r="C10" s="835" t="s">
        <v>283</v>
      </c>
      <c r="D10" s="836"/>
      <c r="E10" s="837">
        <f>SUM(E11:E13)</f>
        <v>26194</v>
      </c>
      <c r="F10" s="837">
        <f>SUM(F11:F13)</f>
        <v>33788</v>
      </c>
      <c r="G10" s="837">
        <f>SUM(G11:G13)</f>
        <v>33788</v>
      </c>
      <c r="H10" s="837">
        <f>SUM(H11:H13)</f>
        <v>19500</v>
      </c>
      <c r="I10" s="837">
        <f>SUM(I11:I13)</f>
        <v>19500</v>
      </c>
    </row>
    <row r="11" spans="1:9" ht="12.75" customHeight="1">
      <c r="A11" s="302" t="s">
        <v>40</v>
      </c>
      <c r="B11" s="838"/>
      <c r="C11" s="79" t="s">
        <v>726</v>
      </c>
      <c r="D11" s="688"/>
      <c r="E11" s="839">
        <v>21184</v>
      </c>
      <c r="F11" s="839">
        <v>19500</v>
      </c>
      <c r="G11" s="839">
        <v>19500</v>
      </c>
      <c r="H11" s="839">
        <v>19500</v>
      </c>
      <c r="I11" s="839">
        <v>19500</v>
      </c>
    </row>
    <row r="12" spans="1:9" ht="12.75" customHeight="1">
      <c r="A12" s="302" t="s">
        <v>47</v>
      </c>
      <c r="B12" s="838"/>
      <c r="C12" s="79" t="s">
        <v>326</v>
      </c>
      <c r="D12" s="688"/>
      <c r="E12" s="839">
        <v>4857</v>
      </c>
      <c r="F12" s="839">
        <v>14288</v>
      </c>
      <c r="G12" s="839">
        <v>14288</v>
      </c>
      <c r="H12" s="839">
        <v>0</v>
      </c>
      <c r="I12" s="839">
        <v>0</v>
      </c>
    </row>
    <row r="13" spans="1:9" ht="12.75" customHeight="1">
      <c r="A13" s="302" t="s">
        <v>49</v>
      </c>
      <c r="B13" s="838"/>
      <c r="C13" s="79" t="s">
        <v>733</v>
      </c>
      <c r="D13" s="688"/>
      <c r="E13" s="839">
        <v>153</v>
      </c>
      <c r="F13" s="839">
        <v>0</v>
      </c>
      <c r="G13" s="839">
        <v>0</v>
      </c>
      <c r="H13" s="839">
        <v>0</v>
      </c>
      <c r="I13" s="839">
        <v>0</v>
      </c>
    </row>
    <row r="14" spans="1:9" ht="12.75" customHeight="1">
      <c r="A14" s="302" t="s">
        <v>51</v>
      </c>
      <c r="B14" s="838"/>
      <c r="C14" s="383" t="s">
        <v>106</v>
      </c>
      <c r="D14" s="760"/>
      <c r="E14" s="839">
        <v>0</v>
      </c>
      <c r="F14" s="839">
        <v>0</v>
      </c>
      <c r="G14" s="839">
        <v>0</v>
      </c>
      <c r="H14" s="839">
        <v>0</v>
      </c>
      <c r="I14" s="839">
        <v>0</v>
      </c>
    </row>
    <row r="15" spans="1:9" s="12" customFormat="1" ht="12.75" customHeight="1">
      <c r="A15" s="326" t="s">
        <v>53</v>
      </c>
      <c r="B15" s="840"/>
      <c r="C15" s="762" t="s">
        <v>192</v>
      </c>
      <c r="D15" s="763"/>
      <c r="E15" s="841">
        <f>SUM(E17)</f>
        <v>70232</v>
      </c>
      <c r="F15" s="841">
        <f>SUM(F17)+F16</f>
        <v>68637</v>
      </c>
      <c r="G15" s="841">
        <f>SUM(G17)+G16</f>
        <v>70605</v>
      </c>
      <c r="H15" s="841">
        <f>SUM(H17)+H16</f>
        <v>88576</v>
      </c>
      <c r="I15" s="841">
        <f>SUM(I17)+I16</f>
        <v>88576</v>
      </c>
    </row>
    <row r="16" spans="1:9" s="847" customFormat="1" ht="12.75" customHeight="1">
      <c r="A16" s="842" t="s">
        <v>55</v>
      </c>
      <c r="B16" s="843"/>
      <c r="C16" s="844" t="s">
        <v>728</v>
      </c>
      <c r="D16" s="845"/>
      <c r="E16" s="846"/>
      <c r="F16" s="846">
        <v>3047</v>
      </c>
      <c r="G16" s="846">
        <v>3047</v>
      </c>
      <c r="H16" s="846">
        <v>3047</v>
      </c>
      <c r="I16" s="846">
        <v>3047</v>
      </c>
    </row>
    <row r="17" spans="1:9" s="1" customFormat="1" ht="12.75" customHeight="1">
      <c r="A17" s="302" t="s">
        <v>57</v>
      </c>
      <c r="B17" s="838"/>
      <c r="C17" s="848" t="s">
        <v>720</v>
      </c>
      <c r="D17" s="692"/>
      <c r="E17" s="839">
        <f>SUM(E18:E19)</f>
        <v>70232</v>
      </c>
      <c r="F17" s="839">
        <f>SUM(F18:F19)</f>
        <v>65590</v>
      </c>
      <c r="G17" s="839">
        <f>SUM(G18:G19)</f>
        <v>67558</v>
      </c>
      <c r="H17" s="839">
        <f>SUM(H18:H19)</f>
        <v>85529</v>
      </c>
      <c r="I17" s="839">
        <f>SUM(I18:I19)</f>
        <v>85529</v>
      </c>
    </row>
    <row r="18" spans="1:9" ht="12.75" customHeight="1">
      <c r="A18" s="849" t="s">
        <v>86</v>
      </c>
      <c r="B18" s="850"/>
      <c r="C18" s="706" t="s">
        <v>706</v>
      </c>
      <c r="D18" s="707"/>
      <c r="E18" s="839">
        <v>14017</v>
      </c>
      <c r="F18" s="839">
        <v>17801</v>
      </c>
      <c r="G18" s="839">
        <v>17869</v>
      </c>
      <c r="H18" s="839">
        <v>32157</v>
      </c>
      <c r="I18" s="839">
        <v>32157</v>
      </c>
    </row>
    <row r="19" spans="1:9" ht="12.75" customHeight="1" thickBot="1">
      <c r="A19" s="851" t="s">
        <v>59</v>
      </c>
      <c r="B19" s="852"/>
      <c r="C19" s="711" t="s">
        <v>707</v>
      </c>
      <c r="D19" s="853"/>
      <c r="E19" s="854">
        <v>56215</v>
      </c>
      <c r="F19" s="854">
        <v>47789</v>
      </c>
      <c r="G19" s="854">
        <v>49689</v>
      </c>
      <c r="H19" s="854">
        <v>53372</v>
      </c>
      <c r="I19" s="854">
        <v>53372</v>
      </c>
    </row>
    <row r="20" spans="1:9" ht="12.75" customHeight="1" thickBot="1">
      <c r="A20" s="855" t="s">
        <v>61</v>
      </c>
      <c r="B20" s="856"/>
      <c r="C20" s="857" t="s">
        <v>116</v>
      </c>
      <c r="D20" s="858"/>
      <c r="E20" s="859">
        <f>SUM(E10+E15)</f>
        <v>96426</v>
      </c>
      <c r="F20" s="859">
        <f>SUM(F10+F15)</f>
        <v>102425</v>
      </c>
      <c r="G20" s="859">
        <f>SUM(G10+G15)</f>
        <v>104393</v>
      </c>
      <c r="H20" s="859">
        <f>SUM(H10+H15)</f>
        <v>108076</v>
      </c>
      <c r="I20" s="859">
        <f>SUM(I10+I15)</f>
        <v>108076</v>
      </c>
    </row>
    <row r="21" ht="12.75" customHeight="1" thickBot="1"/>
    <row r="22" spans="1:9" ht="36.75" customHeight="1">
      <c r="A22" s="1333" t="s">
        <v>156</v>
      </c>
      <c r="B22" s="1333"/>
      <c r="C22" s="415" t="s">
        <v>734</v>
      </c>
      <c r="D22" s="415" t="s">
        <v>721</v>
      </c>
      <c r="E22" s="62" t="s">
        <v>158</v>
      </c>
      <c r="F22" s="347" t="s">
        <v>159</v>
      </c>
      <c r="G22" s="347" t="s">
        <v>201</v>
      </c>
      <c r="H22" s="347" t="s">
        <v>162</v>
      </c>
      <c r="I22" s="347" t="s">
        <v>905</v>
      </c>
    </row>
    <row r="23" spans="1:9" ht="12.75" customHeight="1" thickBot="1">
      <c r="A23" s="1454" t="s">
        <v>163</v>
      </c>
      <c r="B23" s="1454"/>
      <c r="C23" s="418" t="s">
        <v>164</v>
      </c>
      <c r="D23" s="418" t="s">
        <v>165</v>
      </c>
      <c r="E23" s="860" t="s">
        <v>166</v>
      </c>
      <c r="F23" s="832" t="s">
        <v>167</v>
      </c>
      <c r="G23" s="832" t="s">
        <v>168</v>
      </c>
      <c r="H23" s="832" t="s">
        <v>228</v>
      </c>
      <c r="I23" s="832" t="s">
        <v>688</v>
      </c>
    </row>
    <row r="24" spans="1:9" ht="34.5" customHeight="1">
      <c r="A24" s="861" t="s">
        <v>38</v>
      </c>
      <c r="B24" s="862" t="s">
        <v>169</v>
      </c>
      <c r="C24" s="863" t="s">
        <v>511</v>
      </c>
      <c r="D24" s="864">
        <v>3</v>
      </c>
      <c r="E24" s="865">
        <f>SUM(E25:E28)</f>
        <v>26219</v>
      </c>
      <c r="F24" s="865">
        <f>SUM(F25:F27)</f>
        <v>27847</v>
      </c>
      <c r="G24" s="865">
        <f>SUM(G25:G27)</f>
        <v>27847</v>
      </c>
      <c r="H24" s="865">
        <f>SUM(H25:H27)</f>
        <v>27847</v>
      </c>
      <c r="I24" s="865">
        <f>SUM(I25:I27)</f>
        <v>27847</v>
      </c>
    </row>
    <row r="25" spans="1:9" ht="12.75" customHeight="1">
      <c r="A25" s="866" t="s">
        <v>40</v>
      </c>
      <c r="B25" s="78"/>
      <c r="C25" s="92" t="s">
        <v>203</v>
      </c>
      <c r="D25" s="537"/>
      <c r="E25" s="839">
        <v>6392</v>
      </c>
      <c r="F25" s="867">
        <v>6659</v>
      </c>
      <c r="G25" s="867">
        <v>6659</v>
      </c>
      <c r="H25" s="867">
        <v>6659</v>
      </c>
      <c r="I25" s="867">
        <v>6659</v>
      </c>
    </row>
    <row r="26" spans="1:13" ht="12.75" customHeight="1">
      <c r="A26" s="866" t="s">
        <v>47</v>
      </c>
      <c r="B26" s="78"/>
      <c r="C26" s="92" t="s">
        <v>204</v>
      </c>
      <c r="D26" s="537"/>
      <c r="E26" s="839">
        <v>1790</v>
      </c>
      <c r="F26" s="867">
        <v>1841</v>
      </c>
      <c r="G26" s="867">
        <v>1841</v>
      </c>
      <c r="H26" s="867">
        <v>1841</v>
      </c>
      <c r="I26" s="867">
        <v>1841</v>
      </c>
      <c r="M26" s="868"/>
    </row>
    <row r="27" spans="1:9" ht="12.75" customHeight="1">
      <c r="A27" s="866" t="s">
        <v>49</v>
      </c>
      <c r="B27" s="78"/>
      <c r="C27" s="92" t="s">
        <v>340</v>
      </c>
      <c r="D27" s="537"/>
      <c r="E27" s="867">
        <v>17869</v>
      </c>
      <c r="F27" s="867">
        <v>19347</v>
      </c>
      <c r="G27" s="867">
        <v>19347</v>
      </c>
      <c r="H27" s="867">
        <v>19347</v>
      </c>
      <c r="I27" s="867">
        <v>19347</v>
      </c>
    </row>
    <row r="28" spans="1:9" ht="12.75" customHeight="1">
      <c r="A28" s="866" t="s">
        <v>51</v>
      </c>
      <c r="B28" s="78"/>
      <c r="C28" s="92" t="s">
        <v>376</v>
      </c>
      <c r="D28" s="537"/>
      <c r="E28" s="839">
        <v>168</v>
      </c>
      <c r="F28" s="867">
        <v>0</v>
      </c>
      <c r="G28" s="867">
        <v>0</v>
      </c>
      <c r="H28" s="867">
        <v>0</v>
      </c>
      <c r="I28" s="867">
        <v>0</v>
      </c>
    </row>
    <row r="29" spans="1:9" s="12" customFormat="1" ht="27.75" customHeight="1">
      <c r="A29" s="866" t="s">
        <v>53</v>
      </c>
      <c r="B29" s="85" t="s">
        <v>173</v>
      </c>
      <c r="C29" s="533" t="s">
        <v>735</v>
      </c>
      <c r="D29" s="534">
        <v>1</v>
      </c>
      <c r="E29" s="841">
        <f>SUM(E30:E33)</f>
        <v>5171</v>
      </c>
      <c r="F29" s="869">
        <f>SUM(F30:F33)</f>
        <v>4479</v>
      </c>
      <c r="G29" s="869">
        <f>SUM(G30:G33)</f>
        <v>4479</v>
      </c>
      <c r="H29" s="869">
        <f>SUM(H30:H33)</f>
        <v>4479</v>
      </c>
      <c r="I29" s="869">
        <f>SUM(I30:I33)</f>
        <v>4479</v>
      </c>
    </row>
    <row r="30" spans="1:9" ht="12.75" customHeight="1">
      <c r="A30" s="866" t="s">
        <v>55</v>
      </c>
      <c r="B30" s="78"/>
      <c r="C30" s="92" t="s">
        <v>203</v>
      </c>
      <c r="D30" s="537"/>
      <c r="E30" s="839">
        <v>501</v>
      </c>
      <c r="F30" s="867">
        <v>1942</v>
      </c>
      <c r="G30" s="867">
        <v>1942</v>
      </c>
      <c r="H30" s="867">
        <v>1942</v>
      </c>
      <c r="I30" s="867">
        <v>1942</v>
      </c>
    </row>
    <row r="31" spans="1:9" ht="12.75" customHeight="1">
      <c r="A31" s="866" t="s">
        <v>57</v>
      </c>
      <c r="B31" s="78"/>
      <c r="C31" s="92" t="s">
        <v>204</v>
      </c>
      <c r="D31" s="537"/>
      <c r="E31" s="839">
        <v>140</v>
      </c>
      <c r="F31" s="867">
        <v>537</v>
      </c>
      <c r="G31" s="867">
        <v>537</v>
      </c>
      <c r="H31" s="867">
        <v>537</v>
      </c>
      <c r="I31" s="867">
        <v>537</v>
      </c>
    </row>
    <row r="32" spans="1:9" ht="12.75" customHeight="1">
      <c r="A32" s="866" t="s">
        <v>86</v>
      </c>
      <c r="B32" s="78"/>
      <c r="C32" s="92" t="s">
        <v>340</v>
      </c>
      <c r="D32" s="537"/>
      <c r="E32" s="839">
        <v>4482</v>
      </c>
      <c r="F32" s="867">
        <v>2000</v>
      </c>
      <c r="G32" s="867">
        <v>2000</v>
      </c>
      <c r="H32" s="867">
        <v>2000</v>
      </c>
      <c r="I32" s="867">
        <v>2000</v>
      </c>
    </row>
    <row r="33" spans="1:9" ht="12.75" customHeight="1">
      <c r="A33" s="866" t="s">
        <v>59</v>
      </c>
      <c r="B33" s="78"/>
      <c r="C33" s="92" t="s">
        <v>376</v>
      </c>
      <c r="D33" s="537"/>
      <c r="E33" s="839">
        <v>48</v>
      </c>
      <c r="F33" s="867"/>
      <c r="G33" s="867"/>
      <c r="H33" s="867"/>
      <c r="I33" s="867"/>
    </row>
    <row r="34" spans="1:9" s="12" customFormat="1" ht="28.5" customHeight="1">
      <c r="A34" s="866" t="s">
        <v>61</v>
      </c>
      <c r="B34" s="85" t="s">
        <v>177</v>
      </c>
      <c r="C34" s="533" t="s">
        <v>521</v>
      </c>
      <c r="D34" s="534">
        <v>1</v>
      </c>
      <c r="E34" s="841">
        <v>0</v>
      </c>
      <c r="F34" s="869">
        <f>SUM(F35:F38)</f>
        <v>191</v>
      </c>
      <c r="G34" s="869">
        <f>SUM(G35:G38)</f>
        <v>191</v>
      </c>
      <c r="H34" s="869">
        <f>SUM(H35:H38)</f>
        <v>191</v>
      </c>
      <c r="I34" s="869">
        <f>SUM(I35:I38)</f>
        <v>191</v>
      </c>
    </row>
    <row r="35" spans="1:9" ht="12.75" customHeight="1">
      <c r="A35" s="866" t="s">
        <v>63</v>
      </c>
      <c r="B35" s="78"/>
      <c r="C35" s="92" t="s">
        <v>203</v>
      </c>
      <c r="D35" s="537"/>
      <c r="E35" s="839">
        <v>0</v>
      </c>
      <c r="F35" s="867">
        <v>30</v>
      </c>
      <c r="G35" s="867">
        <v>30</v>
      </c>
      <c r="H35" s="867">
        <v>30</v>
      </c>
      <c r="I35" s="867">
        <v>30</v>
      </c>
    </row>
    <row r="36" spans="1:9" ht="12.75" customHeight="1">
      <c r="A36" s="866" t="s">
        <v>65</v>
      </c>
      <c r="B36" s="78"/>
      <c r="C36" s="92" t="s">
        <v>204</v>
      </c>
      <c r="D36" s="537"/>
      <c r="E36" s="839">
        <v>0</v>
      </c>
      <c r="F36" s="867">
        <v>8</v>
      </c>
      <c r="G36" s="867">
        <v>8</v>
      </c>
      <c r="H36" s="867">
        <v>8</v>
      </c>
      <c r="I36" s="867">
        <v>8</v>
      </c>
    </row>
    <row r="37" spans="1:9" ht="12.75" customHeight="1">
      <c r="A37" s="866" t="s">
        <v>92</v>
      </c>
      <c r="B37" s="78"/>
      <c r="C37" s="92" t="s">
        <v>340</v>
      </c>
      <c r="D37" s="537"/>
      <c r="E37" s="839">
        <v>0</v>
      </c>
      <c r="F37" s="867">
        <v>153</v>
      </c>
      <c r="G37" s="867">
        <v>153</v>
      </c>
      <c r="H37" s="867">
        <v>153</v>
      </c>
      <c r="I37" s="867">
        <v>153</v>
      </c>
    </row>
    <row r="38" spans="1:9" ht="12.75" customHeight="1">
      <c r="A38" s="866" t="s">
        <v>66</v>
      </c>
      <c r="B38" s="78"/>
      <c r="C38" s="92" t="s">
        <v>376</v>
      </c>
      <c r="D38" s="537"/>
      <c r="E38" s="839">
        <v>0</v>
      </c>
      <c r="F38" s="867">
        <v>0</v>
      </c>
      <c r="G38" s="867">
        <v>0</v>
      </c>
      <c r="H38" s="867">
        <v>0</v>
      </c>
      <c r="I38" s="867">
        <v>0</v>
      </c>
    </row>
    <row r="39" spans="1:9" ht="12.75" customHeight="1">
      <c r="A39" s="866" t="s">
        <v>67</v>
      </c>
      <c r="B39" s="85" t="s">
        <v>179</v>
      </c>
      <c r="C39" s="533" t="s">
        <v>736</v>
      </c>
      <c r="D39" s="534">
        <v>0</v>
      </c>
      <c r="E39" s="841">
        <f>SUM(E42:E43)</f>
        <v>1762</v>
      </c>
      <c r="F39" s="869">
        <f>SUM(F42:F43)</f>
        <v>1500</v>
      </c>
      <c r="G39" s="869">
        <f>SUM(G42:G43)</f>
        <v>1400</v>
      </c>
      <c r="H39" s="869">
        <f>SUM(H42:H43)</f>
        <v>1400</v>
      </c>
      <c r="I39" s="869">
        <f>SUM(I42:I43)</f>
        <v>1400</v>
      </c>
    </row>
    <row r="40" spans="1:9" ht="12.75" customHeight="1">
      <c r="A40" s="866" t="s">
        <v>68</v>
      </c>
      <c r="B40" s="85"/>
      <c r="C40" s="92" t="s">
        <v>630</v>
      </c>
      <c r="D40" s="534"/>
      <c r="E40" s="839">
        <v>0</v>
      </c>
      <c r="F40" s="867">
        <v>0</v>
      </c>
      <c r="G40" s="867">
        <v>0</v>
      </c>
      <c r="H40" s="867">
        <v>0</v>
      </c>
      <c r="I40" s="867">
        <v>0</v>
      </c>
    </row>
    <row r="41" spans="1:9" ht="12.75" customHeight="1">
      <c r="A41" s="866" t="s">
        <v>70</v>
      </c>
      <c r="B41" s="78"/>
      <c r="C41" s="92" t="s">
        <v>204</v>
      </c>
      <c r="D41" s="537"/>
      <c r="E41" s="839">
        <v>0</v>
      </c>
      <c r="F41" s="867">
        <v>0</v>
      </c>
      <c r="G41" s="867">
        <v>0</v>
      </c>
      <c r="H41" s="867">
        <v>0</v>
      </c>
      <c r="I41" s="867">
        <v>0</v>
      </c>
    </row>
    <row r="42" spans="1:9" ht="12.75" customHeight="1">
      <c r="A42" s="866" t="s">
        <v>97</v>
      </c>
      <c r="B42" s="78"/>
      <c r="C42" s="92" t="s">
        <v>340</v>
      </c>
      <c r="D42" s="537"/>
      <c r="E42" s="839">
        <v>1415</v>
      </c>
      <c r="F42" s="867">
        <v>1500</v>
      </c>
      <c r="G42" s="867">
        <v>1400</v>
      </c>
      <c r="H42" s="867">
        <v>1400</v>
      </c>
      <c r="I42" s="867">
        <v>1400</v>
      </c>
    </row>
    <row r="43" spans="1:9" ht="12.75" customHeight="1">
      <c r="A43" s="866" t="s">
        <v>99</v>
      </c>
      <c r="B43" s="78"/>
      <c r="C43" s="92" t="s">
        <v>376</v>
      </c>
      <c r="D43" s="537"/>
      <c r="E43" s="839">
        <v>347</v>
      </c>
      <c r="F43" s="867">
        <v>0</v>
      </c>
      <c r="G43" s="867">
        <v>0</v>
      </c>
      <c r="H43" s="867">
        <v>0</v>
      </c>
      <c r="I43" s="867">
        <v>0</v>
      </c>
    </row>
    <row r="44" spans="1:9" ht="12.75" customHeight="1">
      <c r="A44" s="866" t="s">
        <v>101</v>
      </c>
      <c r="B44" s="85" t="s">
        <v>180</v>
      </c>
      <c r="C44" s="533" t="s">
        <v>737</v>
      </c>
      <c r="D44" s="534">
        <v>0</v>
      </c>
      <c r="E44" s="841">
        <f>SUM(E45:E48)</f>
        <v>590</v>
      </c>
      <c r="F44" s="869">
        <f>SUM(F45:F48)</f>
        <v>430</v>
      </c>
      <c r="G44" s="869">
        <f>SUM(G45:G48)</f>
        <v>430</v>
      </c>
      <c r="H44" s="869">
        <f>SUM(H45:H48)</f>
        <v>430</v>
      </c>
      <c r="I44" s="869">
        <f>SUM(I45:I48)</f>
        <v>430</v>
      </c>
    </row>
    <row r="45" spans="1:9" ht="12.75" customHeight="1">
      <c r="A45" s="866" t="s">
        <v>103</v>
      </c>
      <c r="B45" s="85"/>
      <c r="C45" s="92" t="s">
        <v>121</v>
      </c>
      <c r="D45" s="534"/>
      <c r="E45" s="839">
        <v>0</v>
      </c>
      <c r="F45" s="867">
        <v>0</v>
      </c>
      <c r="G45" s="867">
        <v>0</v>
      </c>
      <c r="H45" s="867">
        <v>0</v>
      </c>
      <c r="I45" s="867">
        <v>0</v>
      </c>
    </row>
    <row r="46" spans="1:9" ht="12.75" customHeight="1">
      <c r="A46" s="866" t="s">
        <v>105</v>
      </c>
      <c r="B46" s="78"/>
      <c r="C46" s="92" t="s">
        <v>204</v>
      </c>
      <c r="D46" s="870"/>
      <c r="E46" s="839">
        <v>0</v>
      </c>
      <c r="F46" s="867">
        <v>0</v>
      </c>
      <c r="G46" s="867">
        <v>0</v>
      </c>
      <c r="H46" s="867">
        <v>0</v>
      </c>
      <c r="I46" s="867">
        <v>0</v>
      </c>
    </row>
    <row r="47" spans="1:9" ht="12.75" customHeight="1">
      <c r="A47" s="866" t="s">
        <v>107</v>
      </c>
      <c r="B47" s="78"/>
      <c r="C47" s="92" t="s">
        <v>340</v>
      </c>
      <c r="D47" s="870"/>
      <c r="E47" s="839">
        <v>590</v>
      </c>
      <c r="F47" s="867">
        <v>430</v>
      </c>
      <c r="G47" s="867">
        <v>430</v>
      </c>
      <c r="H47" s="867">
        <v>430</v>
      </c>
      <c r="I47" s="867">
        <v>430</v>
      </c>
    </row>
    <row r="48" spans="1:9" ht="12.75" customHeight="1">
      <c r="A48" s="866" t="s">
        <v>109</v>
      </c>
      <c r="B48" s="78"/>
      <c r="C48" s="92" t="s">
        <v>376</v>
      </c>
      <c r="D48" s="870"/>
      <c r="E48" s="839">
        <v>0</v>
      </c>
      <c r="F48" s="867">
        <v>0</v>
      </c>
      <c r="G48" s="867">
        <v>0</v>
      </c>
      <c r="H48" s="867">
        <v>0</v>
      </c>
      <c r="I48" s="867">
        <v>0</v>
      </c>
    </row>
    <row r="49" spans="1:9" s="12" customFormat="1" ht="12.75" customHeight="1">
      <c r="A49" s="866" t="s">
        <v>111</v>
      </c>
      <c r="B49" s="85"/>
      <c r="C49" s="10" t="s">
        <v>738</v>
      </c>
      <c r="D49" s="234"/>
      <c r="E49" s="841">
        <v>12006</v>
      </c>
      <c r="F49" s="869"/>
      <c r="G49" s="869"/>
      <c r="H49" s="869"/>
      <c r="I49" s="869"/>
    </row>
    <row r="50" spans="1:9" ht="12.75" customHeight="1">
      <c r="A50" s="866" t="s">
        <v>113</v>
      </c>
      <c r="B50" s="78"/>
      <c r="C50" s="92" t="s">
        <v>121</v>
      </c>
      <c r="D50" s="870"/>
      <c r="E50" s="839">
        <v>9010</v>
      </c>
      <c r="F50" s="867"/>
      <c r="G50" s="867"/>
      <c r="H50" s="867"/>
      <c r="I50" s="867"/>
    </row>
    <row r="51" spans="1:9" ht="12.75" customHeight="1">
      <c r="A51" s="866" t="s">
        <v>115</v>
      </c>
      <c r="B51" s="78"/>
      <c r="C51" s="92" t="s">
        <v>204</v>
      </c>
      <c r="D51" s="870"/>
      <c r="E51" s="839">
        <v>2575</v>
      </c>
      <c r="F51" s="867"/>
      <c r="G51" s="867"/>
      <c r="H51" s="867"/>
      <c r="I51" s="867"/>
    </row>
    <row r="52" spans="1:9" ht="12.75" customHeight="1">
      <c r="A52" s="866" t="s">
        <v>117</v>
      </c>
      <c r="B52" s="78"/>
      <c r="C52" s="92" t="s">
        <v>340</v>
      </c>
      <c r="D52" s="870"/>
      <c r="E52" s="839">
        <v>421</v>
      </c>
      <c r="F52" s="867"/>
      <c r="G52" s="867"/>
      <c r="H52" s="867"/>
      <c r="I52" s="867"/>
    </row>
    <row r="53" spans="1:9" ht="12.75" customHeight="1">
      <c r="A53" s="866" t="s">
        <v>118</v>
      </c>
      <c r="B53" s="85" t="s">
        <v>182</v>
      </c>
      <c r="C53" s="533" t="s">
        <v>739</v>
      </c>
      <c r="D53" s="871">
        <v>11</v>
      </c>
      <c r="E53" s="841">
        <f>SUM(E54:E57)</f>
        <v>23501</v>
      </c>
      <c r="F53" s="869">
        <f>SUM(F54:F57)</f>
        <v>27780</v>
      </c>
      <c r="G53" s="869">
        <f>SUM(G54:G57)</f>
        <v>34303</v>
      </c>
      <c r="H53" s="869">
        <f>SUM(H54:H57)</f>
        <v>34303</v>
      </c>
      <c r="I53" s="869">
        <f>SUM(I54:I57)</f>
        <v>34303</v>
      </c>
    </row>
    <row r="54" spans="1:9" ht="12.75" customHeight="1">
      <c r="A54" s="866" t="s">
        <v>120</v>
      </c>
      <c r="B54" s="78"/>
      <c r="C54" s="92" t="s">
        <v>203</v>
      </c>
      <c r="D54" s="870"/>
      <c r="E54" s="839">
        <v>14179</v>
      </c>
      <c r="F54" s="867">
        <v>21505</v>
      </c>
      <c r="G54" s="867">
        <v>21573</v>
      </c>
      <c r="H54" s="867">
        <v>21573</v>
      </c>
      <c r="I54" s="867">
        <v>21573</v>
      </c>
    </row>
    <row r="55" spans="1:9" ht="12.75" customHeight="1">
      <c r="A55" s="866" t="s">
        <v>122</v>
      </c>
      <c r="B55" s="78"/>
      <c r="C55" s="92" t="s">
        <v>204</v>
      </c>
      <c r="D55" s="870"/>
      <c r="E55" s="839">
        <v>4308</v>
      </c>
      <c r="F55" s="867">
        <v>6025</v>
      </c>
      <c r="G55" s="867">
        <v>6025</v>
      </c>
      <c r="H55" s="867">
        <v>6025</v>
      </c>
      <c r="I55" s="867">
        <v>6025</v>
      </c>
    </row>
    <row r="56" spans="1:9" ht="12.75" customHeight="1">
      <c r="A56" s="866" t="s">
        <v>124</v>
      </c>
      <c r="B56" s="78"/>
      <c r="C56" s="92" t="s">
        <v>340</v>
      </c>
      <c r="D56" s="870"/>
      <c r="E56" s="839">
        <v>4555</v>
      </c>
      <c r="F56" s="867"/>
      <c r="G56" s="867">
        <v>6455</v>
      </c>
      <c r="H56" s="867">
        <v>6455</v>
      </c>
      <c r="I56" s="867">
        <v>6455</v>
      </c>
    </row>
    <row r="57" spans="1:9" ht="12.75" customHeight="1">
      <c r="A57" s="866" t="s">
        <v>126</v>
      </c>
      <c r="B57" s="78"/>
      <c r="C57" s="92" t="s">
        <v>376</v>
      </c>
      <c r="D57" s="870"/>
      <c r="E57" s="839">
        <v>459</v>
      </c>
      <c r="F57" s="867">
        <v>250</v>
      </c>
      <c r="G57" s="867">
        <v>250</v>
      </c>
      <c r="H57" s="867">
        <v>250</v>
      </c>
      <c r="I57" s="867">
        <v>250</v>
      </c>
    </row>
    <row r="58" spans="1:9" ht="12.75" customHeight="1">
      <c r="A58" s="866" t="s">
        <v>128</v>
      </c>
      <c r="B58" s="85" t="s">
        <v>184</v>
      </c>
      <c r="C58" s="13" t="s">
        <v>740</v>
      </c>
      <c r="D58" s="872">
        <v>2</v>
      </c>
      <c r="E58" s="841">
        <f>SUM(E59:E61)</f>
        <v>7688</v>
      </c>
      <c r="F58" s="869">
        <f>SUM(F59:F61)</f>
        <v>6349</v>
      </c>
      <c r="G58" s="869">
        <f>SUM(G59:G61)</f>
        <v>6349</v>
      </c>
      <c r="H58" s="869">
        <f>SUM(H59:H61)</f>
        <v>6349</v>
      </c>
      <c r="I58" s="869">
        <f>SUM(I59:I61)</f>
        <v>6349</v>
      </c>
    </row>
    <row r="59" spans="1:9" ht="12.75" customHeight="1">
      <c r="A59" s="866" t="s">
        <v>130</v>
      </c>
      <c r="B59" s="78"/>
      <c r="C59" s="20" t="s">
        <v>203</v>
      </c>
      <c r="D59" s="873"/>
      <c r="E59" s="839">
        <v>2779</v>
      </c>
      <c r="F59" s="867">
        <v>1841</v>
      </c>
      <c r="G59" s="867">
        <v>1841</v>
      </c>
      <c r="H59" s="867">
        <v>1841</v>
      </c>
      <c r="I59" s="867">
        <v>1841</v>
      </c>
    </row>
    <row r="60" spans="1:9" ht="12.75" customHeight="1">
      <c r="A60" s="866" t="s">
        <v>131</v>
      </c>
      <c r="B60" s="78"/>
      <c r="C60" s="20" t="s">
        <v>716</v>
      </c>
      <c r="D60" s="873"/>
      <c r="E60" s="839">
        <v>779</v>
      </c>
      <c r="F60" s="867">
        <v>508</v>
      </c>
      <c r="G60" s="867">
        <v>508</v>
      </c>
      <c r="H60" s="867">
        <v>508</v>
      </c>
      <c r="I60" s="867">
        <v>508</v>
      </c>
    </row>
    <row r="61" spans="1:9" ht="12.75" customHeight="1">
      <c r="A61" s="866" t="s">
        <v>133</v>
      </c>
      <c r="B61" s="78"/>
      <c r="C61" s="20" t="s">
        <v>633</v>
      </c>
      <c r="D61" s="873"/>
      <c r="E61" s="867">
        <v>4130</v>
      </c>
      <c r="F61" s="867">
        <v>4000</v>
      </c>
      <c r="G61" s="867">
        <v>4000</v>
      </c>
      <c r="H61" s="867">
        <v>4000</v>
      </c>
      <c r="I61" s="867">
        <v>4000</v>
      </c>
    </row>
    <row r="62" spans="1:9" ht="12.75" customHeight="1">
      <c r="A62" s="866" t="s">
        <v>135</v>
      </c>
      <c r="B62" s="874" t="s">
        <v>186</v>
      </c>
      <c r="C62" s="875" t="s">
        <v>544</v>
      </c>
      <c r="D62" s="876">
        <v>0</v>
      </c>
      <c r="E62" s="869">
        <f>SUM(E63:E65)</f>
        <v>363</v>
      </c>
      <c r="F62" s="869">
        <f>SUM(F63:F65)</f>
        <v>800</v>
      </c>
      <c r="G62" s="869">
        <f>SUM(G63:G65)</f>
        <v>400</v>
      </c>
      <c r="H62" s="869">
        <f>SUM(H63:H65)</f>
        <v>400</v>
      </c>
      <c r="I62" s="869">
        <f>SUM(I63:I65)</f>
        <v>400</v>
      </c>
    </row>
    <row r="63" spans="1:9" ht="12.75" customHeight="1">
      <c r="A63" s="866" t="s">
        <v>137</v>
      </c>
      <c r="B63" s="591"/>
      <c r="C63" s="595" t="s">
        <v>203</v>
      </c>
      <c r="D63" s="877"/>
      <c r="E63" s="867">
        <v>0</v>
      </c>
      <c r="F63" s="867">
        <v>0</v>
      </c>
      <c r="G63" s="867">
        <v>0</v>
      </c>
      <c r="H63" s="867">
        <v>0</v>
      </c>
      <c r="I63" s="867">
        <v>0</v>
      </c>
    </row>
    <row r="64" spans="1:9" ht="12.75" customHeight="1">
      <c r="A64" s="866" t="s">
        <v>139</v>
      </c>
      <c r="B64" s="591"/>
      <c r="C64" s="595" t="s">
        <v>204</v>
      </c>
      <c r="D64" s="877"/>
      <c r="E64" s="867">
        <v>0</v>
      </c>
      <c r="F64" s="867">
        <v>0</v>
      </c>
      <c r="G64" s="867">
        <v>0</v>
      </c>
      <c r="H64" s="867">
        <v>0</v>
      </c>
      <c r="I64" s="867">
        <v>0</v>
      </c>
    </row>
    <row r="65" spans="1:9" ht="12.75" customHeight="1">
      <c r="A65" s="866" t="s">
        <v>141</v>
      </c>
      <c r="B65" s="591"/>
      <c r="C65" s="595" t="s">
        <v>340</v>
      </c>
      <c r="D65" s="877"/>
      <c r="E65" s="867">
        <v>363</v>
      </c>
      <c r="F65" s="867">
        <v>800</v>
      </c>
      <c r="G65" s="867">
        <v>400</v>
      </c>
      <c r="H65" s="867">
        <v>400</v>
      </c>
      <c r="I65" s="867">
        <v>400</v>
      </c>
    </row>
    <row r="66" spans="1:9" ht="12.75" customHeight="1">
      <c r="A66" s="866" t="s">
        <v>143</v>
      </c>
      <c r="B66" s="878" t="s">
        <v>191</v>
      </c>
      <c r="C66" s="10" t="s">
        <v>741</v>
      </c>
      <c r="D66" s="534">
        <v>4.5</v>
      </c>
      <c r="E66" s="841">
        <f>SUM(E67:E69)</f>
        <v>7596</v>
      </c>
      <c r="F66" s="869">
        <f>SUM(F67:F70)</f>
        <v>18041</v>
      </c>
      <c r="G66" s="869">
        <f>SUM(G67:G70)</f>
        <v>13986</v>
      </c>
      <c r="H66" s="869">
        <f>SUM(H67:H70)</f>
        <v>15669</v>
      </c>
      <c r="I66" s="869">
        <f>SUM(I67:I70)</f>
        <v>15669</v>
      </c>
    </row>
    <row r="67" spans="1:9" ht="12.75" customHeight="1">
      <c r="A67" s="866" t="s">
        <v>145</v>
      </c>
      <c r="B67" s="78"/>
      <c r="C67" s="92" t="s">
        <v>203</v>
      </c>
      <c r="D67" s="537"/>
      <c r="E67" s="839">
        <v>0</v>
      </c>
      <c r="F67" s="867">
        <v>6139</v>
      </c>
      <c r="G67" s="867">
        <v>6139</v>
      </c>
      <c r="H67" s="867">
        <v>6139</v>
      </c>
      <c r="I67" s="867">
        <v>6139</v>
      </c>
    </row>
    <row r="68" spans="1:9" ht="12.75" customHeight="1">
      <c r="A68" s="866" t="s">
        <v>147</v>
      </c>
      <c r="B68" s="78"/>
      <c r="C68" s="92" t="s">
        <v>204</v>
      </c>
      <c r="D68" s="537"/>
      <c r="E68" s="839">
        <v>0</v>
      </c>
      <c r="F68" s="867">
        <v>1702</v>
      </c>
      <c r="G68" s="867">
        <v>1702</v>
      </c>
      <c r="H68" s="867">
        <v>1702</v>
      </c>
      <c r="I68" s="867">
        <v>1702</v>
      </c>
    </row>
    <row r="69" spans="1:9" ht="12.75" customHeight="1">
      <c r="A69" s="866" t="s">
        <v>149</v>
      </c>
      <c r="B69" s="78"/>
      <c r="C69" s="92" t="s">
        <v>340</v>
      </c>
      <c r="D69" s="537"/>
      <c r="E69" s="867">
        <v>7596</v>
      </c>
      <c r="F69" s="867">
        <v>10000</v>
      </c>
      <c r="G69" s="867">
        <v>5945</v>
      </c>
      <c r="H69" s="867">
        <v>7628</v>
      </c>
      <c r="I69" s="867">
        <v>7628</v>
      </c>
    </row>
    <row r="70" spans="1:9" ht="12.75" customHeight="1">
      <c r="A70" s="866" t="s">
        <v>151</v>
      </c>
      <c r="B70" s="78"/>
      <c r="C70" s="92" t="s">
        <v>376</v>
      </c>
      <c r="D70" s="537"/>
      <c r="E70" s="839"/>
      <c r="F70" s="839">
        <v>200</v>
      </c>
      <c r="G70" s="839">
        <v>200</v>
      </c>
      <c r="H70" s="839">
        <v>200</v>
      </c>
      <c r="I70" s="839">
        <v>200</v>
      </c>
    </row>
    <row r="71" spans="1:9" ht="12.75" customHeight="1">
      <c r="A71" s="866" t="s">
        <v>213</v>
      </c>
      <c r="B71" s="85" t="s">
        <v>196</v>
      </c>
      <c r="C71" s="13" t="s">
        <v>554</v>
      </c>
      <c r="D71" s="872">
        <v>0</v>
      </c>
      <c r="E71" s="841">
        <f>SUM(E72:E72)</f>
        <v>719</v>
      </c>
      <c r="F71" s="841">
        <f>SUM(F72:F72)</f>
        <v>720</v>
      </c>
      <c r="G71" s="841">
        <f>SUM(G72:G72)</f>
        <v>720</v>
      </c>
      <c r="H71" s="841">
        <f>SUM(H72:H72)</f>
        <v>720</v>
      </c>
      <c r="I71" s="841">
        <f>SUM(I72:I72)</f>
        <v>720</v>
      </c>
    </row>
    <row r="72" spans="1:9" ht="12.75" customHeight="1">
      <c r="A72" s="866" t="s">
        <v>215</v>
      </c>
      <c r="B72" s="78"/>
      <c r="C72" s="20" t="s">
        <v>742</v>
      </c>
      <c r="D72" s="873"/>
      <c r="E72" s="839">
        <v>719</v>
      </c>
      <c r="F72" s="839">
        <v>720</v>
      </c>
      <c r="G72" s="839">
        <v>720</v>
      </c>
      <c r="H72" s="839">
        <v>720</v>
      </c>
      <c r="I72" s="839">
        <v>720</v>
      </c>
    </row>
    <row r="73" spans="1:9" ht="25.5" customHeight="1">
      <c r="A73" s="866" t="s">
        <v>216</v>
      </c>
      <c r="B73" s="85" t="s">
        <v>277</v>
      </c>
      <c r="C73" s="879" t="s">
        <v>388</v>
      </c>
      <c r="D73" s="1142">
        <v>12</v>
      </c>
      <c r="E73" s="841">
        <f>SUM(E74:E77)</f>
        <v>10811</v>
      </c>
      <c r="F73" s="841">
        <f>SUM(F74:F76)</f>
        <v>14288</v>
      </c>
      <c r="G73" s="841">
        <f>SUM(G74:G76)</f>
        <v>14288</v>
      </c>
      <c r="H73" s="841">
        <f>SUM(H74:H77)</f>
        <v>16288</v>
      </c>
      <c r="I73" s="841">
        <f>SUM(I74:I77)</f>
        <v>16288</v>
      </c>
    </row>
    <row r="74" spans="1:9" ht="12.75" customHeight="1">
      <c r="A74" s="866" t="s">
        <v>218</v>
      </c>
      <c r="B74" s="78"/>
      <c r="C74" s="92" t="s">
        <v>203</v>
      </c>
      <c r="D74" s="873"/>
      <c r="E74" s="839">
        <v>8561</v>
      </c>
      <c r="F74" s="839">
        <v>12324</v>
      </c>
      <c r="G74" s="839">
        <v>12324</v>
      </c>
      <c r="H74" s="839">
        <v>12324</v>
      </c>
      <c r="I74" s="839">
        <v>12324</v>
      </c>
    </row>
    <row r="75" spans="1:9" ht="12.75" customHeight="1">
      <c r="A75" s="866" t="s">
        <v>220</v>
      </c>
      <c r="B75" s="78"/>
      <c r="C75" s="92" t="s">
        <v>204</v>
      </c>
      <c r="D75" s="873"/>
      <c r="E75" s="839">
        <v>1212</v>
      </c>
      <c r="F75" s="839">
        <v>1664</v>
      </c>
      <c r="G75" s="839">
        <v>1664</v>
      </c>
      <c r="H75" s="839">
        <v>1664</v>
      </c>
      <c r="I75" s="839">
        <v>1664</v>
      </c>
    </row>
    <row r="76" spans="1:9" ht="12.75" customHeight="1">
      <c r="A76" s="866" t="s">
        <v>371</v>
      </c>
      <c r="B76" s="78"/>
      <c r="C76" s="92" t="s">
        <v>340</v>
      </c>
      <c r="D76" s="873"/>
      <c r="E76" s="839">
        <v>939</v>
      </c>
      <c r="F76" s="839">
        <v>300</v>
      </c>
      <c r="G76" s="839">
        <v>300</v>
      </c>
      <c r="H76" s="839">
        <v>300</v>
      </c>
      <c r="I76" s="839">
        <v>300</v>
      </c>
    </row>
    <row r="77" spans="1:9" ht="12.75" customHeight="1" thickBot="1">
      <c r="A77" s="596" t="s">
        <v>372</v>
      </c>
      <c r="B77" s="880"/>
      <c r="C77" s="493" t="s">
        <v>376</v>
      </c>
      <c r="D77" s="881"/>
      <c r="E77" s="882">
        <v>99</v>
      </c>
      <c r="F77" s="882">
        <v>0</v>
      </c>
      <c r="G77" s="882">
        <v>0</v>
      </c>
      <c r="H77" s="882">
        <v>2000</v>
      </c>
      <c r="I77" s="882">
        <v>2000</v>
      </c>
    </row>
    <row r="78" spans="1:9" ht="27" customHeight="1" thickBot="1">
      <c r="A78" s="883" t="s">
        <v>373</v>
      </c>
      <c r="B78" s="884"/>
      <c r="C78" s="1140" t="s">
        <v>743</v>
      </c>
      <c r="D78" s="1141">
        <f>SUM(D24+D29+D34+D39+D44+D53+D58+D66+D71)+D73</f>
        <v>34.5</v>
      </c>
      <c r="E78" s="885">
        <f>SUM(E24+E39+E44+E53+E58+E62+E66+E71+E73)+E29+E34+E49</f>
        <v>96426</v>
      </c>
      <c r="F78" s="885">
        <f>SUM(F24+F39+F44+F53+F58+F62+F66+F71+F73)+F29+F34+F49</f>
        <v>102425</v>
      </c>
      <c r="G78" s="885">
        <f>SUM(G24+G39+G44+G53+G58+G62+G66+G71+G73)+G29+G34+G49</f>
        <v>104393</v>
      </c>
      <c r="H78" s="859">
        <f>SUM(H24+H39+H44+H53+H58+H62+H66+H71+H73)+H29+H34+H49</f>
        <v>108076</v>
      </c>
      <c r="I78" s="859">
        <f>SUM(I24+I39+I44+I53+I58+I62+I66+I71+I73)+I29+I34+I49</f>
        <v>108076</v>
      </c>
    </row>
    <row r="79" spans="1:9" ht="12.75" customHeight="1">
      <c r="A79" s="866" t="s">
        <v>375</v>
      </c>
      <c r="B79" s="886"/>
      <c r="C79" s="738" t="s">
        <v>715</v>
      </c>
      <c r="D79" s="887"/>
      <c r="E79" s="888">
        <f>SUM(E25+E40+E45+E54+E59+E63+E67+E74)+E30+E35+E50</f>
        <v>41422</v>
      </c>
      <c r="F79" s="888">
        <f>SUM(F25+F40+F45+F54+F59+F63+F67+F74)+F30+F35</f>
        <v>50440</v>
      </c>
      <c r="G79" s="888">
        <f>SUM(G25+G40+G45+G54+G59+G63+G67+G74)+G30+G35</f>
        <v>50508</v>
      </c>
      <c r="H79" s="888">
        <f>SUM(H25+H40+H45+H54+H59+H63+H67+H74)+H30+H35</f>
        <v>50508</v>
      </c>
      <c r="I79" s="888">
        <f>SUM(I25+I40+I45+I54+I59+I63+I67+I74)+I30+I35</f>
        <v>50508</v>
      </c>
    </row>
    <row r="80" spans="1:9" ht="12.75" customHeight="1">
      <c r="A80" s="866" t="s">
        <v>377</v>
      </c>
      <c r="B80" s="591"/>
      <c r="C80" s="889" t="s">
        <v>716</v>
      </c>
      <c r="D80" s="741"/>
      <c r="E80" s="888">
        <f>SUM(E26+E41+E46+E55+E60+E64+E68+E75)+E31+E36+E51</f>
        <v>10804</v>
      </c>
      <c r="F80" s="867">
        <f>SUM(F26+F41+F46+F55+F60+F64+F68)+F75+F31+F36</f>
        <v>12285</v>
      </c>
      <c r="G80" s="867">
        <f>SUM(G26+G41+G46+G55+G60+G64+G68)+G75+G31+G36</f>
        <v>12285</v>
      </c>
      <c r="H80" s="867">
        <f>SUM(H26+H41+H46+H55+H60+H64+H68)+H75+H31+H36</f>
        <v>12285</v>
      </c>
      <c r="I80" s="867">
        <f>SUM(I26+I41+I46+I55+I60+I64+I68)+I75+I31+I36</f>
        <v>12285</v>
      </c>
    </row>
    <row r="81" spans="1:9" ht="12.75" customHeight="1">
      <c r="A81" s="866" t="s">
        <v>379</v>
      </c>
      <c r="B81" s="591"/>
      <c r="C81" s="889" t="s">
        <v>125</v>
      </c>
      <c r="D81" s="741"/>
      <c r="E81" s="888">
        <f>SUM(E27+E42+E47+E56+E61+E65+E69+E76)+E32+E37+E52++E72</f>
        <v>43079</v>
      </c>
      <c r="F81" s="867">
        <f>SUM(F27+F42+F47+F56+F61+F69+F76)+F72+F65+F32+F37</f>
        <v>39250</v>
      </c>
      <c r="G81" s="867">
        <f>SUM(G27+G42+G47+G56+G61+G69+G76)+G72+G65+G32+G37</f>
        <v>41150</v>
      </c>
      <c r="H81" s="867">
        <f>SUM(H27+H42+H47+H56+H61+H69+H76)+H72+H65+H32+H37</f>
        <v>42833</v>
      </c>
      <c r="I81" s="867">
        <f>SUM(I27+I42+I47+I56+I61+I69+I76)+I72+I65+I32+I37</f>
        <v>42833</v>
      </c>
    </row>
    <row r="82" spans="1:9" ht="12.75" customHeight="1">
      <c r="A82" s="866" t="s">
        <v>380</v>
      </c>
      <c r="B82" s="591"/>
      <c r="C82" s="595" t="s">
        <v>347</v>
      </c>
      <c r="D82" s="741"/>
      <c r="E82" s="867">
        <f>SUM(E70+E57+E48+E43+E28)+E33++E77</f>
        <v>1121</v>
      </c>
      <c r="F82" s="867">
        <f>SUM(F70+F57+F48+F43+F28)</f>
        <v>450</v>
      </c>
      <c r="G82" s="867">
        <f>SUM(G70+G57+G48+G43+G28)</f>
        <v>450</v>
      </c>
      <c r="H82" s="867">
        <f>SUM(H70+H57+H48+H43+H28)+H77</f>
        <v>2450</v>
      </c>
      <c r="I82" s="867">
        <f>SUM(I70+I57+I48+I43+I28)+I77</f>
        <v>2450</v>
      </c>
    </row>
  </sheetData>
  <sheetProtection selectLockedCells="1" selectUnlockedCells="1"/>
  <mergeCells count="11">
    <mergeCell ref="A4:I4"/>
    <mergeCell ref="C8:D8"/>
    <mergeCell ref="A9:B9"/>
    <mergeCell ref="C9:D9"/>
    <mergeCell ref="A22:B22"/>
    <mergeCell ref="A23:B23"/>
    <mergeCell ref="A1:I1"/>
    <mergeCell ref="A3:I3"/>
    <mergeCell ref="F7:I7"/>
    <mergeCell ref="A5:I5"/>
    <mergeCell ref="A8:B8"/>
  </mergeCells>
  <printOptions/>
  <pageMargins left="0.7875" right="0.7875" top="1.0631944444444446" bottom="1.0631944444444446" header="0.5118055555555555" footer="0.7875"/>
  <pageSetup horizontalDpi="300" verticalDpi="300" orientation="portrait" paperSize="9" scale="74" r:id="rId1"/>
  <headerFooter alignWithMargins="0">
    <oddFooter>&amp;C&amp;"Times New Roman,Normál"&amp;12Oldal &amp;P</oddFooter>
  </headerFooter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I144"/>
  <sheetViews>
    <sheetView workbookViewId="0" topLeftCell="A1">
      <selection activeCell="A3" sqref="A3:I3"/>
    </sheetView>
  </sheetViews>
  <sheetFormatPr defaultColWidth="11.57421875" defaultRowHeight="12.75" customHeight="1"/>
  <cols>
    <col min="1" max="1" width="4.00390625" style="890" customWidth="1"/>
    <col min="2" max="2" width="4.28125" style="890" customWidth="1"/>
    <col min="3" max="3" width="31.00390625" style="890" customWidth="1"/>
    <col min="4" max="4" width="6.8515625" style="890" customWidth="1"/>
    <col min="5" max="6" width="11.28125" style="890" customWidth="1"/>
    <col min="7" max="7" width="15.00390625" style="890" customWidth="1"/>
    <col min="8" max="8" width="12.28125" style="890" customWidth="1"/>
    <col min="9" max="9" width="13.7109375" style="890" customWidth="1"/>
    <col min="10" max="16384" width="11.57421875" style="890" customWidth="1"/>
  </cols>
  <sheetData>
    <row r="1" spans="1:9" s="891" customFormat="1" ht="18" customHeight="1">
      <c r="A1" s="1459" t="s">
        <v>718</v>
      </c>
      <c r="B1" s="1459"/>
      <c r="C1" s="1459"/>
      <c r="D1" s="1459"/>
      <c r="E1" s="1459"/>
      <c r="F1" s="1459"/>
      <c r="G1" s="1459"/>
      <c r="H1" s="1459"/>
      <c r="I1" s="1459"/>
    </row>
    <row r="2" spans="1:9" ht="12.75" customHeight="1">
      <c r="A2" s="1460" t="s">
        <v>938</v>
      </c>
      <c r="B2" s="1460"/>
      <c r="C2" s="1460"/>
      <c r="D2" s="1460"/>
      <c r="E2" s="1460"/>
      <c r="F2" s="1460"/>
      <c r="G2" s="1460"/>
      <c r="H2" s="1460"/>
      <c r="I2" s="1460"/>
    </row>
    <row r="3" spans="1:9" ht="12" customHeight="1">
      <c r="A3" s="1492" t="s">
        <v>961</v>
      </c>
      <c r="B3" s="1492"/>
      <c r="C3" s="1492"/>
      <c r="D3" s="1492"/>
      <c r="E3" s="1492"/>
      <c r="F3" s="1492"/>
      <c r="G3" s="1492"/>
      <c r="H3" s="1492"/>
      <c r="I3" s="1492"/>
    </row>
    <row r="4" spans="1:9" ht="18" customHeight="1">
      <c r="A4" s="1461" t="s">
        <v>744</v>
      </c>
      <c r="B4" s="1461"/>
      <c r="C4" s="1461"/>
      <c r="D4" s="1461"/>
      <c r="E4" s="1461"/>
      <c r="F4" s="1461"/>
      <c r="G4" s="1461"/>
      <c r="H4" s="1461"/>
      <c r="I4" s="1461"/>
    </row>
    <row r="5" spans="6:9" ht="24.75" customHeight="1">
      <c r="F5" s="892"/>
      <c r="G5" s="892"/>
      <c r="H5" s="892"/>
      <c r="I5" s="892"/>
    </row>
    <row r="6" spans="1:9" ht="12.75" customHeight="1">
      <c r="A6" s="1464"/>
      <c r="B6" s="1464"/>
      <c r="C6" s="1464"/>
      <c r="D6" s="893"/>
      <c r="E6" s="894"/>
      <c r="F6" s="1458" t="s">
        <v>155</v>
      </c>
      <c r="G6" s="1458"/>
      <c r="H6" s="1458"/>
      <c r="I6" s="1458"/>
    </row>
    <row r="7" spans="1:9" ht="42.75" customHeight="1">
      <c r="A7" s="1455" t="s">
        <v>156</v>
      </c>
      <c r="B7" s="1455"/>
      <c r="C7" s="1465" t="s">
        <v>157</v>
      </c>
      <c r="D7" s="1465"/>
      <c r="E7" s="896" t="s">
        <v>158</v>
      </c>
      <c r="F7" s="896" t="s">
        <v>159</v>
      </c>
      <c r="G7" s="896" t="s">
        <v>201</v>
      </c>
      <c r="H7" s="896" t="s">
        <v>162</v>
      </c>
      <c r="I7" s="896" t="s">
        <v>905</v>
      </c>
    </row>
    <row r="8" spans="1:9" ht="12.75" customHeight="1">
      <c r="A8" s="1455" t="s">
        <v>163</v>
      </c>
      <c r="B8" s="1455"/>
      <c r="C8" s="1465" t="s">
        <v>164</v>
      </c>
      <c r="D8" s="1465"/>
      <c r="E8" s="897" t="s">
        <v>165</v>
      </c>
      <c r="F8" s="897" t="s">
        <v>166</v>
      </c>
      <c r="G8" s="897" t="s">
        <v>167</v>
      </c>
      <c r="H8" s="897" t="s">
        <v>168</v>
      </c>
      <c r="I8" s="897" t="s">
        <v>228</v>
      </c>
    </row>
    <row r="9" spans="1:9" ht="12.75" customHeight="1">
      <c r="A9" s="898" t="s">
        <v>38</v>
      </c>
      <c r="B9" s="899"/>
      <c r="C9" s="900" t="s">
        <v>283</v>
      </c>
      <c r="D9" s="901"/>
      <c r="E9" s="902">
        <v>14456</v>
      </c>
      <c r="F9" s="901">
        <v>20163</v>
      </c>
      <c r="G9" s="903">
        <v>20163</v>
      </c>
      <c r="H9" s="903">
        <v>24413</v>
      </c>
      <c r="I9" s="903">
        <v>19278</v>
      </c>
    </row>
    <row r="10" spans="1:9" ht="12.75" customHeight="1">
      <c r="A10" s="904" t="s">
        <v>40</v>
      </c>
      <c r="B10" s="905"/>
      <c r="C10" s="1456" t="s">
        <v>745</v>
      </c>
      <c r="D10" s="1456"/>
      <c r="E10" s="906">
        <v>168798</v>
      </c>
      <c r="F10" s="907">
        <v>142477</v>
      </c>
      <c r="G10" s="908">
        <v>142477</v>
      </c>
      <c r="H10" s="908">
        <v>142477</v>
      </c>
      <c r="I10" s="1143">
        <v>149880</v>
      </c>
    </row>
    <row r="11" spans="1:9" ht="12.75" customHeight="1">
      <c r="A11" s="904" t="s">
        <v>47</v>
      </c>
      <c r="B11" s="905"/>
      <c r="C11" s="907" t="s">
        <v>746</v>
      </c>
      <c r="D11" s="907"/>
      <c r="E11" s="906">
        <v>175920</v>
      </c>
      <c r="F11" s="907">
        <v>172951</v>
      </c>
      <c r="G11" s="908">
        <v>174108</v>
      </c>
      <c r="H11" s="908">
        <v>174695</v>
      </c>
      <c r="I11" s="1143">
        <v>185145</v>
      </c>
    </row>
    <row r="12" spans="1:9" ht="12.75" customHeight="1">
      <c r="A12" s="904" t="s">
        <v>49</v>
      </c>
      <c r="B12" s="905"/>
      <c r="C12" s="1456" t="s">
        <v>747</v>
      </c>
      <c r="D12" s="1456"/>
      <c r="E12" s="906">
        <v>2250</v>
      </c>
      <c r="F12" s="908">
        <v>4125</v>
      </c>
      <c r="G12" s="908">
        <v>4125</v>
      </c>
      <c r="H12" s="908">
        <v>14288</v>
      </c>
      <c r="I12" s="1143">
        <v>13301</v>
      </c>
    </row>
    <row r="13" spans="1:9" ht="12.75" customHeight="1">
      <c r="A13" s="904" t="s">
        <v>51</v>
      </c>
      <c r="B13" s="905"/>
      <c r="C13" s="907" t="s">
        <v>748</v>
      </c>
      <c r="D13" s="907"/>
      <c r="E13" s="906">
        <v>9214</v>
      </c>
      <c r="F13" s="907">
        <v>0</v>
      </c>
      <c r="G13" s="908">
        <v>0</v>
      </c>
      <c r="H13" s="908">
        <v>1000</v>
      </c>
      <c r="I13" s="1143">
        <v>907</v>
      </c>
    </row>
    <row r="14" spans="1:9" ht="12.75" customHeight="1">
      <c r="A14" s="904" t="s">
        <v>53</v>
      </c>
      <c r="B14" s="905"/>
      <c r="C14" s="1456" t="s">
        <v>749</v>
      </c>
      <c r="D14" s="1456"/>
      <c r="E14" s="906">
        <v>34550</v>
      </c>
      <c r="F14" s="907">
        <v>33500</v>
      </c>
      <c r="G14" s="908">
        <v>33500</v>
      </c>
      <c r="H14" s="908">
        <v>32730</v>
      </c>
      <c r="I14" s="1143">
        <v>31199</v>
      </c>
    </row>
    <row r="15" spans="1:9" ht="12.75" customHeight="1">
      <c r="A15" s="904" t="s">
        <v>55</v>
      </c>
      <c r="B15" s="905"/>
      <c r="C15" s="1456" t="s">
        <v>299</v>
      </c>
      <c r="D15" s="1456"/>
      <c r="E15" s="906">
        <v>643</v>
      </c>
      <c r="F15" s="907">
        <v>700</v>
      </c>
      <c r="G15" s="908">
        <v>700</v>
      </c>
      <c r="H15" s="908">
        <v>700</v>
      </c>
      <c r="I15" s="1143">
        <v>40</v>
      </c>
    </row>
    <row r="16" spans="1:9" s="913" customFormat="1" ht="12.75" customHeight="1">
      <c r="A16" s="909" t="s">
        <v>57</v>
      </c>
      <c r="B16" s="910"/>
      <c r="C16" s="1462" t="s">
        <v>704</v>
      </c>
      <c r="D16" s="1462"/>
      <c r="E16" s="911">
        <f>SUM(E9:E15)</f>
        <v>405831</v>
      </c>
      <c r="F16" s="911">
        <f>SUM(F9:F15)</f>
        <v>373916</v>
      </c>
      <c r="G16" s="912">
        <f>SUM(G9:G15)</f>
        <v>375073</v>
      </c>
      <c r="H16" s="912">
        <f>SUM(H9:H15)</f>
        <v>390303</v>
      </c>
      <c r="I16" s="1144">
        <f>SUM(I9:I15)</f>
        <v>399750</v>
      </c>
    </row>
    <row r="17" spans="1:9" ht="12.75" customHeight="1">
      <c r="A17" s="904" t="s">
        <v>86</v>
      </c>
      <c r="B17" s="905"/>
      <c r="C17" s="907" t="s">
        <v>750</v>
      </c>
      <c r="D17" s="907"/>
      <c r="E17" s="906">
        <v>0</v>
      </c>
      <c r="F17" s="907">
        <v>0</v>
      </c>
      <c r="G17" s="908">
        <v>0</v>
      </c>
      <c r="H17" s="908">
        <v>0</v>
      </c>
      <c r="I17" s="1143">
        <v>0</v>
      </c>
    </row>
    <row r="18" spans="1:9" ht="12.75" customHeight="1">
      <c r="A18" s="904" t="s">
        <v>59</v>
      </c>
      <c r="B18" s="905"/>
      <c r="C18" s="907" t="s">
        <v>751</v>
      </c>
      <c r="D18" s="907"/>
      <c r="E18" s="906">
        <v>9241</v>
      </c>
      <c r="F18" s="907">
        <v>35000</v>
      </c>
      <c r="G18" s="908">
        <v>47903</v>
      </c>
      <c r="H18" s="908">
        <v>47903</v>
      </c>
      <c r="I18" s="1143">
        <v>39695</v>
      </c>
    </row>
    <row r="19" spans="1:9" ht="12.75" customHeight="1">
      <c r="A19" s="904" t="s">
        <v>61</v>
      </c>
      <c r="B19" s="905"/>
      <c r="C19" s="907" t="s">
        <v>752</v>
      </c>
      <c r="D19" s="907"/>
      <c r="E19" s="906">
        <v>0</v>
      </c>
      <c r="F19" s="907">
        <v>0</v>
      </c>
      <c r="G19" s="908">
        <v>12410</v>
      </c>
      <c r="H19" s="908">
        <v>12410</v>
      </c>
      <c r="I19" s="1143">
        <v>1773</v>
      </c>
    </row>
    <row r="20" spans="1:9" ht="12.75" customHeight="1">
      <c r="A20" s="904" t="s">
        <v>63</v>
      </c>
      <c r="B20" s="905"/>
      <c r="C20" s="907" t="s">
        <v>753</v>
      </c>
      <c r="D20" s="907"/>
      <c r="E20" s="906">
        <v>0</v>
      </c>
      <c r="F20" s="907">
        <v>0</v>
      </c>
      <c r="G20" s="908">
        <v>0</v>
      </c>
      <c r="H20" s="908">
        <v>0</v>
      </c>
      <c r="I20" s="1143">
        <v>0</v>
      </c>
    </row>
    <row r="21" spans="1:9" ht="12.75" customHeight="1">
      <c r="A21" s="904" t="s">
        <v>65</v>
      </c>
      <c r="B21" s="905"/>
      <c r="C21" s="1456" t="s">
        <v>754</v>
      </c>
      <c r="D21" s="1456"/>
      <c r="E21" s="906">
        <v>295</v>
      </c>
      <c r="F21" s="907">
        <v>1205</v>
      </c>
      <c r="G21" s="908">
        <v>1205</v>
      </c>
      <c r="H21" s="908">
        <v>1605</v>
      </c>
      <c r="I21" s="1143">
        <v>468</v>
      </c>
    </row>
    <row r="22" spans="1:9" ht="12.75" customHeight="1">
      <c r="A22" s="904" t="s">
        <v>92</v>
      </c>
      <c r="B22" s="905"/>
      <c r="C22" s="1456" t="s">
        <v>303</v>
      </c>
      <c r="D22" s="1456"/>
      <c r="E22" s="906">
        <v>189812</v>
      </c>
      <c r="F22" s="908">
        <v>0</v>
      </c>
      <c r="G22" s="908">
        <v>80000</v>
      </c>
      <c r="H22" s="908">
        <v>80000</v>
      </c>
      <c r="I22" s="1143">
        <v>80000</v>
      </c>
    </row>
    <row r="23" spans="1:9" ht="12.75" customHeight="1">
      <c r="A23" s="904" t="s">
        <v>66</v>
      </c>
      <c r="B23" s="905"/>
      <c r="C23" s="1124" t="s">
        <v>181</v>
      </c>
      <c r="D23" s="1124"/>
      <c r="E23" s="906">
        <v>0</v>
      </c>
      <c r="F23" s="908">
        <v>0</v>
      </c>
      <c r="G23" s="908">
        <v>0</v>
      </c>
      <c r="H23" s="908">
        <v>0</v>
      </c>
      <c r="I23" s="1143">
        <v>805</v>
      </c>
    </row>
    <row r="24" spans="1:9" s="913" customFormat="1" ht="12.75" customHeight="1">
      <c r="A24" s="909" t="s">
        <v>67</v>
      </c>
      <c r="B24" s="910"/>
      <c r="C24" s="1463" t="s">
        <v>13</v>
      </c>
      <c r="D24" s="1463"/>
      <c r="E24" s="911">
        <f>SUM(E17:E23)</f>
        <v>199348</v>
      </c>
      <c r="F24" s="911">
        <f>SUM(F17:F23)</f>
        <v>36205</v>
      </c>
      <c r="G24" s="912">
        <f>SUM(G17:G23)</f>
        <v>141518</v>
      </c>
      <c r="H24" s="912">
        <f>SUM(H17:H23)</f>
        <v>141918</v>
      </c>
      <c r="I24" s="1144">
        <f>SUM(I17:I23)</f>
        <v>122741</v>
      </c>
    </row>
    <row r="25" spans="1:9" ht="12.75" customHeight="1">
      <c r="A25" s="904" t="s">
        <v>68</v>
      </c>
      <c r="B25" s="907"/>
      <c r="C25" s="907" t="s">
        <v>755</v>
      </c>
      <c r="D25" s="907"/>
      <c r="E25" s="906"/>
      <c r="F25" s="907">
        <v>90000</v>
      </c>
      <c r="G25" s="908">
        <v>90000</v>
      </c>
      <c r="H25" s="908">
        <v>80000</v>
      </c>
      <c r="I25" s="1143">
        <v>80000</v>
      </c>
    </row>
    <row r="26" spans="1:9" ht="12.75" customHeight="1">
      <c r="A26" s="904" t="s">
        <v>70</v>
      </c>
      <c r="B26" s="914"/>
      <c r="C26" s="907" t="s">
        <v>244</v>
      </c>
      <c r="D26" s="907"/>
      <c r="E26" s="906">
        <v>110000</v>
      </c>
      <c r="F26" s="907">
        <v>0</v>
      </c>
      <c r="G26" s="908">
        <v>0</v>
      </c>
      <c r="H26" s="908">
        <v>0</v>
      </c>
      <c r="I26" s="1143">
        <v>0</v>
      </c>
    </row>
    <row r="27" spans="1:9" ht="12.75" customHeight="1">
      <c r="A27" s="915" t="s">
        <v>97</v>
      </c>
      <c r="B27" s="916"/>
      <c r="C27" s="917" t="s">
        <v>194</v>
      </c>
      <c r="D27" s="917"/>
      <c r="E27" s="918">
        <v>10166</v>
      </c>
      <c r="F27" s="917">
        <v>6052</v>
      </c>
      <c r="G27" s="919">
        <v>6052</v>
      </c>
      <c r="H27" s="919">
        <v>6052</v>
      </c>
      <c r="I27" s="1145">
        <v>4153</v>
      </c>
    </row>
    <row r="28" spans="1:9" ht="12.75" customHeight="1">
      <c r="A28" s="915" t="s">
        <v>99</v>
      </c>
      <c r="B28" s="914"/>
      <c r="C28" s="1456" t="s">
        <v>232</v>
      </c>
      <c r="D28" s="1456"/>
      <c r="E28" s="906">
        <v>73227</v>
      </c>
      <c r="F28" s="907">
        <v>51066</v>
      </c>
      <c r="G28" s="908">
        <v>51066</v>
      </c>
      <c r="H28" s="908">
        <v>51066</v>
      </c>
      <c r="I28" s="1143">
        <v>51066</v>
      </c>
    </row>
    <row r="29" spans="1:9" s="913" customFormat="1" ht="12.75" customHeight="1">
      <c r="A29" s="920" t="s">
        <v>101</v>
      </c>
      <c r="B29" s="910"/>
      <c r="C29" s="1463" t="s">
        <v>192</v>
      </c>
      <c r="D29" s="1463"/>
      <c r="E29" s="911">
        <f>SUM(E25:E28)</f>
        <v>193393</v>
      </c>
      <c r="F29" s="911">
        <f>SUM(F25:F28)</f>
        <v>147118</v>
      </c>
      <c r="G29" s="911">
        <f>SUM(G25:G28)</f>
        <v>147118</v>
      </c>
      <c r="H29" s="911">
        <f>SUM(H25:H28)</f>
        <v>137118</v>
      </c>
      <c r="I29" s="1146">
        <f>SUM(I25:I28)</f>
        <v>135219</v>
      </c>
    </row>
    <row r="30" spans="1:9" ht="12.75" customHeight="1" thickBot="1">
      <c r="A30" s="921" t="s">
        <v>103</v>
      </c>
      <c r="B30" s="922"/>
      <c r="C30" s="900"/>
      <c r="D30" s="901"/>
      <c r="E30" s="902"/>
      <c r="F30" s="901"/>
      <c r="G30" s="901"/>
      <c r="H30" s="901"/>
      <c r="I30" s="901"/>
    </row>
    <row r="31" spans="1:9" ht="12.75" customHeight="1" thickBot="1">
      <c r="A31" s="923" t="s">
        <v>105</v>
      </c>
      <c r="B31" s="924"/>
      <c r="C31" s="925" t="s">
        <v>116</v>
      </c>
      <c r="D31" s="926"/>
      <c r="E31" s="927">
        <f>SUM(E29,E24,E16)</f>
        <v>798572</v>
      </c>
      <c r="F31" s="927">
        <f>SUM(F29,F24,F16)</f>
        <v>557239</v>
      </c>
      <c r="G31" s="927">
        <f>SUM(G29,G24,G16)</f>
        <v>663709</v>
      </c>
      <c r="H31" s="927">
        <f>SUM(H29,H24,H16)</f>
        <v>669339</v>
      </c>
      <c r="I31" s="927">
        <f>SUM(I29,I24,I16)</f>
        <v>657710</v>
      </c>
    </row>
    <row r="32" spans="1:9" ht="12.75" customHeight="1" thickBot="1">
      <c r="A32" s="894"/>
      <c r="B32" s="894"/>
      <c r="C32" s="894"/>
      <c r="D32" s="894"/>
      <c r="E32" s="894"/>
      <c r="F32" s="894"/>
      <c r="G32" s="894"/>
      <c r="H32" s="894"/>
      <c r="I32" s="894"/>
    </row>
    <row r="33" spans="1:9" ht="33.75" customHeight="1">
      <c r="A33" s="1457" t="s">
        <v>156</v>
      </c>
      <c r="B33" s="1457"/>
      <c r="C33" s="928" t="s">
        <v>331</v>
      </c>
      <c r="D33" s="929" t="s">
        <v>721</v>
      </c>
      <c r="E33" s="930" t="s">
        <v>158</v>
      </c>
      <c r="F33" s="930" t="s">
        <v>159</v>
      </c>
      <c r="G33" s="929" t="s">
        <v>201</v>
      </c>
      <c r="H33" s="929" t="s">
        <v>162</v>
      </c>
      <c r="I33" s="929" t="s">
        <v>905</v>
      </c>
    </row>
    <row r="34" spans="1:9" ht="19.5" customHeight="1">
      <c r="A34" s="1455" t="s">
        <v>163</v>
      </c>
      <c r="B34" s="1455"/>
      <c r="C34" s="895" t="s">
        <v>164</v>
      </c>
      <c r="D34" s="895" t="s">
        <v>165</v>
      </c>
      <c r="E34" s="895" t="s">
        <v>166</v>
      </c>
      <c r="F34" s="895" t="s">
        <v>167</v>
      </c>
      <c r="G34" s="895" t="s">
        <v>168</v>
      </c>
      <c r="H34" s="895" t="s">
        <v>228</v>
      </c>
      <c r="I34" s="895" t="s">
        <v>688</v>
      </c>
    </row>
    <row r="35" spans="1:9" ht="12.75" customHeight="1">
      <c r="A35" s="931" t="s">
        <v>38</v>
      </c>
      <c r="B35" s="932" t="s">
        <v>169</v>
      </c>
      <c r="C35" s="933" t="s">
        <v>756</v>
      </c>
      <c r="D35" s="933"/>
      <c r="E35" s="724">
        <v>600</v>
      </c>
      <c r="F35" s="933">
        <v>673</v>
      </c>
      <c r="G35" s="933">
        <v>673</v>
      </c>
      <c r="H35" s="933">
        <v>673</v>
      </c>
      <c r="I35" s="933">
        <v>673</v>
      </c>
    </row>
    <row r="36" spans="1:9" ht="12.75" customHeight="1">
      <c r="A36" s="934" t="s">
        <v>40</v>
      </c>
      <c r="B36" s="935"/>
      <c r="C36" s="936" t="s">
        <v>336</v>
      </c>
      <c r="D36" s="936"/>
      <c r="E36" s="936">
        <v>600</v>
      </c>
      <c r="F36" s="936">
        <v>673</v>
      </c>
      <c r="G36" s="936">
        <v>673</v>
      </c>
      <c r="H36" s="936">
        <v>673</v>
      </c>
      <c r="I36" s="936">
        <v>673</v>
      </c>
    </row>
    <row r="37" spans="1:9" ht="12.75" customHeight="1">
      <c r="A37" s="937" t="s">
        <v>47</v>
      </c>
      <c r="B37" s="938" t="s">
        <v>173</v>
      </c>
      <c r="C37" s="939" t="s">
        <v>337</v>
      </c>
      <c r="D37" s="939"/>
      <c r="E37" s="939">
        <v>0</v>
      </c>
      <c r="F37" s="939">
        <v>551</v>
      </c>
      <c r="G37" s="940">
        <v>551</v>
      </c>
      <c r="H37" s="940">
        <v>551</v>
      </c>
      <c r="I37" s="940">
        <v>551</v>
      </c>
    </row>
    <row r="38" spans="1:9" ht="12.75" customHeight="1">
      <c r="A38" s="934" t="s">
        <v>49</v>
      </c>
      <c r="B38" s="935"/>
      <c r="C38" s="936" t="s">
        <v>336</v>
      </c>
      <c r="D38" s="936"/>
      <c r="E38" s="936">
        <v>0</v>
      </c>
      <c r="F38" s="936">
        <v>551</v>
      </c>
      <c r="G38" s="941">
        <v>551</v>
      </c>
      <c r="H38" s="941">
        <v>551</v>
      </c>
      <c r="I38" s="941">
        <v>551</v>
      </c>
    </row>
    <row r="39" spans="1:9" ht="12.75" customHeight="1">
      <c r="A39" s="934" t="s">
        <v>51</v>
      </c>
      <c r="B39" s="935"/>
      <c r="C39" s="936" t="s">
        <v>338</v>
      </c>
      <c r="D39" s="936"/>
      <c r="E39" s="936"/>
      <c r="F39" s="936"/>
      <c r="G39" s="936"/>
      <c r="H39" s="936"/>
      <c r="I39" s="936"/>
    </row>
    <row r="40" spans="1:9" ht="33" customHeight="1">
      <c r="A40" s="937" t="s">
        <v>53</v>
      </c>
      <c r="B40" s="938" t="s">
        <v>177</v>
      </c>
      <c r="C40" s="942" t="s">
        <v>757</v>
      </c>
      <c r="D40" s="939"/>
      <c r="E40" s="10">
        <f>SUM(E41:E44)</f>
        <v>199227</v>
      </c>
      <c r="F40" s="939">
        <f>SUM(F41:F44)</f>
        <v>140442</v>
      </c>
      <c r="G40" s="939">
        <f>SUM(G41:G44)</f>
        <v>158701</v>
      </c>
      <c r="H40" s="939">
        <f>SUM(H41:H44)</f>
        <v>0</v>
      </c>
      <c r="I40" s="939">
        <f>SUM(I41:I44)</f>
        <v>0</v>
      </c>
    </row>
    <row r="41" spans="1:9" ht="12.75" customHeight="1">
      <c r="A41" s="934" t="s">
        <v>55</v>
      </c>
      <c r="B41" s="935"/>
      <c r="C41" s="936" t="s">
        <v>203</v>
      </c>
      <c r="D41" s="936"/>
      <c r="E41" s="936">
        <v>0</v>
      </c>
      <c r="F41" s="936">
        <v>0</v>
      </c>
      <c r="G41" s="936">
        <v>0</v>
      </c>
      <c r="H41" s="936">
        <v>0</v>
      </c>
      <c r="I41" s="936">
        <v>0</v>
      </c>
    </row>
    <row r="42" spans="1:9" ht="12.75" customHeight="1">
      <c r="A42" s="934" t="s">
        <v>57</v>
      </c>
      <c r="B42" s="935"/>
      <c r="C42" s="936" t="s">
        <v>204</v>
      </c>
      <c r="D42" s="936"/>
      <c r="E42" s="936">
        <v>0</v>
      </c>
      <c r="F42" s="936">
        <v>0</v>
      </c>
      <c r="G42" s="936">
        <v>0</v>
      </c>
      <c r="H42" s="936">
        <v>0</v>
      </c>
      <c r="I42" s="936">
        <v>0</v>
      </c>
    </row>
    <row r="43" spans="1:9" ht="12.75" customHeight="1">
      <c r="A43" s="934" t="s">
        <v>86</v>
      </c>
      <c r="B43" s="935"/>
      <c r="C43" s="943" t="s">
        <v>340</v>
      </c>
      <c r="D43" s="943"/>
      <c r="E43" s="936">
        <v>22789</v>
      </c>
      <c r="F43" s="936">
        <v>15000</v>
      </c>
      <c r="G43" s="936">
        <v>15000</v>
      </c>
      <c r="H43" s="936">
        <v>0</v>
      </c>
      <c r="I43" s="936">
        <v>0</v>
      </c>
    </row>
    <row r="44" spans="1:9" ht="12.75" customHeight="1">
      <c r="A44" s="934" t="s">
        <v>59</v>
      </c>
      <c r="B44" s="935"/>
      <c r="C44" s="936" t="s">
        <v>338</v>
      </c>
      <c r="D44" s="936"/>
      <c r="E44" s="941">
        <v>176438</v>
      </c>
      <c r="F44" s="936">
        <v>125442</v>
      </c>
      <c r="G44" s="936">
        <v>143701</v>
      </c>
      <c r="H44" s="936">
        <v>0</v>
      </c>
      <c r="I44" s="936">
        <v>0</v>
      </c>
    </row>
    <row r="45" spans="1:9" s="945" customFormat="1" ht="12.75" customHeight="1">
      <c r="A45" s="934" t="s">
        <v>61</v>
      </c>
      <c r="B45" s="938" t="s">
        <v>179</v>
      </c>
      <c r="C45" s="939" t="s">
        <v>758</v>
      </c>
      <c r="D45" s="939"/>
      <c r="E45" s="944">
        <v>3</v>
      </c>
      <c r="F45" s="939">
        <v>0</v>
      </c>
      <c r="G45" s="939">
        <v>0</v>
      </c>
      <c r="H45" s="939">
        <v>0</v>
      </c>
      <c r="I45" s="939">
        <v>0</v>
      </c>
    </row>
    <row r="46" spans="1:9" ht="12.75" customHeight="1">
      <c r="A46" s="934" t="s">
        <v>63</v>
      </c>
      <c r="B46" s="935"/>
      <c r="C46" s="936" t="s">
        <v>759</v>
      </c>
      <c r="D46" s="936"/>
      <c r="E46" s="941">
        <v>3</v>
      </c>
      <c r="F46" s="936">
        <v>0</v>
      </c>
      <c r="G46" s="936">
        <v>0</v>
      </c>
      <c r="H46" s="936">
        <v>0</v>
      </c>
      <c r="I46" s="936">
        <v>0</v>
      </c>
    </row>
    <row r="47" spans="1:9" s="945" customFormat="1" ht="12.75" customHeight="1">
      <c r="A47" s="934" t="s">
        <v>65</v>
      </c>
      <c r="B47" s="938" t="s">
        <v>180</v>
      </c>
      <c r="C47" s="939" t="s">
        <v>760</v>
      </c>
      <c r="D47" s="939"/>
      <c r="E47" s="944">
        <v>434</v>
      </c>
      <c r="F47" s="939">
        <v>0</v>
      </c>
      <c r="G47" s="939">
        <v>0</v>
      </c>
      <c r="H47" s="939">
        <v>0</v>
      </c>
      <c r="I47" s="939">
        <v>0</v>
      </c>
    </row>
    <row r="48" spans="1:9" ht="12.75" customHeight="1">
      <c r="A48" s="934" t="s">
        <v>92</v>
      </c>
      <c r="B48" s="935"/>
      <c r="C48" s="936" t="s">
        <v>759</v>
      </c>
      <c r="D48" s="936"/>
      <c r="E48" s="941">
        <v>434</v>
      </c>
      <c r="F48" s="936">
        <v>0</v>
      </c>
      <c r="G48" s="936">
        <v>0</v>
      </c>
      <c r="H48" s="936">
        <v>0</v>
      </c>
      <c r="I48" s="936">
        <v>0</v>
      </c>
    </row>
    <row r="49" spans="1:9" s="945" customFormat="1" ht="12.75" customHeight="1">
      <c r="A49" s="934" t="s">
        <v>66</v>
      </c>
      <c r="B49" s="938" t="s">
        <v>182</v>
      </c>
      <c r="C49" s="939" t="s">
        <v>761</v>
      </c>
      <c r="D49" s="939"/>
      <c r="E49" s="944">
        <v>382</v>
      </c>
      <c r="F49" s="939">
        <v>0</v>
      </c>
      <c r="G49" s="939">
        <v>0</v>
      </c>
      <c r="H49" s="939">
        <v>0</v>
      </c>
      <c r="I49" s="939">
        <v>0</v>
      </c>
    </row>
    <row r="50" spans="1:9" ht="12.75" customHeight="1">
      <c r="A50" s="934" t="s">
        <v>67</v>
      </c>
      <c r="B50" s="935"/>
      <c r="C50" s="936" t="s">
        <v>759</v>
      </c>
      <c r="D50" s="936"/>
      <c r="E50" s="941">
        <v>382</v>
      </c>
      <c r="F50" s="936">
        <v>0</v>
      </c>
      <c r="G50" s="936">
        <v>0</v>
      </c>
      <c r="H50" s="936">
        <v>0</v>
      </c>
      <c r="I50" s="936">
        <v>0</v>
      </c>
    </row>
    <row r="51" spans="1:9" s="945" customFormat="1" ht="12.75" customHeight="1">
      <c r="A51" s="934" t="s">
        <v>68</v>
      </c>
      <c r="B51" s="938" t="s">
        <v>184</v>
      </c>
      <c r="C51" s="939" t="s">
        <v>762</v>
      </c>
      <c r="D51" s="939"/>
      <c r="E51" s="944">
        <v>23974</v>
      </c>
      <c r="F51" s="939">
        <v>0</v>
      </c>
      <c r="G51" s="939">
        <v>0</v>
      </c>
      <c r="H51" s="939">
        <v>0</v>
      </c>
      <c r="I51" s="939">
        <v>0</v>
      </c>
    </row>
    <row r="52" spans="1:9" ht="12.75" customHeight="1">
      <c r="A52" s="934" t="s">
        <v>70</v>
      </c>
      <c r="B52" s="935"/>
      <c r="C52" s="936"/>
      <c r="D52" s="936"/>
      <c r="E52" s="941">
        <v>23974</v>
      </c>
      <c r="F52" s="936">
        <v>0</v>
      </c>
      <c r="G52" s="936">
        <v>0</v>
      </c>
      <c r="H52" s="936">
        <v>0</v>
      </c>
      <c r="I52" s="936">
        <v>0</v>
      </c>
    </row>
    <row r="53" spans="1:9" ht="12.75" customHeight="1">
      <c r="A53" s="934" t="s">
        <v>97</v>
      </c>
      <c r="B53" s="938" t="s">
        <v>186</v>
      </c>
      <c r="C53" s="939" t="s">
        <v>763</v>
      </c>
      <c r="D53" s="939"/>
      <c r="E53" s="10">
        <f>SUM(E54)</f>
        <v>9204</v>
      </c>
      <c r="F53" s="939">
        <v>8200</v>
      </c>
      <c r="G53" s="939">
        <v>8200</v>
      </c>
      <c r="H53" s="939">
        <v>8200</v>
      </c>
      <c r="I53" s="939">
        <v>8200</v>
      </c>
    </row>
    <row r="54" spans="1:9" ht="12.75" customHeight="1">
      <c r="A54" s="934" t="s">
        <v>99</v>
      </c>
      <c r="B54" s="935"/>
      <c r="C54" s="936" t="s">
        <v>336</v>
      </c>
      <c r="D54" s="936"/>
      <c r="E54" s="936">
        <v>9204</v>
      </c>
      <c r="F54" s="936">
        <v>8200</v>
      </c>
      <c r="G54" s="936">
        <v>8200</v>
      </c>
      <c r="H54" s="936">
        <v>8200</v>
      </c>
      <c r="I54" s="936">
        <v>8200</v>
      </c>
    </row>
    <row r="55" spans="1:9" ht="12.75" customHeight="1">
      <c r="A55" s="934" t="s">
        <v>101</v>
      </c>
      <c r="B55" s="938" t="s">
        <v>191</v>
      </c>
      <c r="C55" s="939" t="s">
        <v>342</v>
      </c>
      <c r="D55" s="939"/>
      <c r="E55" s="939">
        <v>0</v>
      </c>
      <c r="F55" s="939">
        <v>130</v>
      </c>
      <c r="G55" s="939">
        <v>130</v>
      </c>
      <c r="H55" s="939">
        <v>130</v>
      </c>
      <c r="I55" s="939">
        <v>130</v>
      </c>
    </row>
    <row r="56" spans="1:9" ht="12.75" customHeight="1">
      <c r="A56" s="934" t="s">
        <v>103</v>
      </c>
      <c r="B56" s="935"/>
      <c r="C56" s="936" t="s">
        <v>336</v>
      </c>
      <c r="D56" s="936"/>
      <c r="E56" s="936">
        <v>0</v>
      </c>
      <c r="F56" s="936">
        <v>130</v>
      </c>
      <c r="G56" s="936">
        <v>130</v>
      </c>
      <c r="H56" s="936">
        <v>130</v>
      </c>
      <c r="I56" s="936">
        <v>130</v>
      </c>
    </row>
    <row r="57" spans="1:9" ht="12.75" customHeight="1">
      <c r="A57" s="934" t="s">
        <v>105</v>
      </c>
      <c r="B57" s="938" t="s">
        <v>196</v>
      </c>
      <c r="C57" s="939" t="s">
        <v>343</v>
      </c>
      <c r="D57" s="939">
        <v>4</v>
      </c>
      <c r="E57" s="10">
        <f>SUM(E58:E62)</f>
        <v>38030</v>
      </c>
      <c r="F57" s="939">
        <f>SUM(F58:F62)</f>
        <v>35014</v>
      </c>
      <c r="G57" s="939">
        <f>SUM(G58:G62)</f>
        <v>35014</v>
      </c>
      <c r="H57" s="939">
        <f>SUM(H58:H62)</f>
        <v>35014</v>
      </c>
      <c r="I57" s="939">
        <f>SUM(I58:I62)</f>
        <v>35014</v>
      </c>
    </row>
    <row r="58" spans="1:9" ht="12.75" customHeight="1">
      <c r="A58" s="934" t="s">
        <v>107</v>
      </c>
      <c r="B58" s="935"/>
      <c r="C58" s="936" t="s">
        <v>203</v>
      </c>
      <c r="D58" s="936"/>
      <c r="E58" s="936">
        <v>24436</v>
      </c>
      <c r="F58" s="941">
        <v>23185</v>
      </c>
      <c r="G58" s="941">
        <v>23185</v>
      </c>
      <c r="H58" s="941">
        <v>23185</v>
      </c>
      <c r="I58" s="941">
        <v>23185</v>
      </c>
    </row>
    <row r="59" spans="1:9" ht="12.75" customHeight="1">
      <c r="A59" s="934" t="s">
        <v>109</v>
      </c>
      <c r="B59" s="935"/>
      <c r="C59" s="936" t="s">
        <v>204</v>
      </c>
      <c r="D59" s="936"/>
      <c r="E59" s="936">
        <v>7019</v>
      </c>
      <c r="F59" s="941">
        <v>6329</v>
      </c>
      <c r="G59" s="941">
        <v>6329</v>
      </c>
      <c r="H59" s="941">
        <v>6329</v>
      </c>
      <c r="I59" s="941">
        <v>6329</v>
      </c>
    </row>
    <row r="60" spans="1:9" ht="12.75" customHeight="1">
      <c r="A60" s="934" t="s">
        <v>111</v>
      </c>
      <c r="B60" s="946"/>
      <c r="C60" s="943" t="s">
        <v>340</v>
      </c>
      <c r="D60" s="943"/>
      <c r="E60" s="936">
        <v>5141</v>
      </c>
      <c r="F60" s="936">
        <v>4000</v>
      </c>
      <c r="G60" s="936">
        <v>4000</v>
      </c>
      <c r="H60" s="936">
        <v>4000</v>
      </c>
      <c r="I60" s="936">
        <v>4000</v>
      </c>
    </row>
    <row r="61" spans="1:9" ht="12.75" customHeight="1">
      <c r="A61" s="934" t="s">
        <v>113</v>
      </c>
      <c r="B61" s="946"/>
      <c r="C61" s="943" t="s">
        <v>237</v>
      </c>
      <c r="D61" s="943"/>
      <c r="E61" s="936">
        <v>1321</v>
      </c>
      <c r="F61" s="936">
        <v>1500</v>
      </c>
      <c r="G61" s="936">
        <v>1500</v>
      </c>
      <c r="H61" s="936">
        <v>1500</v>
      </c>
      <c r="I61" s="936">
        <v>1500</v>
      </c>
    </row>
    <row r="62" spans="1:9" ht="12.75" customHeight="1">
      <c r="A62" s="934" t="s">
        <v>115</v>
      </c>
      <c r="B62" s="946"/>
      <c r="C62" s="943" t="s">
        <v>376</v>
      </c>
      <c r="D62" s="943"/>
      <c r="E62" s="936">
        <v>113</v>
      </c>
      <c r="F62" s="936"/>
      <c r="G62" s="936"/>
      <c r="H62" s="936"/>
      <c r="I62" s="936"/>
    </row>
    <row r="63" spans="1:9" ht="12.75" customHeight="1">
      <c r="A63" s="934" t="s">
        <v>117</v>
      </c>
      <c r="B63" s="947" t="s">
        <v>277</v>
      </c>
      <c r="C63" s="939" t="s">
        <v>345</v>
      </c>
      <c r="D63" s="939"/>
      <c r="E63" s="10">
        <f>SUM(E64:E66)</f>
        <v>1434</v>
      </c>
      <c r="F63" s="939">
        <f>SUM(F65:F66)</f>
        <v>0</v>
      </c>
      <c r="G63" s="939">
        <f>SUM(G65:G66)</f>
        <v>0</v>
      </c>
      <c r="H63" s="939">
        <f>SUM(H65:H66)</f>
        <v>0</v>
      </c>
      <c r="I63" s="939">
        <f>SUM(I65:I66)</f>
        <v>0</v>
      </c>
    </row>
    <row r="64" spans="1:9" ht="12.75" customHeight="1">
      <c r="A64" s="934" t="s">
        <v>118</v>
      </c>
      <c r="B64" s="946"/>
      <c r="C64" s="936" t="s">
        <v>346</v>
      </c>
      <c r="D64" s="936"/>
      <c r="E64" s="936"/>
      <c r="F64" s="936"/>
      <c r="G64" s="936"/>
      <c r="H64" s="936"/>
      <c r="I64" s="936"/>
    </row>
    <row r="65" spans="1:9" ht="12.75" customHeight="1">
      <c r="A65" s="934" t="s">
        <v>120</v>
      </c>
      <c r="B65" s="946"/>
      <c r="C65" s="936" t="s">
        <v>347</v>
      </c>
      <c r="D65" s="936"/>
      <c r="E65" s="936">
        <v>789</v>
      </c>
      <c r="F65" s="936"/>
      <c r="G65" s="936">
        <v>0</v>
      </c>
      <c r="H65" s="936">
        <v>0</v>
      </c>
      <c r="I65" s="936">
        <v>0</v>
      </c>
    </row>
    <row r="66" spans="1:9" ht="12.75" customHeight="1">
      <c r="A66" s="934" t="s">
        <v>122</v>
      </c>
      <c r="B66" s="946"/>
      <c r="C66" s="936" t="s">
        <v>340</v>
      </c>
      <c r="D66" s="936"/>
      <c r="E66" s="936">
        <v>645</v>
      </c>
      <c r="F66" s="936"/>
      <c r="G66" s="936">
        <v>0</v>
      </c>
      <c r="H66" s="936">
        <v>0</v>
      </c>
      <c r="I66" s="936">
        <v>0</v>
      </c>
    </row>
    <row r="67" spans="1:9" ht="12.75" customHeight="1">
      <c r="A67" s="934" t="s">
        <v>124</v>
      </c>
      <c r="B67" s="947" t="s">
        <v>764</v>
      </c>
      <c r="C67" s="939" t="s">
        <v>765</v>
      </c>
      <c r="D67" s="939"/>
      <c r="E67" s="939">
        <f>SUM(E68:E70)</f>
        <v>0</v>
      </c>
      <c r="F67" s="939">
        <f>SUM(F68:F69)</f>
        <v>236</v>
      </c>
      <c r="G67" s="939">
        <v>236</v>
      </c>
      <c r="H67" s="939">
        <v>236</v>
      </c>
      <c r="I67" s="939">
        <v>236</v>
      </c>
    </row>
    <row r="68" spans="1:9" ht="12.75" customHeight="1">
      <c r="A68" s="934" t="s">
        <v>126</v>
      </c>
      <c r="B68" s="946"/>
      <c r="C68" s="936" t="s">
        <v>203</v>
      </c>
      <c r="D68" s="936"/>
      <c r="E68" s="936">
        <v>0</v>
      </c>
      <c r="F68" s="936">
        <v>185</v>
      </c>
      <c r="G68" s="936">
        <v>185</v>
      </c>
      <c r="H68" s="936">
        <v>185</v>
      </c>
      <c r="I68" s="936">
        <v>185</v>
      </c>
    </row>
    <row r="69" spans="1:9" ht="12.75" customHeight="1">
      <c r="A69" s="934" t="s">
        <v>128</v>
      </c>
      <c r="B69" s="946"/>
      <c r="C69" s="936" t="s">
        <v>204</v>
      </c>
      <c r="D69" s="936"/>
      <c r="E69" s="936">
        <v>0</v>
      </c>
      <c r="F69" s="936">
        <v>51</v>
      </c>
      <c r="G69" s="936">
        <v>51</v>
      </c>
      <c r="H69" s="936">
        <v>51</v>
      </c>
      <c r="I69" s="936">
        <v>51</v>
      </c>
    </row>
    <row r="70" spans="1:9" ht="12.75" customHeight="1">
      <c r="A70" s="934" t="s">
        <v>130</v>
      </c>
      <c r="B70" s="946"/>
      <c r="C70" s="936" t="s">
        <v>344</v>
      </c>
      <c r="D70" s="936"/>
      <c r="E70" s="936"/>
      <c r="F70" s="936"/>
      <c r="G70" s="936"/>
      <c r="H70" s="936"/>
      <c r="I70" s="936"/>
    </row>
    <row r="71" spans="1:9" s="945" customFormat="1" ht="12.75" customHeight="1">
      <c r="A71" s="934" t="s">
        <v>131</v>
      </c>
      <c r="B71" s="947" t="s">
        <v>766</v>
      </c>
      <c r="C71" s="939" t="s">
        <v>767</v>
      </c>
      <c r="D71" s="939"/>
      <c r="E71" s="10">
        <v>103</v>
      </c>
      <c r="F71" s="939">
        <v>0</v>
      </c>
      <c r="G71" s="939">
        <v>0</v>
      </c>
      <c r="H71" s="939">
        <v>0</v>
      </c>
      <c r="I71" s="939">
        <v>0</v>
      </c>
    </row>
    <row r="72" spans="1:9" ht="12.75" customHeight="1">
      <c r="A72" s="934" t="s">
        <v>133</v>
      </c>
      <c r="B72" s="946"/>
      <c r="C72" s="936" t="s">
        <v>768</v>
      </c>
      <c r="D72" s="936"/>
      <c r="E72" s="936">
        <v>103</v>
      </c>
      <c r="F72" s="936">
        <v>0</v>
      </c>
      <c r="G72" s="936">
        <v>0</v>
      </c>
      <c r="H72" s="936">
        <v>0</v>
      </c>
      <c r="I72" s="936">
        <v>0</v>
      </c>
    </row>
    <row r="73" spans="1:9" ht="12.75" customHeight="1">
      <c r="A73" s="934" t="s">
        <v>135</v>
      </c>
      <c r="B73" s="947" t="s">
        <v>769</v>
      </c>
      <c r="C73" s="939" t="s">
        <v>349</v>
      </c>
      <c r="D73" s="939"/>
      <c r="E73" s="939">
        <f>SUM(E74:E78)</f>
        <v>29447</v>
      </c>
      <c r="F73" s="939">
        <f>SUM(F74:F77)</f>
        <v>31264</v>
      </c>
      <c r="G73" s="939">
        <f>SUM(G74:G77)</f>
        <v>32112</v>
      </c>
      <c r="H73" s="939">
        <f>SUM(H74:H77)</f>
        <v>34077</v>
      </c>
      <c r="I73" s="939">
        <f>SUM(I74:I77)</f>
        <v>34172</v>
      </c>
    </row>
    <row r="74" spans="1:9" ht="12.75" customHeight="1">
      <c r="A74" s="934" t="s">
        <v>137</v>
      </c>
      <c r="B74" s="946"/>
      <c r="C74" s="936" t="s">
        <v>344</v>
      </c>
      <c r="D74" s="936"/>
      <c r="E74" s="936">
        <v>6746</v>
      </c>
      <c r="F74" s="936">
        <v>8639</v>
      </c>
      <c r="G74" s="936">
        <v>8639</v>
      </c>
      <c r="H74" s="936">
        <v>8772</v>
      </c>
      <c r="I74" s="936">
        <v>7272</v>
      </c>
    </row>
    <row r="75" spans="1:9" ht="12.75" customHeight="1">
      <c r="A75" s="934" t="s">
        <v>139</v>
      </c>
      <c r="B75" s="946"/>
      <c r="C75" s="936" t="s">
        <v>770</v>
      </c>
      <c r="D75" s="936"/>
      <c r="E75" s="936">
        <v>18093</v>
      </c>
      <c r="F75" s="936">
        <v>18725</v>
      </c>
      <c r="G75" s="936">
        <v>19573</v>
      </c>
      <c r="H75" s="936">
        <v>21405</v>
      </c>
      <c r="I75" s="936">
        <v>23000</v>
      </c>
    </row>
    <row r="76" spans="1:9" ht="12.75" customHeight="1">
      <c r="A76" s="934" t="s">
        <v>141</v>
      </c>
      <c r="B76" s="946"/>
      <c r="C76" s="936" t="s">
        <v>771</v>
      </c>
      <c r="D76" s="936"/>
      <c r="E76" s="936">
        <v>4007</v>
      </c>
      <c r="F76" s="936">
        <v>3000</v>
      </c>
      <c r="G76" s="936">
        <v>3000</v>
      </c>
      <c r="H76" s="936">
        <v>3000</v>
      </c>
      <c r="I76" s="936">
        <v>3000</v>
      </c>
    </row>
    <row r="77" spans="1:9" ht="12.75" customHeight="1">
      <c r="A77" s="934" t="s">
        <v>143</v>
      </c>
      <c r="B77" s="946"/>
      <c r="C77" s="936" t="s">
        <v>352</v>
      </c>
      <c r="D77" s="936"/>
      <c r="E77" s="936">
        <v>601</v>
      </c>
      <c r="F77" s="936">
        <v>900</v>
      </c>
      <c r="G77" s="936">
        <v>900</v>
      </c>
      <c r="H77" s="936">
        <v>900</v>
      </c>
      <c r="I77" s="936">
        <v>900</v>
      </c>
    </row>
    <row r="78" spans="1:9" ht="12.75" customHeight="1">
      <c r="A78" s="934" t="s">
        <v>145</v>
      </c>
      <c r="B78" s="946"/>
      <c r="C78" s="936" t="s">
        <v>772</v>
      </c>
      <c r="D78" s="936"/>
      <c r="E78" s="936"/>
      <c r="F78" s="936"/>
      <c r="G78" s="936"/>
      <c r="H78" s="936"/>
      <c r="I78" s="936"/>
    </row>
    <row r="79" spans="1:9" ht="12.75" customHeight="1">
      <c r="A79" s="934" t="s">
        <v>147</v>
      </c>
      <c r="B79" s="947" t="s">
        <v>773</v>
      </c>
      <c r="C79" s="939" t="s">
        <v>353</v>
      </c>
      <c r="D79" s="939"/>
      <c r="E79" s="10">
        <f>SUM(E80:E96)</f>
        <v>5432</v>
      </c>
      <c r="F79" s="939">
        <f>SUM(F80:F96)</f>
        <v>3210</v>
      </c>
      <c r="G79" s="939">
        <f>SUM(G80:G96)</f>
        <v>3210</v>
      </c>
      <c r="H79" s="939">
        <f>SUM(H80:H96)</f>
        <v>3210</v>
      </c>
      <c r="I79" s="939">
        <f>SUM(I80:I96)</f>
        <v>3274</v>
      </c>
    </row>
    <row r="80" spans="1:9" ht="12.75" customHeight="1">
      <c r="A80" s="934" t="s">
        <v>149</v>
      </c>
      <c r="B80" s="946"/>
      <c r="C80" s="936" t="s">
        <v>774</v>
      </c>
      <c r="D80" s="936"/>
      <c r="E80" s="936"/>
      <c r="F80" s="936">
        <v>0</v>
      </c>
      <c r="G80" s="936">
        <v>0</v>
      </c>
      <c r="H80" s="936">
        <v>0</v>
      </c>
      <c r="I80" s="936">
        <v>0</v>
      </c>
    </row>
    <row r="81" spans="1:9" ht="12.75" customHeight="1">
      <c r="A81" s="934" t="s">
        <v>151</v>
      </c>
      <c r="B81" s="946"/>
      <c r="C81" s="936" t="s">
        <v>775</v>
      </c>
      <c r="D81" s="936"/>
      <c r="E81" s="941">
        <v>1168</v>
      </c>
      <c r="F81" s="936">
        <v>0</v>
      </c>
      <c r="G81" s="936">
        <v>0</v>
      </c>
      <c r="H81" s="936">
        <v>0</v>
      </c>
      <c r="I81" s="936">
        <v>0</v>
      </c>
    </row>
    <row r="82" spans="1:9" ht="12.75" customHeight="1">
      <c r="A82" s="934" t="s">
        <v>213</v>
      </c>
      <c r="B82" s="946"/>
      <c r="C82" s="936" t="s">
        <v>355</v>
      </c>
      <c r="D82" s="936"/>
      <c r="E82" s="941">
        <v>264</v>
      </c>
      <c r="F82" s="936">
        <v>0</v>
      </c>
      <c r="G82" s="936">
        <v>0</v>
      </c>
      <c r="H82" s="936">
        <v>0</v>
      </c>
      <c r="I82" s="936">
        <v>0</v>
      </c>
    </row>
    <row r="83" spans="1:9" ht="12.75" customHeight="1">
      <c r="A83" s="934" t="s">
        <v>215</v>
      </c>
      <c r="B83" s="946"/>
      <c r="C83" s="936" t="s">
        <v>356</v>
      </c>
      <c r="D83" s="936"/>
      <c r="E83" s="941">
        <v>1400</v>
      </c>
      <c r="F83" s="936">
        <v>1500</v>
      </c>
      <c r="G83" s="936">
        <v>1500</v>
      </c>
      <c r="H83" s="936">
        <v>1500</v>
      </c>
      <c r="I83" s="936">
        <v>1500</v>
      </c>
    </row>
    <row r="84" spans="1:9" ht="12.75" customHeight="1">
      <c r="A84" s="934" t="s">
        <v>216</v>
      </c>
      <c r="B84" s="946"/>
      <c r="C84" s="936" t="s">
        <v>776</v>
      </c>
      <c r="D84" s="936"/>
      <c r="E84" s="941">
        <v>854</v>
      </c>
      <c r="F84" s="936"/>
      <c r="G84" s="936"/>
      <c r="H84" s="936"/>
      <c r="I84" s="936"/>
    </row>
    <row r="85" spans="1:9" ht="12.75" customHeight="1">
      <c r="A85" s="934" t="s">
        <v>218</v>
      </c>
      <c r="B85" s="946"/>
      <c r="C85" s="936" t="s">
        <v>777</v>
      </c>
      <c r="D85" s="936"/>
      <c r="E85" s="941"/>
      <c r="F85" s="936"/>
      <c r="G85" s="936"/>
      <c r="H85" s="936"/>
      <c r="I85" s="936"/>
    </row>
    <row r="86" spans="1:9" ht="12.75" customHeight="1">
      <c r="A86" s="934" t="s">
        <v>220</v>
      </c>
      <c r="B86" s="946"/>
      <c r="C86" s="936" t="s">
        <v>778</v>
      </c>
      <c r="D86" s="936"/>
      <c r="E86" s="941">
        <v>108</v>
      </c>
      <c r="F86" s="936">
        <v>400</v>
      </c>
      <c r="G86" s="936">
        <v>400</v>
      </c>
      <c r="H86" s="936">
        <v>400</v>
      </c>
      <c r="I86" s="936">
        <v>400</v>
      </c>
    </row>
    <row r="87" spans="1:9" ht="12.75" customHeight="1">
      <c r="A87" s="934" t="s">
        <v>371</v>
      </c>
      <c r="B87" s="946"/>
      <c r="C87" s="936" t="s">
        <v>363</v>
      </c>
      <c r="D87" s="936"/>
      <c r="E87" s="941">
        <v>755</v>
      </c>
      <c r="F87" s="936">
        <v>0</v>
      </c>
      <c r="G87" s="936">
        <v>0</v>
      </c>
      <c r="H87" s="936">
        <v>0</v>
      </c>
      <c r="I87" s="936">
        <v>0</v>
      </c>
    </row>
    <row r="88" spans="1:9" ht="12.75" customHeight="1">
      <c r="A88" s="934" t="s">
        <v>372</v>
      </c>
      <c r="B88" s="946"/>
      <c r="C88" s="936" t="s">
        <v>779</v>
      </c>
      <c r="D88" s="936"/>
      <c r="E88" s="941">
        <v>672</v>
      </c>
      <c r="F88" s="936">
        <v>950</v>
      </c>
      <c r="G88" s="936">
        <v>950</v>
      </c>
      <c r="H88" s="936">
        <v>950</v>
      </c>
      <c r="I88" s="936">
        <v>950</v>
      </c>
    </row>
    <row r="89" spans="1:9" ht="12.75" customHeight="1">
      <c r="A89" s="934" t="s">
        <v>373</v>
      </c>
      <c r="B89" s="946"/>
      <c r="C89" s="936" t="s">
        <v>365</v>
      </c>
      <c r="D89" s="936"/>
      <c r="E89" s="941"/>
      <c r="F89" s="936">
        <v>60</v>
      </c>
      <c r="G89" s="936">
        <v>60</v>
      </c>
      <c r="H89" s="936">
        <v>60</v>
      </c>
      <c r="I89" s="936">
        <v>60</v>
      </c>
    </row>
    <row r="90" spans="1:9" ht="12.75" customHeight="1">
      <c r="A90" s="934" t="s">
        <v>375</v>
      </c>
      <c r="B90" s="946"/>
      <c r="C90" s="936" t="s">
        <v>780</v>
      </c>
      <c r="D90" s="936"/>
      <c r="E90" s="941"/>
      <c r="F90" s="936">
        <v>0</v>
      </c>
      <c r="G90" s="936">
        <v>0</v>
      </c>
      <c r="H90" s="936">
        <v>0</v>
      </c>
      <c r="I90" s="936">
        <v>0</v>
      </c>
    </row>
    <row r="91" spans="1:9" ht="12.75" customHeight="1">
      <c r="A91" s="934" t="s">
        <v>377</v>
      </c>
      <c r="B91" s="946"/>
      <c r="C91" s="936" t="s">
        <v>781</v>
      </c>
      <c r="D91" s="936"/>
      <c r="E91" s="941"/>
      <c r="F91" s="936">
        <v>0</v>
      </c>
      <c r="G91" s="936">
        <v>0</v>
      </c>
      <c r="H91" s="936">
        <v>0</v>
      </c>
      <c r="I91" s="936">
        <v>0</v>
      </c>
    </row>
    <row r="92" spans="1:9" ht="12.75" customHeight="1">
      <c r="A92" s="934" t="s">
        <v>379</v>
      </c>
      <c r="B92" s="946"/>
      <c r="C92" s="936" t="s">
        <v>368</v>
      </c>
      <c r="D92" s="936"/>
      <c r="E92" s="941"/>
      <c r="F92" s="936">
        <v>120</v>
      </c>
      <c r="G92" s="936">
        <v>120</v>
      </c>
      <c r="H92" s="936">
        <v>120</v>
      </c>
      <c r="I92" s="936">
        <v>120</v>
      </c>
    </row>
    <row r="93" spans="1:9" ht="12.75" customHeight="1">
      <c r="A93" s="934" t="s">
        <v>380</v>
      </c>
      <c r="B93" s="946"/>
      <c r="C93" s="936" t="s">
        <v>369</v>
      </c>
      <c r="D93" s="936"/>
      <c r="E93" s="941">
        <v>49</v>
      </c>
      <c r="F93" s="936">
        <v>0</v>
      </c>
      <c r="G93" s="936">
        <v>0</v>
      </c>
      <c r="H93" s="936">
        <v>0</v>
      </c>
      <c r="I93" s="936">
        <v>0</v>
      </c>
    </row>
    <row r="94" spans="1:9" ht="12.75" customHeight="1">
      <c r="A94" s="934" t="s">
        <v>381</v>
      </c>
      <c r="B94" s="946"/>
      <c r="C94" s="936" t="s">
        <v>782</v>
      </c>
      <c r="D94" s="936"/>
      <c r="E94" s="941"/>
      <c r="F94" s="936">
        <v>0</v>
      </c>
      <c r="G94" s="936">
        <v>0</v>
      </c>
      <c r="H94" s="936">
        <v>0</v>
      </c>
      <c r="I94" s="936">
        <v>0</v>
      </c>
    </row>
    <row r="95" spans="1:9" ht="12.75" customHeight="1">
      <c r="A95" s="934" t="s">
        <v>382</v>
      </c>
      <c r="B95" s="946"/>
      <c r="C95" s="936" t="s">
        <v>783</v>
      </c>
      <c r="D95" s="936"/>
      <c r="E95" s="941"/>
      <c r="F95" s="936">
        <v>0</v>
      </c>
      <c r="G95" s="936">
        <v>0</v>
      </c>
      <c r="H95" s="936">
        <v>0</v>
      </c>
      <c r="I95" s="936">
        <v>0</v>
      </c>
    </row>
    <row r="96" spans="1:9" ht="12.75" customHeight="1">
      <c r="A96" s="934" t="s">
        <v>384</v>
      </c>
      <c r="B96" s="946"/>
      <c r="C96" s="936" t="s">
        <v>784</v>
      </c>
      <c r="D96" s="936"/>
      <c r="E96" s="941">
        <v>162</v>
      </c>
      <c r="F96" s="936">
        <v>180</v>
      </c>
      <c r="G96" s="936">
        <v>180</v>
      </c>
      <c r="H96" s="936">
        <v>180</v>
      </c>
      <c r="I96" s="936">
        <v>244</v>
      </c>
    </row>
    <row r="97" spans="1:9" ht="12.75" customHeight="1">
      <c r="A97" s="934" t="s">
        <v>386</v>
      </c>
      <c r="B97" s="947" t="s">
        <v>785</v>
      </c>
      <c r="C97" s="948" t="s">
        <v>370</v>
      </c>
      <c r="D97" s="949"/>
      <c r="E97" s="10">
        <f>SUM(E98:E109)</f>
        <v>107164</v>
      </c>
      <c r="F97" s="939">
        <f>SUM(F98:F109)</f>
        <v>88748</v>
      </c>
      <c r="G97" s="939">
        <f>SUM(G98:G109)</f>
        <v>165111</v>
      </c>
      <c r="H97" s="939">
        <f>SUM(H98:H109)</f>
        <v>303181</v>
      </c>
      <c r="I97" s="939">
        <f>SUM(I98:I109)</f>
        <v>288511</v>
      </c>
    </row>
    <row r="98" spans="1:9" ht="12.75" customHeight="1">
      <c r="A98" s="934" t="s">
        <v>387</v>
      </c>
      <c r="B98" s="946"/>
      <c r="C98" s="936" t="s">
        <v>203</v>
      </c>
      <c r="D98" s="936"/>
      <c r="E98" s="936">
        <v>22393</v>
      </c>
      <c r="F98" s="936">
        <v>15535</v>
      </c>
      <c r="G98" s="936">
        <v>15692</v>
      </c>
      <c r="H98" s="936">
        <v>16947</v>
      </c>
      <c r="I98" s="936">
        <v>16947</v>
      </c>
    </row>
    <row r="99" spans="1:9" ht="12.75" customHeight="1">
      <c r="A99" s="934" t="s">
        <v>389</v>
      </c>
      <c r="B99" s="946"/>
      <c r="C99" s="936" t="s">
        <v>204</v>
      </c>
      <c r="D99" s="936"/>
      <c r="E99" s="936">
        <v>5308</v>
      </c>
      <c r="F99" s="936">
        <v>3579</v>
      </c>
      <c r="G99" s="936">
        <v>3579</v>
      </c>
      <c r="H99" s="936">
        <v>3903</v>
      </c>
      <c r="I99" s="936">
        <v>3903</v>
      </c>
    </row>
    <row r="100" spans="1:9" ht="12.75" customHeight="1">
      <c r="A100" s="934" t="s">
        <v>390</v>
      </c>
      <c r="B100" s="946"/>
      <c r="C100" s="936" t="s">
        <v>340</v>
      </c>
      <c r="D100" s="936"/>
      <c r="E100" s="936">
        <v>25844</v>
      </c>
      <c r="F100" s="936">
        <v>14959</v>
      </c>
      <c r="G100" s="936">
        <v>14061</v>
      </c>
      <c r="H100" s="936">
        <v>50254</v>
      </c>
      <c r="I100" s="936">
        <v>57575</v>
      </c>
    </row>
    <row r="101" spans="1:9" ht="12.75" customHeight="1">
      <c r="A101" s="934" t="s">
        <v>391</v>
      </c>
      <c r="B101" s="946"/>
      <c r="C101" s="936" t="s">
        <v>376</v>
      </c>
      <c r="D101" s="936"/>
      <c r="E101" s="936">
        <v>31384</v>
      </c>
      <c r="F101" s="936">
        <v>0</v>
      </c>
      <c r="G101" s="936">
        <v>0</v>
      </c>
      <c r="H101" s="936">
        <v>117695</v>
      </c>
      <c r="I101" s="936">
        <v>95187</v>
      </c>
    </row>
    <row r="102" spans="1:9" ht="12.75" customHeight="1">
      <c r="A102" s="934" t="s">
        <v>392</v>
      </c>
      <c r="B102" s="946"/>
      <c r="C102" s="936" t="s">
        <v>786</v>
      </c>
      <c r="D102" s="936"/>
      <c r="E102" s="936">
        <v>0</v>
      </c>
      <c r="F102" s="936"/>
      <c r="G102" s="936"/>
      <c r="H102" s="936">
        <v>400</v>
      </c>
      <c r="I102" s="936">
        <v>400</v>
      </c>
    </row>
    <row r="103" spans="1:9" ht="12.75" customHeight="1">
      <c r="A103" s="934" t="s">
        <v>394</v>
      </c>
      <c r="B103" s="946"/>
      <c r="C103" s="936" t="s">
        <v>787</v>
      </c>
      <c r="D103" s="936"/>
      <c r="E103" s="936">
        <v>1200</v>
      </c>
      <c r="F103" s="936"/>
      <c r="G103" s="936"/>
      <c r="H103" s="936"/>
      <c r="I103" s="936"/>
    </row>
    <row r="104" spans="1:9" ht="12.75" customHeight="1">
      <c r="A104" s="934" t="s">
        <v>395</v>
      </c>
      <c r="B104" s="946"/>
      <c r="C104" s="936" t="s">
        <v>800</v>
      </c>
      <c r="D104" s="936"/>
      <c r="E104" s="936"/>
      <c r="F104" s="936"/>
      <c r="G104" s="936"/>
      <c r="H104" s="936"/>
      <c r="I104" s="936">
        <v>805</v>
      </c>
    </row>
    <row r="105" spans="1:9" ht="12.75" customHeight="1">
      <c r="A105" s="934" t="s">
        <v>396</v>
      </c>
      <c r="B105" s="946"/>
      <c r="C105" s="936" t="s">
        <v>788</v>
      </c>
      <c r="D105" s="936"/>
      <c r="E105" s="936">
        <v>21035</v>
      </c>
      <c r="F105" s="936">
        <v>36582</v>
      </c>
      <c r="G105" s="936">
        <v>51720</v>
      </c>
      <c r="H105" s="936">
        <v>33726</v>
      </c>
      <c r="I105" s="936">
        <f>SUM('21 céltartalék'!F38)</f>
        <v>33438</v>
      </c>
    </row>
    <row r="106" spans="1:9" ht="12.75" customHeight="1">
      <c r="A106" s="934" t="s">
        <v>398</v>
      </c>
      <c r="B106" s="946"/>
      <c r="C106" s="936" t="s">
        <v>789</v>
      </c>
      <c r="D106" s="936"/>
      <c r="E106" s="936"/>
      <c r="F106" s="936">
        <v>6052</v>
      </c>
      <c r="G106" s="936">
        <v>0</v>
      </c>
      <c r="H106" s="936">
        <v>0</v>
      </c>
      <c r="I106" s="936">
        <v>0</v>
      </c>
    </row>
    <row r="107" spans="1:9" ht="12.75" customHeight="1">
      <c r="A107" s="934" t="s">
        <v>399</v>
      </c>
      <c r="B107" s="946"/>
      <c r="C107" s="936" t="s">
        <v>217</v>
      </c>
      <c r="D107" s="936"/>
      <c r="E107" s="936"/>
      <c r="F107" s="936">
        <v>12041</v>
      </c>
      <c r="G107" s="936">
        <v>80000</v>
      </c>
      <c r="H107" s="936">
        <v>80000</v>
      </c>
      <c r="I107" s="936">
        <v>80000</v>
      </c>
    </row>
    <row r="108" spans="1:9" ht="12.75" customHeight="1">
      <c r="A108" s="934" t="s">
        <v>400</v>
      </c>
      <c r="B108" s="946"/>
      <c r="C108" s="936" t="s">
        <v>195</v>
      </c>
      <c r="D108" s="936"/>
      <c r="E108" s="936">
        <v>0</v>
      </c>
      <c r="F108" s="936">
        <v>0</v>
      </c>
      <c r="G108" s="936">
        <v>0</v>
      </c>
      <c r="H108" s="936">
        <v>0</v>
      </c>
      <c r="I108" s="936">
        <v>0</v>
      </c>
    </row>
    <row r="109" spans="1:9" ht="12.75" customHeight="1">
      <c r="A109" s="934" t="s">
        <v>401</v>
      </c>
      <c r="B109" s="946"/>
      <c r="C109" s="936" t="s">
        <v>240</v>
      </c>
      <c r="D109" s="936"/>
      <c r="E109" s="936">
        <v>0</v>
      </c>
      <c r="F109" s="936">
        <v>0</v>
      </c>
      <c r="G109" s="936">
        <v>59</v>
      </c>
      <c r="H109" s="936">
        <v>256</v>
      </c>
      <c r="I109" s="936">
        <v>256</v>
      </c>
    </row>
    <row r="110" spans="1:9" s="945" customFormat="1" ht="12.75" customHeight="1">
      <c r="A110" s="934" t="s">
        <v>403</v>
      </c>
      <c r="B110" s="950" t="s">
        <v>790</v>
      </c>
      <c r="C110" s="933" t="s">
        <v>385</v>
      </c>
      <c r="D110" s="933"/>
      <c r="E110" s="724">
        <f>SUM(E111:E112)</f>
        <v>13014</v>
      </c>
      <c r="F110" s="933">
        <f>SUM(F111:F112)</f>
        <v>0</v>
      </c>
      <c r="G110" s="933">
        <f>SUM(G111:G112)</f>
        <v>7406</v>
      </c>
      <c r="H110" s="933">
        <f>SUM(H111:H112)</f>
        <v>9718</v>
      </c>
      <c r="I110" s="933">
        <f>SUM(I111:I112)</f>
        <v>10204</v>
      </c>
    </row>
    <row r="111" spans="1:9" ht="12.75" customHeight="1">
      <c r="A111" s="934" t="s">
        <v>405</v>
      </c>
      <c r="B111" s="951"/>
      <c r="C111" s="943" t="s">
        <v>791</v>
      </c>
      <c r="D111" s="943"/>
      <c r="E111" s="943">
        <v>3277</v>
      </c>
      <c r="F111" s="943">
        <v>0</v>
      </c>
      <c r="G111" s="943">
        <v>0</v>
      </c>
      <c r="H111" s="943">
        <v>0</v>
      </c>
      <c r="I111" s="943">
        <v>0</v>
      </c>
    </row>
    <row r="112" spans="1:9" ht="12.75" customHeight="1">
      <c r="A112" s="934" t="s">
        <v>406</v>
      </c>
      <c r="B112" s="951"/>
      <c r="C112" s="936" t="s">
        <v>789</v>
      </c>
      <c r="D112" s="943"/>
      <c r="E112" s="943">
        <v>9737</v>
      </c>
      <c r="F112" s="943">
        <v>0</v>
      </c>
      <c r="G112" s="943">
        <v>7406</v>
      </c>
      <c r="H112" s="943">
        <v>9718</v>
      </c>
      <c r="I112" s="943">
        <v>10204</v>
      </c>
    </row>
    <row r="113" spans="1:9" s="945" customFormat="1" ht="12.75" customHeight="1">
      <c r="A113" s="934" t="s">
        <v>407</v>
      </c>
      <c r="B113" s="952" t="s">
        <v>792</v>
      </c>
      <c r="C113" s="953" t="s">
        <v>388</v>
      </c>
      <c r="D113" s="933"/>
      <c r="E113" s="724">
        <f>SUM(E114:E116)</f>
        <v>2979</v>
      </c>
      <c r="F113" s="933">
        <f>SUM(F114:F116)</f>
        <v>0</v>
      </c>
      <c r="G113" s="933">
        <f>SUM(G114:G116)</f>
        <v>0</v>
      </c>
      <c r="H113" s="933">
        <f>SUM(H114:H116)</f>
        <v>0</v>
      </c>
      <c r="I113" s="933">
        <f>SUM(I114:I116)</f>
        <v>0</v>
      </c>
    </row>
    <row r="114" spans="1:9" ht="12.75" customHeight="1">
      <c r="A114" s="934" t="s">
        <v>408</v>
      </c>
      <c r="B114" s="954"/>
      <c r="C114" s="936" t="s">
        <v>203</v>
      </c>
      <c r="D114" s="936"/>
      <c r="E114" s="936">
        <v>2612</v>
      </c>
      <c r="F114" s="936">
        <v>0</v>
      </c>
      <c r="G114" s="936">
        <v>0</v>
      </c>
      <c r="H114" s="936">
        <v>0</v>
      </c>
      <c r="I114" s="936">
        <v>0</v>
      </c>
    </row>
    <row r="115" spans="1:9" ht="12.75" customHeight="1">
      <c r="A115" s="934" t="s">
        <v>409</v>
      </c>
      <c r="B115" s="954"/>
      <c r="C115" s="936" t="s">
        <v>204</v>
      </c>
      <c r="D115" s="936"/>
      <c r="E115" s="936">
        <v>367</v>
      </c>
      <c r="F115" s="936">
        <v>0</v>
      </c>
      <c r="G115" s="936">
        <v>0</v>
      </c>
      <c r="H115" s="936">
        <v>0</v>
      </c>
      <c r="I115" s="936">
        <v>0</v>
      </c>
    </row>
    <row r="116" spans="1:9" ht="12.75" customHeight="1">
      <c r="A116" s="934" t="s">
        <v>410</v>
      </c>
      <c r="B116" s="954"/>
      <c r="C116" s="936" t="s">
        <v>340</v>
      </c>
      <c r="D116" s="936"/>
      <c r="E116" s="936">
        <v>0</v>
      </c>
      <c r="F116" s="936">
        <v>0</v>
      </c>
      <c r="G116" s="936">
        <v>0</v>
      </c>
      <c r="H116" s="936">
        <v>0</v>
      </c>
      <c r="I116" s="936">
        <v>0</v>
      </c>
    </row>
    <row r="117" spans="1:9" ht="12.75" customHeight="1">
      <c r="A117" s="934" t="s">
        <v>412</v>
      </c>
      <c r="B117" s="955" t="s">
        <v>793</v>
      </c>
      <c r="C117" s="939" t="s">
        <v>794</v>
      </c>
      <c r="D117" s="939"/>
      <c r="E117" s="939">
        <v>0</v>
      </c>
      <c r="F117" s="939">
        <v>0</v>
      </c>
      <c r="G117" s="939">
        <v>0</v>
      </c>
      <c r="H117" s="939">
        <v>0</v>
      </c>
      <c r="I117" s="939">
        <v>0</v>
      </c>
    </row>
    <row r="118" spans="1:9" ht="12.75" customHeight="1">
      <c r="A118" s="934" t="s">
        <v>414</v>
      </c>
      <c r="B118" s="954"/>
      <c r="C118" s="936" t="s">
        <v>336</v>
      </c>
      <c r="D118" s="936"/>
      <c r="E118" s="936">
        <v>0</v>
      </c>
      <c r="F118" s="936">
        <v>0</v>
      </c>
      <c r="G118" s="936">
        <v>0</v>
      </c>
      <c r="H118" s="936">
        <v>0</v>
      </c>
      <c r="I118" s="936">
        <v>0</v>
      </c>
    </row>
    <row r="119" spans="1:9" ht="12.75" customHeight="1">
      <c r="A119" s="934" t="s">
        <v>416</v>
      </c>
      <c r="B119" s="954"/>
      <c r="C119" s="936" t="s">
        <v>376</v>
      </c>
      <c r="D119" s="936"/>
      <c r="E119" s="936">
        <v>0</v>
      </c>
      <c r="F119" s="936"/>
      <c r="G119" s="936"/>
      <c r="H119" s="936"/>
      <c r="I119" s="936"/>
    </row>
    <row r="120" spans="1:9" ht="12.75" customHeight="1">
      <c r="A120" s="934" t="s">
        <v>417</v>
      </c>
      <c r="B120" s="956" t="s">
        <v>795</v>
      </c>
      <c r="C120" s="939" t="s">
        <v>397</v>
      </c>
      <c r="D120" s="936"/>
      <c r="E120" s="10">
        <f>SUM(E121:E123)</f>
        <v>1021</v>
      </c>
      <c r="F120" s="939">
        <f>SUM(F121:F123)</f>
        <v>0</v>
      </c>
      <c r="G120" s="939">
        <f>SUM(G121:G123)</f>
        <v>0</v>
      </c>
      <c r="H120" s="939">
        <f>SUM(H121:H123)</f>
        <v>0</v>
      </c>
      <c r="I120" s="939">
        <f>SUM(I121:I123)</f>
        <v>0</v>
      </c>
    </row>
    <row r="121" spans="1:9" ht="12.75" customHeight="1">
      <c r="A121" s="934" t="s">
        <v>418</v>
      </c>
      <c r="B121" s="905"/>
      <c r="C121" s="936" t="s">
        <v>203</v>
      </c>
      <c r="D121" s="936"/>
      <c r="E121" s="936">
        <v>845</v>
      </c>
      <c r="F121" s="936">
        <v>0</v>
      </c>
      <c r="G121" s="936">
        <v>0</v>
      </c>
      <c r="H121" s="936">
        <v>0</v>
      </c>
      <c r="I121" s="936">
        <v>0</v>
      </c>
    </row>
    <row r="122" spans="1:9" ht="12.75" customHeight="1">
      <c r="A122" s="934" t="s">
        <v>419</v>
      </c>
      <c r="B122" s="905"/>
      <c r="C122" s="936" t="s">
        <v>204</v>
      </c>
      <c r="D122" s="936"/>
      <c r="E122" s="936">
        <v>120</v>
      </c>
      <c r="F122" s="936">
        <v>0</v>
      </c>
      <c r="G122" s="936">
        <v>0</v>
      </c>
      <c r="H122" s="936">
        <v>0</v>
      </c>
      <c r="I122" s="936">
        <v>0</v>
      </c>
    </row>
    <row r="123" spans="1:9" ht="12.75" customHeight="1">
      <c r="A123" s="934" t="s">
        <v>420</v>
      </c>
      <c r="B123" s="905"/>
      <c r="C123" s="957" t="s">
        <v>340</v>
      </c>
      <c r="D123" s="936"/>
      <c r="E123" s="936">
        <v>56</v>
      </c>
      <c r="F123" s="936">
        <v>0</v>
      </c>
      <c r="G123" s="936">
        <v>0</v>
      </c>
      <c r="H123" s="936">
        <v>0</v>
      </c>
      <c r="I123" s="936">
        <v>0</v>
      </c>
    </row>
    <row r="124" spans="1:9" s="945" customFormat="1" ht="12.75" customHeight="1">
      <c r="A124" s="934" t="s">
        <v>421</v>
      </c>
      <c r="B124" s="958" t="s">
        <v>796</v>
      </c>
      <c r="C124" s="10" t="s">
        <v>797</v>
      </c>
      <c r="D124" s="949"/>
      <c r="E124" s="10">
        <v>110593</v>
      </c>
      <c r="F124" s="939">
        <v>0</v>
      </c>
      <c r="G124" s="939">
        <v>0</v>
      </c>
      <c r="H124" s="939">
        <v>0</v>
      </c>
      <c r="I124" s="939">
        <v>0</v>
      </c>
    </row>
    <row r="125" spans="1:9" ht="12.75" customHeight="1">
      <c r="A125" s="934" t="s">
        <v>423</v>
      </c>
      <c r="B125" s="959"/>
      <c r="C125" s="92" t="s">
        <v>195</v>
      </c>
      <c r="D125" s="960"/>
      <c r="E125" s="936">
        <v>110593</v>
      </c>
      <c r="F125" s="936">
        <v>0</v>
      </c>
      <c r="G125" s="936">
        <v>0</v>
      </c>
      <c r="H125" s="936">
        <v>0</v>
      </c>
      <c r="I125" s="936">
        <v>0</v>
      </c>
    </row>
    <row r="126" spans="1:9" ht="26.25" customHeight="1">
      <c r="A126" s="934" t="s">
        <v>425</v>
      </c>
      <c r="B126" s="958" t="s">
        <v>798</v>
      </c>
      <c r="C126" s="961" t="s">
        <v>799</v>
      </c>
      <c r="D126" s="949"/>
      <c r="E126" s="10">
        <f>SUM(E127)</f>
        <v>255531</v>
      </c>
      <c r="F126" s="939"/>
      <c r="G126" s="939"/>
      <c r="H126" s="939"/>
      <c r="I126" s="939"/>
    </row>
    <row r="127" spans="1:9" ht="12.75" customHeight="1" thickBot="1">
      <c r="A127" s="934" t="s">
        <v>426</v>
      </c>
      <c r="B127" s="962"/>
      <c r="C127" s="963" t="s">
        <v>404</v>
      </c>
      <c r="D127" s="957"/>
      <c r="E127" s="964">
        <v>255531</v>
      </c>
      <c r="F127" s="964">
        <f>SUM('ÖNK ÖSSZESITŐ'!F48)*-1</f>
        <v>248771</v>
      </c>
      <c r="G127" s="964">
        <f>SUM('ÖNK ÖSSZESITŐ'!G48)*-1</f>
        <v>252365</v>
      </c>
      <c r="H127" s="964">
        <f>SUM('ÖNK ÖSSZESITŐ'!H48)*-1</f>
        <v>274349</v>
      </c>
      <c r="I127" s="964">
        <f>SUM('ÖNK ÖSSZESITŐ'!I48)*-1</f>
        <v>276745</v>
      </c>
    </row>
    <row r="128" spans="1:9" ht="12.75" customHeight="1" thickBot="1">
      <c r="A128" s="934" t="s">
        <v>427</v>
      </c>
      <c r="B128" s="965"/>
      <c r="C128" s="966" t="s">
        <v>306</v>
      </c>
      <c r="D128" s="966"/>
      <c r="E128" s="967">
        <f>SUM(E35+E37+E40+E53+E55+E57+E63+E67+E73+E79+E97+E113+E127)+E120+E124+E110++E71+E51+E49+E47+E45</f>
        <v>798572</v>
      </c>
      <c r="F128" s="968">
        <f>SUM(F129:F141)</f>
        <v>558139</v>
      </c>
      <c r="G128" s="968">
        <f>SUM(G129:G142)</f>
        <v>663709</v>
      </c>
      <c r="H128" s="968">
        <f>SUM(H129:H143)</f>
        <v>669339</v>
      </c>
      <c r="I128" s="968">
        <f>SUM(I129:I143)</f>
        <v>657710</v>
      </c>
    </row>
    <row r="129" spans="1:9" ht="12.75" customHeight="1">
      <c r="A129" s="934" t="s">
        <v>428</v>
      </c>
      <c r="B129" s="969"/>
      <c r="C129" s="970" t="s">
        <v>203</v>
      </c>
      <c r="D129" s="970"/>
      <c r="E129" s="502">
        <f>SUM(E41+E58+E64+E68+E98+E114+E121)</f>
        <v>50286</v>
      </c>
      <c r="F129" s="970">
        <f>SUM(F58+F68+F98+F114)</f>
        <v>38905</v>
      </c>
      <c r="G129" s="970">
        <f>SUM(G58+G68+G98+G114)</f>
        <v>39062</v>
      </c>
      <c r="H129" s="970">
        <f>SUM(H58+H68+H98+H114)</f>
        <v>40317</v>
      </c>
      <c r="I129" s="1147">
        <f>SUM(I58+I68+I98+I114)</f>
        <v>40317</v>
      </c>
    </row>
    <row r="130" spans="1:9" ht="12.75" customHeight="1">
      <c r="A130" s="934" t="s">
        <v>429</v>
      </c>
      <c r="B130" s="971"/>
      <c r="C130" s="972" t="s">
        <v>204</v>
      </c>
      <c r="D130" s="972"/>
      <c r="E130" s="464">
        <f>SUM(E42+E59+E69+E99+E115+E122)</f>
        <v>12814</v>
      </c>
      <c r="F130" s="972">
        <f>F59+F69+F99+F115</f>
        <v>9959</v>
      </c>
      <c r="G130" s="972">
        <f>G59+G69+G99+G115</f>
        <v>9959</v>
      </c>
      <c r="H130" s="972">
        <f>H59+H69+H99+H115</f>
        <v>10283</v>
      </c>
      <c r="I130" s="1148">
        <f>I59+I69+I99+I115</f>
        <v>10283</v>
      </c>
    </row>
    <row r="131" spans="1:9" ht="12.75" customHeight="1">
      <c r="A131" s="934" t="s">
        <v>430</v>
      </c>
      <c r="B131" s="971"/>
      <c r="C131" s="972" t="s">
        <v>340</v>
      </c>
      <c r="D131" s="972"/>
      <c r="E131" s="464">
        <f>E36+E38+E43+E54+E56+E60+E66+E100+E116+E123+E50+E48+E46</f>
        <v>65098</v>
      </c>
      <c r="F131" s="972">
        <f>F36+F38+F43+F54+F56+F60+F66+F100+F116</f>
        <v>43513</v>
      </c>
      <c r="G131" s="972">
        <f>G36+G38+G43+G54+G56+G60+G66+G100+G116</f>
        <v>42615</v>
      </c>
      <c r="H131" s="972">
        <f>H36+H38+H43+H54+H56+H60+H66+H100+H116</f>
        <v>63808</v>
      </c>
      <c r="I131" s="1148">
        <f>I36+I38+I43+I54+I56+I60+I66+I100+I116</f>
        <v>71129</v>
      </c>
    </row>
    <row r="132" spans="1:9" ht="12.75" customHeight="1">
      <c r="A132" s="934" t="s">
        <v>431</v>
      </c>
      <c r="B132" s="971"/>
      <c r="C132" s="972" t="s">
        <v>344</v>
      </c>
      <c r="D132" s="972"/>
      <c r="E132" s="464">
        <v>30871</v>
      </c>
      <c r="F132" s="972">
        <f>SUM(F61+F74+F75+F76)+I77+F77</f>
        <v>33664</v>
      </c>
      <c r="G132" s="972">
        <f>SUM(G61+G74+G75+G76)+J77+G77</f>
        <v>33612</v>
      </c>
      <c r="H132" s="972">
        <f>SUM(H61+H74+H75+H76)+H77</f>
        <v>35577</v>
      </c>
      <c r="I132" s="1148">
        <f>SUM(I61+I74+I75+I76)+I77</f>
        <v>35672</v>
      </c>
    </row>
    <row r="133" spans="1:9" ht="12.75" customHeight="1">
      <c r="A133" s="934" t="s">
        <v>433</v>
      </c>
      <c r="B133" s="971"/>
      <c r="C133" s="972" t="s">
        <v>800</v>
      </c>
      <c r="D133" s="972"/>
      <c r="E133" s="464">
        <v>1200</v>
      </c>
      <c r="F133" s="972">
        <v>0</v>
      </c>
      <c r="G133" s="972">
        <v>0</v>
      </c>
      <c r="H133" s="972">
        <v>0</v>
      </c>
      <c r="I133" s="1148">
        <v>0</v>
      </c>
    </row>
    <row r="134" spans="1:9" ht="12.75" customHeight="1">
      <c r="A134" s="934" t="s">
        <v>434</v>
      </c>
      <c r="B134" s="971"/>
      <c r="C134" s="972" t="s">
        <v>411</v>
      </c>
      <c r="D134" s="972"/>
      <c r="E134" s="464">
        <f>E79</f>
        <v>5432</v>
      </c>
      <c r="F134" s="972">
        <f>F79</f>
        <v>3210</v>
      </c>
      <c r="G134" s="972">
        <f>G79</f>
        <v>3210</v>
      </c>
      <c r="H134" s="972">
        <f>H79</f>
        <v>3210</v>
      </c>
      <c r="I134" s="1148">
        <f>I79</f>
        <v>3274</v>
      </c>
    </row>
    <row r="135" spans="1:9" ht="12.75" customHeight="1">
      <c r="A135" s="934" t="s">
        <v>435</v>
      </c>
      <c r="B135" s="971"/>
      <c r="C135" s="972" t="s">
        <v>413</v>
      </c>
      <c r="D135" s="972"/>
      <c r="E135" s="464">
        <f>SUM(E39+E44+E65)+E101+E51+E62</f>
        <v>232698</v>
      </c>
      <c r="F135" s="972">
        <f>F101+F44</f>
        <v>125442</v>
      </c>
      <c r="G135" s="972">
        <f>G101+G44</f>
        <v>143701</v>
      </c>
      <c r="H135" s="972">
        <f>H101+H44</f>
        <v>117695</v>
      </c>
      <c r="I135" s="1148">
        <f>SUM(I101)</f>
        <v>95187</v>
      </c>
    </row>
    <row r="136" spans="1:9" ht="12.75" customHeight="1">
      <c r="A136" s="934" t="s">
        <v>436</v>
      </c>
      <c r="B136" s="971"/>
      <c r="C136" s="972" t="s">
        <v>929</v>
      </c>
      <c r="D136" s="972"/>
      <c r="E136" s="464"/>
      <c r="F136" s="972"/>
      <c r="G136" s="972"/>
      <c r="H136" s="972"/>
      <c r="I136" s="1148">
        <v>805</v>
      </c>
    </row>
    <row r="137" spans="1:9" ht="12.75" customHeight="1">
      <c r="A137" s="934" t="s">
        <v>437</v>
      </c>
      <c r="B137" s="971"/>
      <c r="C137" s="972" t="s">
        <v>415</v>
      </c>
      <c r="D137" s="972"/>
      <c r="E137" s="464">
        <f>SUM(E127)</f>
        <v>255531</v>
      </c>
      <c r="F137" s="972">
        <f>SUM(F127)</f>
        <v>248771</v>
      </c>
      <c r="G137" s="972">
        <f>SUM(G127)</f>
        <v>252365</v>
      </c>
      <c r="H137" s="972">
        <f>SUM(H127)</f>
        <v>274349</v>
      </c>
      <c r="I137" s="1148">
        <f>SUM(I127)</f>
        <v>276745</v>
      </c>
    </row>
    <row r="138" spans="1:9" ht="12.75" customHeight="1">
      <c r="A138" s="934" t="s">
        <v>438</v>
      </c>
      <c r="B138" s="971"/>
      <c r="C138" s="973" t="s">
        <v>789</v>
      </c>
      <c r="D138" s="972"/>
      <c r="E138" s="464">
        <v>9737</v>
      </c>
      <c r="F138" s="972">
        <f>SUM(F106)</f>
        <v>6052</v>
      </c>
      <c r="G138" s="972">
        <v>7406</v>
      </c>
      <c r="H138" s="972">
        <v>9718</v>
      </c>
      <c r="I138" s="1148">
        <f>SUM(I112)</f>
        <v>10204</v>
      </c>
    </row>
    <row r="139" spans="1:9" ht="12.75" customHeight="1">
      <c r="A139" s="934" t="s">
        <v>439</v>
      </c>
      <c r="B139" s="971"/>
      <c r="C139" s="973" t="s">
        <v>245</v>
      </c>
      <c r="D139" s="972"/>
      <c r="E139" s="464">
        <v>0</v>
      </c>
      <c r="F139" s="972">
        <f>SUM(F107)</f>
        <v>12041</v>
      </c>
      <c r="G139" s="972">
        <f aca="true" t="shared" si="0" ref="G139:I140">SUM(G107)</f>
        <v>80000</v>
      </c>
      <c r="H139" s="972">
        <f t="shared" si="0"/>
        <v>80000</v>
      </c>
      <c r="I139" s="1148">
        <f t="shared" si="0"/>
        <v>80000</v>
      </c>
    </row>
    <row r="140" spans="1:9" ht="12.75" customHeight="1">
      <c r="A140" s="934" t="s">
        <v>440</v>
      </c>
      <c r="B140" s="971"/>
      <c r="C140" s="973" t="s">
        <v>195</v>
      </c>
      <c r="D140" s="972"/>
      <c r="E140" s="464">
        <v>110593</v>
      </c>
      <c r="F140" s="972">
        <f>SUM(F108)</f>
        <v>0</v>
      </c>
      <c r="G140" s="972">
        <f t="shared" si="0"/>
        <v>0</v>
      </c>
      <c r="H140" s="972">
        <f t="shared" si="0"/>
        <v>0</v>
      </c>
      <c r="I140" s="1148">
        <f t="shared" si="0"/>
        <v>0</v>
      </c>
    </row>
    <row r="141" spans="1:9" ht="12.75" customHeight="1">
      <c r="A141" s="934" t="s">
        <v>441</v>
      </c>
      <c r="B141" s="974"/>
      <c r="C141" s="975" t="s">
        <v>801</v>
      </c>
      <c r="D141" s="975"/>
      <c r="E141" s="474">
        <f>E105</f>
        <v>21035</v>
      </c>
      <c r="F141" s="975">
        <f>SUM(F105)</f>
        <v>36582</v>
      </c>
      <c r="G141" s="975">
        <f>SUM(G105)</f>
        <v>51720</v>
      </c>
      <c r="H141" s="975">
        <v>33726</v>
      </c>
      <c r="I141" s="1149">
        <f>SUM(I105)</f>
        <v>33438</v>
      </c>
    </row>
    <row r="142" spans="1:9" ht="12.75" customHeight="1">
      <c r="A142" s="976" t="s">
        <v>442</v>
      </c>
      <c r="B142" s="977"/>
      <c r="C142" s="975" t="s">
        <v>240</v>
      </c>
      <c r="D142" s="975"/>
      <c r="E142" s="474">
        <v>3277</v>
      </c>
      <c r="F142" s="975">
        <f>SUM(F109)</f>
        <v>0</v>
      </c>
      <c r="G142" s="975">
        <f>SUM(G109)</f>
        <v>59</v>
      </c>
      <c r="H142" s="975">
        <f>SUM(H109)</f>
        <v>256</v>
      </c>
      <c r="I142" s="1149">
        <f>SUM(I109)</f>
        <v>256</v>
      </c>
    </row>
    <row r="143" spans="1:9" ht="12.75" customHeight="1">
      <c r="A143" s="905" t="s">
        <v>445</v>
      </c>
      <c r="B143" s="978"/>
      <c r="C143" s="972" t="s">
        <v>802</v>
      </c>
      <c r="D143" s="972"/>
      <c r="E143" s="464">
        <v>0</v>
      </c>
      <c r="F143" s="972">
        <v>0</v>
      </c>
      <c r="G143" s="972">
        <v>0</v>
      </c>
      <c r="H143" s="972">
        <v>400</v>
      </c>
      <c r="I143" s="1148">
        <v>400</v>
      </c>
    </row>
    <row r="144" spans="1:9" s="980" customFormat="1" ht="12.75" customHeight="1">
      <c r="A144" s="979" t="s">
        <v>446</v>
      </c>
      <c r="C144" s="980" t="s">
        <v>803</v>
      </c>
      <c r="E144" s="981"/>
      <c r="F144" s="981"/>
      <c r="G144" s="981"/>
      <c r="H144" s="981"/>
      <c r="I144" s="981"/>
    </row>
  </sheetData>
  <sheetProtection selectLockedCells="1" selectUnlockedCells="1"/>
  <mergeCells count="22">
    <mergeCell ref="C14:D14"/>
    <mergeCell ref="A3:I3"/>
    <mergeCell ref="C29:D29"/>
    <mergeCell ref="A6:C6"/>
    <mergeCell ref="A7:B7"/>
    <mergeCell ref="C7:D7"/>
    <mergeCell ref="C28:D28"/>
    <mergeCell ref="C8:D8"/>
    <mergeCell ref="C10:D10"/>
    <mergeCell ref="C12:D12"/>
    <mergeCell ref="C24:D24"/>
    <mergeCell ref="C15:D15"/>
    <mergeCell ref="A8:B8"/>
    <mergeCell ref="C22:D22"/>
    <mergeCell ref="A33:B33"/>
    <mergeCell ref="A34:B34"/>
    <mergeCell ref="F6:I6"/>
    <mergeCell ref="A1:I1"/>
    <mergeCell ref="A2:I2"/>
    <mergeCell ref="A4:I4"/>
    <mergeCell ref="C16:D16"/>
    <mergeCell ref="C21:D2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76" r:id="rId1"/>
  <headerFooter alignWithMargins="0">
    <oddFooter>&amp;C&amp;"Times New Roman,Normál"&amp;12Oldal &amp;P</oddFooter>
  </headerFooter>
  <rowBreaks count="2" manualBreakCount="2">
    <brk id="54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326" t="s">
        <v>22</v>
      </c>
      <c r="B2" s="1326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Q5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23" sqref="C23"/>
    </sheetView>
  </sheetViews>
  <sheetFormatPr defaultColWidth="11.57421875" defaultRowHeight="12.75" customHeight="1"/>
  <cols>
    <col min="1" max="1" width="47.28125" style="0" customWidth="1"/>
    <col min="2" max="2" width="11.7109375" style="0" customWidth="1"/>
    <col min="3" max="3" width="13.140625" style="0" customWidth="1"/>
    <col min="4" max="4" width="10.57421875" style="0" customWidth="1"/>
    <col min="5" max="5" width="10.8515625" style="0" customWidth="1"/>
    <col min="6" max="6" width="12.140625" style="0" customWidth="1"/>
    <col min="7" max="7" width="12.421875" style="0" customWidth="1"/>
    <col min="8" max="8" width="9.8515625" style="0" customWidth="1"/>
    <col min="9" max="10" width="11.28125" style="0" customWidth="1"/>
    <col min="11" max="11" width="13.140625" style="0" customWidth="1"/>
    <col min="12" max="13" width="9.7109375" style="0" customWidth="1"/>
    <col min="14" max="14" width="13.140625" style="0" customWidth="1"/>
    <col min="15" max="15" width="13.57421875" style="0" customWidth="1"/>
    <col min="16" max="16" width="11.140625" style="0" customWidth="1"/>
    <col min="17" max="17" width="10.421875" style="0" customWidth="1"/>
  </cols>
  <sheetData>
    <row r="1" spans="1:17" s="752" customFormat="1" ht="18" customHeight="1">
      <c r="A1" s="1469" t="s">
        <v>723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</row>
    <row r="2" spans="1:17" ht="12.75" customHeight="1">
      <c r="A2" s="1361" t="s">
        <v>938</v>
      </c>
      <c r="B2" s="1361"/>
      <c r="C2" s="1361"/>
      <c r="D2" s="1361"/>
      <c r="E2" s="1361"/>
      <c r="F2" s="1361"/>
      <c r="G2" s="1361"/>
      <c r="H2" s="1361"/>
      <c r="I2" s="1361"/>
      <c r="J2" s="1361"/>
      <c r="K2" s="1361"/>
      <c r="L2" s="1361"/>
      <c r="M2" s="1361"/>
      <c r="N2" s="1361"/>
      <c r="O2" s="1361"/>
      <c r="P2" s="1361"/>
      <c r="Q2" s="1361"/>
    </row>
    <row r="3" spans="1:17" ht="12.75" customHeight="1">
      <c r="A3" s="1490" t="s">
        <v>962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  <c r="N3" s="1491"/>
      <c r="O3" s="1491"/>
      <c r="P3" s="1491"/>
      <c r="Q3" s="1491"/>
    </row>
    <row r="4" spans="1:17" ht="12.75" customHeight="1">
      <c r="A4" s="1471" t="s">
        <v>2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71"/>
      <c r="Q4" s="1471"/>
    </row>
    <row r="5" spans="1:17" ht="15.75" customHeight="1">
      <c r="A5" s="1470" t="s">
        <v>804</v>
      </c>
      <c r="B5" s="1470"/>
      <c r="C5" s="1470"/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0"/>
      <c r="O5" s="1470"/>
      <c r="P5" s="1470"/>
      <c r="Q5" s="1470"/>
    </row>
    <row r="6" spans="1:15" ht="9" customHeight="1">
      <c r="A6" s="4"/>
      <c r="B6" s="4"/>
      <c r="C6" s="4"/>
      <c r="F6" s="4"/>
      <c r="G6" s="4"/>
      <c r="J6" s="4"/>
      <c r="K6" s="4"/>
      <c r="N6" s="4"/>
      <c r="O6" s="4"/>
    </row>
    <row r="7" spans="1:17" ht="13.5" customHeight="1" thickBot="1">
      <c r="A7" s="1468" t="s">
        <v>155</v>
      </c>
      <c r="B7" s="1468"/>
      <c r="C7" s="1468"/>
      <c r="D7" s="1468"/>
      <c r="E7" s="1468"/>
      <c r="F7" s="1468"/>
      <c r="G7" s="1468"/>
      <c r="H7" s="1468"/>
      <c r="I7" s="1468"/>
      <c r="J7" s="1468"/>
      <c r="K7" s="1468"/>
      <c r="L7" s="1468"/>
      <c r="M7" s="1468"/>
      <c r="N7" s="1468"/>
      <c r="O7" s="1468"/>
      <c r="P7" s="1468"/>
      <c r="Q7" s="1468"/>
    </row>
    <row r="8" spans="1:17" ht="12.75" customHeight="1" thickBot="1">
      <c r="A8" s="1472" t="s">
        <v>805</v>
      </c>
      <c r="B8" s="1473" t="s">
        <v>806</v>
      </c>
      <c r="C8" s="1474" t="s">
        <v>807</v>
      </c>
      <c r="D8" s="1474"/>
      <c r="E8" s="1474"/>
      <c r="F8" s="1466" t="s">
        <v>806</v>
      </c>
      <c r="G8" s="1467" t="s">
        <v>808</v>
      </c>
      <c r="H8" s="1467"/>
      <c r="I8" s="1467"/>
      <c r="J8" s="1466" t="s">
        <v>806</v>
      </c>
      <c r="K8" s="1467" t="s">
        <v>809</v>
      </c>
      <c r="L8" s="1467"/>
      <c r="M8" s="1467"/>
      <c r="N8" s="1466" t="s">
        <v>806</v>
      </c>
      <c r="O8" s="1467" t="s">
        <v>907</v>
      </c>
      <c r="P8" s="1467"/>
      <c r="Q8" s="1467"/>
    </row>
    <row r="9" spans="1:17" ht="33.75" customHeight="1" thickBot="1">
      <c r="A9" s="1472"/>
      <c r="B9" s="1473"/>
      <c r="C9" s="982" t="s">
        <v>810</v>
      </c>
      <c r="D9" s="982" t="s">
        <v>811</v>
      </c>
      <c r="E9" s="983" t="s">
        <v>812</v>
      </c>
      <c r="F9" s="1466"/>
      <c r="G9" s="982" t="s">
        <v>810</v>
      </c>
      <c r="H9" s="982" t="s">
        <v>811</v>
      </c>
      <c r="I9" s="984" t="s">
        <v>812</v>
      </c>
      <c r="J9" s="1466"/>
      <c r="K9" s="982" t="s">
        <v>810</v>
      </c>
      <c r="L9" s="982" t="s">
        <v>811</v>
      </c>
      <c r="M9" s="984" t="s">
        <v>812</v>
      </c>
      <c r="N9" s="1466"/>
      <c r="O9" s="982" t="s">
        <v>810</v>
      </c>
      <c r="P9" s="982" t="s">
        <v>811</v>
      </c>
      <c r="Q9" s="984" t="s">
        <v>812</v>
      </c>
    </row>
    <row r="10" spans="1:17" ht="15" customHeight="1" thickBot="1">
      <c r="A10" s="985" t="s">
        <v>2</v>
      </c>
      <c r="B10" s="118">
        <f>SUM(B11:B21)</f>
        <v>557239</v>
      </c>
      <c r="C10" s="118">
        <f>SUM(C11:C20)</f>
        <v>290780</v>
      </c>
      <c r="D10" s="118">
        <f>SUM(D11:D20)</f>
        <v>17688</v>
      </c>
      <c r="E10" s="986">
        <f>SUM(E11:E20)</f>
        <v>0</v>
      </c>
      <c r="F10" s="118">
        <f>SUM(F11:F21)</f>
        <v>663709</v>
      </c>
      <c r="G10" s="118">
        <f>SUM(G11:G21)</f>
        <v>646021</v>
      </c>
      <c r="H10" s="1211">
        <f>SUM(H11:H21)</f>
        <v>17688</v>
      </c>
      <c r="I10" s="1212">
        <f>SUM(I11:I20)</f>
        <v>0</v>
      </c>
      <c r="J10" s="118">
        <f>SUM(J11:J21)</f>
        <v>669339</v>
      </c>
      <c r="K10" s="118">
        <f>SUM(K11:K21)</f>
        <v>646510</v>
      </c>
      <c r="L10" s="118">
        <f>SUM(L11:L21)</f>
        <v>22829</v>
      </c>
      <c r="M10" s="987">
        <f>SUM(M11:M20)</f>
        <v>0</v>
      </c>
      <c r="N10" s="118">
        <f>SUM(N11:N21)</f>
        <v>657710</v>
      </c>
      <c r="O10" s="118">
        <f>SUM(O11:O21)</f>
        <v>633286</v>
      </c>
      <c r="P10" s="118">
        <f>SUM(P11:P21)</f>
        <v>24424</v>
      </c>
      <c r="Q10" s="987">
        <f>SUM(Q11:Q20)</f>
        <v>0</v>
      </c>
    </row>
    <row r="11" spans="1:17" s="1" customFormat="1" ht="15" customHeight="1">
      <c r="A11" s="256" t="s">
        <v>813</v>
      </c>
      <c r="B11" s="257">
        <v>551</v>
      </c>
      <c r="C11" s="988"/>
      <c r="D11" s="988">
        <v>551</v>
      </c>
      <c r="E11" s="989"/>
      <c r="F11" s="257">
        <v>551</v>
      </c>
      <c r="G11" s="989"/>
      <c r="H11" s="1213">
        <v>551</v>
      </c>
      <c r="I11" s="1214"/>
      <c r="J11" s="1201">
        <v>551</v>
      </c>
      <c r="K11" s="988"/>
      <c r="L11" s="988">
        <v>551</v>
      </c>
      <c r="M11" s="990"/>
      <c r="N11" s="257">
        <v>551</v>
      </c>
      <c r="O11" s="988"/>
      <c r="P11" s="988">
        <v>551</v>
      </c>
      <c r="Q11" s="990"/>
    </row>
    <row r="12" spans="1:17" s="1" customFormat="1" ht="15" customHeight="1">
      <c r="A12" s="246" t="s">
        <v>814</v>
      </c>
      <c r="B12" s="171">
        <v>8200</v>
      </c>
      <c r="C12" s="791">
        <v>8200</v>
      </c>
      <c r="D12" s="791"/>
      <c r="E12" s="761"/>
      <c r="F12" s="171">
        <v>8200</v>
      </c>
      <c r="G12" s="761">
        <v>8200</v>
      </c>
      <c r="H12" s="1215"/>
      <c r="I12" s="1216"/>
      <c r="J12" s="1202">
        <v>8200</v>
      </c>
      <c r="K12" s="791">
        <v>8200</v>
      </c>
      <c r="L12" s="791"/>
      <c r="M12" s="368"/>
      <c r="N12" s="171">
        <v>8200</v>
      </c>
      <c r="O12" s="791">
        <v>8200</v>
      </c>
      <c r="P12" s="791"/>
      <c r="Q12" s="368"/>
    </row>
    <row r="13" spans="1:17" s="1" customFormat="1" ht="15" customHeight="1">
      <c r="A13" s="246" t="s">
        <v>815</v>
      </c>
      <c r="B13" s="171">
        <v>130</v>
      </c>
      <c r="C13" s="991">
        <v>130</v>
      </c>
      <c r="D13" s="791"/>
      <c r="E13" s="761"/>
      <c r="F13" s="171">
        <v>130</v>
      </c>
      <c r="G13" s="1190">
        <v>130</v>
      </c>
      <c r="H13" s="1215"/>
      <c r="I13" s="1216"/>
      <c r="J13" s="1202">
        <v>130</v>
      </c>
      <c r="K13" s="991">
        <v>130</v>
      </c>
      <c r="L13" s="791"/>
      <c r="M13" s="368"/>
      <c r="N13" s="171">
        <v>130</v>
      </c>
      <c r="O13" s="991">
        <v>130</v>
      </c>
      <c r="P13" s="791"/>
      <c r="Q13" s="368"/>
    </row>
    <row r="14" spans="1:17" s="1" customFormat="1" ht="15" customHeight="1">
      <c r="A14" s="246" t="s">
        <v>816</v>
      </c>
      <c r="B14" s="171">
        <f>SUM(35014+236)</f>
        <v>35250</v>
      </c>
      <c r="C14" s="791">
        <v>35250</v>
      </c>
      <c r="D14" s="791"/>
      <c r="E14" s="761"/>
      <c r="F14" s="171">
        <v>35250</v>
      </c>
      <c r="G14" s="761">
        <v>35250</v>
      </c>
      <c r="H14" s="1215"/>
      <c r="I14" s="1216"/>
      <c r="J14" s="1202">
        <v>35250</v>
      </c>
      <c r="K14" s="791">
        <v>35250</v>
      </c>
      <c r="L14" s="791"/>
      <c r="M14" s="368"/>
      <c r="N14" s="171">
        <v>35250</v>
      </c>
      <c r="O14" s="791">
        <v>35250</v>
      </c>
      <c r="P14" s="791"/>
      <c r="Q14" s="368"/>
    </row>
    <row r="15" spans="1:17" s="1" customFormat="1" ht="15" customHeight="1">
      <c r="A15" s="246" t="s">
        <v>817</v>
      </c>
      <c r="B15" s="171">
        <v>3210</v>
      </c>
      <c r="C15" s="791">
        <v>3010</v>
      </c>
      <c r="D15" s="791">
        <v>200</v>
      </c>
      <c r="E15" s="761"/>
      <c r="F15" s="171">
        <v>3210</v>
      </c>
      <c r="G15" s="761">
        <v>3010</v>
      </c>
      <c r="H15" s="1215">
        <v>200</v>
      </c>
      <c r="I15" s="1216"/>
      <c r="J15" s="1202">
        <v>3210</v>
      </c>
      <c r="K15" s="791">
        <v>3010</v>
      </c>
      <c r="L15" s="791">
        <v>200</v>
      </c>
      <c r="M15" s="368"/>
      <c r="N15" s="171">
        <v>3274</v>
      </c>
      <c r="O15" s="791">
        <v>3074</v>
      </c>
      <c r="P15" s="791">
        <v>200</v>
      </c>
      <c r="Q15" s="368"/>
    </row>
    <row r="16" spans="1:17" s="1" customFormat="1" ht="15" customHeight="1">
      <c r="A16" s="246" t="s">
        <v>818</v>
      </c>
      <c r="B16" s="171">
        <v>88748</v>
      </c>
      <c r="C16" s="791">
        <v>88748</v>
      </c>
      <c r="D16" s="791"/>
      <c r="E16" s="761"/>
      <c r="F16" s="171">
        <v>157456</v>
      </c>
      <c r="G16" s="761">
        <v>157456</v>
      </c>
      <c r="H16" s="1215"/>
      <c r="I16" s="1216"/>
      <c r="J16" s="1202">
        <v>303181</v>
      </c>
      <c r="K16" s="791">
        <v>303181</v>
      </c>
      <c r="L16" s="791"/>
      <c r="M16" s="368"/>
      <c r="N16" s="171">
        <v>288511</v>
      </c>
      <c r="O16" s="791">
        <v>288511</v>
      </c>
      <c r="P16" s="791"/>
      <c r="Q16" s="368"/>
    </row>
    <row r="17" spans="1:17" s="1" customFormat="1" ht="15" customHeight="1">
      <c r="A17" s="246" t="s">
        <v>349</v>
      </c>
      <c r="B17" s="171">
        <v>31264</v>
      </c>
      <c r="C17" s="791">
        <v>15000</v>
      </c>
      <c r="D17" s="791">
        <v>16264</v>
      </c>
      <c r="E17" s="761"/>
      <c r="F17" s="171">
        <v>32112</v>
      </c>
      <c r="G17" s="761">
        <v>15848</v>
      </c>
      <c r="H17" s="1215">
        <v>16264</v>
      </c>
      <c r="I17" s="1216"/>
      <c r="J17" s="1202">
        <v>34077</v>
      </c>
      <c r="K17" s="791">
        <v>12672</v>
      </c>
      <c r="L17" s="791">
        <v>21405</v>
      </c>
      <c r="M17" s="368"/>
      <c r="N17" s="171">
        <v>34172</v>
      </c>
      <c r="O17" s="791">
        <v>11172</v>
      </c>
      <c r="P17" s="791">
        <v>23000</v>
      </c>
      <c r="Q17" s="368"/>
    </row>
    <row r="18" spans="1:17" s="1" customFormat="1" ht="15" customHeight="1">
      <c r="A18" s="246" t="s">
        <v>819</v>
      </c>
      <c r="B18" s="171"/>
      <c r="C18" s="791"/>
      <c r="D18" s="791"/>
      <c r="E18" s="761"/>
      <c r="F18" s="171">
        <v>7406</v>
      </c>
      <c r="G18" s="761">
        <v>7406</v>
      </c>
      <c r="H18" s="1215"/>
      <c r="I18" s="1216"/>
      <c r="J18" s="1202">
        <v>9718</v>
      </c>
      <c r="K18" s="791">
        <v>9718</v>
      </c>
      <c r="L18" s="791"/>
      <c r="M18" s="368"/>
      <c r="N18" s="171">
        <v>10204</v>
      </c>
      <c r="O18" s="791">
        <v>10204</v>
      </c>
      <c r="P18" s="791"/>
      <c r="Q18" s="368"/>
    </row>
    <row r="19" spans="1:17" s="1" customFormat="1" ht="15" customHeight="1">
      <c r="A19" s="268" t="s">
        <v>821</v>
      </c>
      <c r="B19" s="263">
        <v>140442</v>
      </c>
      <c r="C19" s="186">
        <v>140442</v>
      </c>
      <c r="D19" s="186"/>
      <c r="E19" s="992"/>
      <c r="F19" s="263">
        <v>166356</v>
      </c>
      <c r="G19" s="992">
        <v>166356</v>
      </c>
      <c r="H19" s="1217"/>
      <c r="I19" s="1218"/>
      <c r="J19" s="1203"/>
      <c r="K19" s="186"/>
      <c r="L19" s="186"/>
      <c r="M19" s="790"/>
      <c r="N19" s="263"/>
      <c r="O19" s="186"/>
      <c r="P19" s="186"/>
      <c r="Q19" s="790"/>
    </row>
    <row r="20" spans="1:17" s="1" customFormat="1" ht="15" customHeight="1">
      <c r="A20" s="387" t="s">
        <v>822</v>
      </c>
      <c r="B20" s="172">
        <v>673</v>
      </c>
      <c r="C20" s="791"/>
      <c r="D20" s="991">
        <v>673</v>
      </c>
      <c r="E20" s="761"/>
      <c r="F20" s="171">
        <v>673</v>
      </c>
      <c r="G20" s="761"/>
      <c r="H20" s="1219">
        <v>673</v>
      </c>
      <c r="I20" s="1216"/>
      <c r="J20" s="1202">
        <v>673</v>
      </c>
      <c r="K20" s="791"/>
      <c r="L20" s="991">
        <v>673</v>
      </c>
      <c r="M20" s="368"/>
      <c r="N20" s="171">
        <v>673</v>
      </c>
      <c r="O20" s="791"/>
      <c r="P20" s="991">
        <v>673</v>
      </c>
      <c r="Q20" s="368"/>
    </row>
    <row r="21" spans="1:17" s="1" customFormat="1" ht="15" customHeight="1">
      <c r="A21" s="618" t="s">
        <v>799</v>
      </c>
      <c r="B21" s="172">
        <v>248771</v>
      </c>
      <c r="C21" s="791">
        <v>248771</v>
      </c>
      <c r="D21" s="991">
        <v>0</v>
      </c>
      <c r="E21" s="761"/>
      <c r="F21" s="171">
        <v>252365</v>
      </c>
      <c r="G21" s="761">
        <v>252365</v>
      </c>
      <c r="H21" s="1219"/>
      <c r="I21" s="1216"/>
      <c r="J21" s="1202">
        <v>274349</v>
      </c>
      <c r="K21" s="791">
        <v>274349</v>
      </c>
      <c r="L21" s="991"/>
      <c r="M21" s="368"/>
      <c r="N21" s="171">
        <v>276745</v>
      </c>
      <c r="O21" s="791">
        <v>276745</v>
      </c>
      <c r="P21" s="991"/>
      <c r="Q21" s="368"/>
    </row>
    <row r="22" spans="1:17" s="12" customFormat="1" ht="15" customHeight="1" thickBot="1">
      <c r="A22" s="993" t="s">
        <v>823</v>
      </c>
      <c r="B22" s="994">
        <f>SUM(B23:B33)</f>
        <v>102425</v>
      </c>
      <c r="C22" s="995">
        <f>SUM(C26:C33)</f>
        <v>69908</v>
      </c>
      <c r="D22" s="995">
        <f>SUM(D26:D33)</f>
        <v>0</v>
      </c>
      <c r="E22" s="996">
        <f>SUM(E26:E33)</f>
        <v>0</v>
      </c>
      <c r="F22" s="994">
        <f>SUM(F23:F33)</f>
        <v>104393</v>
      </c>
      <c r="G22" s="996">
        <f>SUM(G23:G33)</f>
        <v>104393</v>
      </c>
      <c r="H22" s="1220">
        <f>SUM(H26:H33)</f>
        <v>0</v>
      </c>
      <c r="I22" s="1221">
        <f>SUM(I26:I33)</f>
        <v>0</v>
      </c>
      <c r="J22" s="1179">
        <f>SUM(J23:J33)</f>
        <v>108076</v>
      </c>
      <c r="K22" s="995">
        <f>SUM(K23:K33)</f>
        <v>108076</v>
      </c>
      <c r="L22" s="995">
        <f>SUM(L26:L33)</f>
        <v>0</v>
      </c>
      <c r="M22" s="997">
        <f>SUM(M26:M33)</f>
        <v>0</v>
      </c>
      <c r="N22" s="994">
        <f>SUM(N23:N33)</f>
        <v>108076</v>
      </c>
      <c r="O22" s="995">
        <f>SUM(O23:O33)</f>
        <v>108076</v>
      </c>
      <c r="P22" s="995">
        <f>SUM(P26:P33)</f>
        <v>0</v>
      </c>
      <c r="Q22" s="997">
        <f>SUM(Q26:Q33)</f>
        <v>0</v>
      </c>
    </row>
    <row r="23" spans="1:17" s="1" customFormat="1" ht="15" customHeight="1">
      <c r="A23" s="256" t="s">
        <v>511</v>
      </c>
      <c r="B23" s="257">
        <v>27847</v>
      </c>
      <c r="C23" s="988">
        <v>27847</v>
      </c>
      <c r="D23" s="988"/>
      <c r="E23" s="990"/>
      <c r="F23" s="257">
        <v>27847</v>
      </c>
      <c r="G23" s="989">
        <v>27847</v>
      </c>
      <c r="H23" s="1222"/>
      <c r="I23" s="1223"/>
      <c r="J23" s="1201">
        <v>27847</v>
      </c>
      <c r="K23" s="988">
        <v>27847</v>
      </c>
      <c r="L23" s="988"/>
      <c r="M23" s="990"/>
      <c r="N23" s="257">
        <v>27847</v>
      </c>
      <c r="O23" s="988">
        <v>27847</v>
      </c>
      <c r="P23" s="988"/>
      <c r="Q23" s="990"/>
    </row>
    <row r="24" spans="1:17" s="1" customFormat="1" ht="15" customHeight="1">
      <c r="A24" s="256" t="s">
        <v>516</v>
      </c>
      <c r="B24" s="257">
        <v>4479</v>
      </c>
      <c r="C24" s="988">
        <v>4479</v>
      </c>
      <c r="D24" s="988"/>
      <c r="E24" s="990"/>
      <c r="F24" s="257">
        <v>4479</v>
      </c>
      <c r="G24" s="989">
        <v>4479</v>
      </c>
      <c r="H24" s="1222"/>
      <c r="I24" s="1223"/>
      <c r="J24" s="1201">
        <v>4479</v>
      </c>
      <c r="K24" s="988">
        <v>4479</v>
      </c>
      <c r="L24" s="988"/>
      <c r="M24" s="990"/>
      <c r="N24" s="257">
        <v>4479</v>
      </c>
      <c r="O24" s="988">
        <v>4479</v>
      </c>
      <c r="P24" s="988"/>
      <c r="Q24" s="990"/>
    </row>
    <row r="25" spans="1:17" s="1" customFormat="1" ht="15" customHeight="1">
      <c r="A25" s="256" t="s">
        <v>521</v>
      </c>
      <c r="B25" s="257">
        <v>191</v>
      </c>
      <c r="C25" s="988">
        <v>191</v>
      </c>
      <c r="D25" s="988"/>
      <c r="E25" s="990"/>
      <c r="F25" s="257">
        <v>191</v>
      </c>
      <c r="G25" s="989">
        <v>191</v>
      </c>
      <c r="H25" s="1222"/>
      <c r="I25" s="1223"/>
      <c r="J25" s="1201">
        <v>191</v>
      </c>
      <c r="K25" s="988">
        <v>191</v>
      </c>
      <c r="L25" s="988"/>
      <c r="M25" s="990"/>
      <c r="N25" s="257">
        <v>191</v>
      </c>
      <c r="O25" s="988">
        <v>191</v>
      </c>
      <c r="P25" s="988"/>
      <c r="Q25" s="990"/>
    </row>
    <row r="26" spans="1:17" s="1" customFormat="1" ht="15" customHeight="1">
      <c r="A26" s="246" t="s">
        <v>824</v>
      </c>
      <c r="B26" s="171">
        <v>1500</v>
      </c>
      <c r="C26" s="791">
        <v>1500</v>
      </c>
      <c r="D26" s="791"/>
      <c r="E26" s="368"/>
      <c r="F26" s="171">
        <v>1400</v>
      </c>
      <c r="G26" s="761">
        <v>1400</v>
      </c>
      <c r="H26" s="1215"/>
      <c r="I26" s="1216"/>
      <c r="J26" s="1202">
        <v>1400</v>
      </c>
      <c r="K26" s="791">
        <v>1400</v>
      </c>
      <c r="L26" s="791"/>
      <c r="M26" s="368"/>
      <c r="N26" s="171">
        <v>1400</v>
      </c>
      <c r="O26" s="791">
        <v>1400</v>
      </c>
      <c r="P26" s="791"/>
      <c r="Q26" s="368"/>
    </row>
    <row r="27" spans="1:17" s="1" customFormat="1" ht="15" customHeight="1">
      <c r="A27" s="246" t="s">
        <v>825</v>
      </c>
      <c r="B27" s="171">
        <v>430</v>
      </c>
      <c r="C27" s="991">
        <v>430</v>
      </c>
      <c r="D27" s="791"/>
      <c r="E27" s="368"/>
      <c r="F27" s="171">
        <v>430</v>
      </c>
      <c r="G27" s="1190">
        <v>430</v>
      </c>
      <c r="H27" s="1215"/>
      <c r="I27" s="1216"/>
      <c r="J27" s="1202">
        <v>430</v>
      </c>
      <c r="K27" s="991">
        <v>430</v>
      </c>
      <c r="L27" s="791"/>
      <c r="M27" s="368"/>
      <c r="N27" s="171">
        <v>430</v>
      </c>
      <c r="O27" s="991">
        <v>430</v>
      </c>
      <c r="P27" s="791"/>
      <c r="Q27" s="368"/>
    </row>
    <row r="28" spans="1:17" s="1" customFormat="1" ht="15" customHeight="1">
      <c r="A28" s="246" t="s">
        <v>826</v>
      </c>
      <c r="B28" s="171">
        <v>27780</v>
      </c>
      <c r="C28" s="791">
        <v>27780</v>
      </c>
      <c r="D28" s="791"/>
      <c r="E28" s="368"/>
      <c r="F28" s="171">
        <v>34303</v>
      </c>
      <c r="G28" s="761">
        <v>34303</v>
      </c>
      <c r="H28" s="1215"/>
      <c r="I28" s="1216"/>
      <c r="J28" s="1202">
        <v>34303</v>
      </c>
      <c r="K28" s="791">
        <v>34303</v>
      </c>
      <c r="L28" s="791"/>
      <c r="M28" s="368"/>
      <c r="N28" s="171">
        <v>34303</v>
      </c>
      <c r="O28" s="791">
        <v>34303</v>
      </c>
      <c r="P28" s="791"/>
      <c r="Q28" s="368"/>
    </row>
    <row r="29" spans="1:17" s="1" customFormat="1" ht="17.25" customHeight="1">
      <c r="A29" s="246" t="s">
        <v>740</v>
      </c>
      <c r="B29" s="171">
        <v>6349</v>
      </c>
      <c r="C29" s="791">
        <v>6349</v>
      </c>
      <c r="D29" s="791"/>
      <c r="E29" s="368"/>
      <c r="F29" s="171">
        <v>6349</v>
      </c>
      <c r="G29" s="761">
        <v>6349</v>
      </c>
      <c r="H29" s="1215"/>
      <c r="I29" s="1216"/>
      <c r="J29" s="1202">
        <v>6349</v>
      </c>
      <c r="K29" s="791">
        <v>6349</v>
      </c>
      <c r="L29" s="791"/>
      <c r="M29" s="368"/>
      <c r="N29" s="171">
        <v>6349</v>
      </c>
      <c r="O29" s="791">
        <v>6349</v>
      </c>
      <c r="P29" s="791"/>
      <c r="Q29" s="368"/>
    </row>
    <row r="30" spans="1:17" s="1" customFormat="1" ht="15" customHeight="1">
      <c r="A30" s="246" t="s">
        <v>827</v>
      </c>
      <c r="B30" s="171">
        <v>800</v>
      </c>
      <c r="C30" s="791">
        <v>800</v>
      </c>
      <c r="D30" s="791"/>
      <c r="E30" s="368"/>
      <c r="F30" s="171">
        <v>400</v>
      </c>
      <c r="G30" s="761">
        <v>400</v>
      </c>
      <c r="H30" s="1215"/>
      <c r="I30" s="1216"/>
      <c r="J30" s="1202">
        <v>400</v>
      </c>
      <c r="K30" s="791">
        <v>400</v>
      </c>
      <c r="L30" s="791"/>
      <c r="M30" s="368"/>
      <c r="N30" s="171">
        <v>400</v>
      </c>
      <c r="O30" s="791">
        <v>400</v>
      </c>
      <c r="P30" s="791"/>
      <c r="Q30" s="368"/>
    </row>
    <row r="31" spans="1:17" s="1" customFormat="1" ht="15" customHeight="1">
      <c r="A31" s="246" t="s">
        <v>828</v>
      </c>
      <c r="B31" s="171">
        <v>18041</v>
      </c>
      <c r="C31" s="791">
        <v>18041</v>
      </c>
      <c r="D31" s="791"/>
      <c r="E31" s="368"/>
      <c r="F31" s="171">
        <v>13986</v>
      </c>
      <c r="G31" s="761">
        <v>13986</v>
      </c>
      <c r="H31" s="1215"/>
      <c r="I31" s="1216"/>
      <c r="J31" s="1202">
        <v>15669</v>
      </c>
      <c r="K31" s="791">
        <v>15669</v>
      </c>
      <c r="L31" s="791"/>
      <c r="M31" s="368"/>
      <c r="N31" s="171">
        <v>15669</v>
      </c>
      <c r="O31" s="791">
        <v>15669</v>
      </c>
      <c r="P31" s="791"/>
      <c r="Q31" s="368"/>
    </row>
    <row r="32" spans="1:17" s="1" customFormat="1" ht="15" customHeight="1">
      <c r="A32" s="246" t="s">
        <v>829</v>
      </c>
      <c r="B32" s="171">
        <v>720</v>
      </c>
      <c r="C32" s="791">
        <v>720</v>
      </c>
      <c r="D32" s="791"/>
      <c r="E32" s="368"/>
      <c r="F32" s="171">
        <v>720</v>
      </c>
      <c r="G32" s="761">
        <v>720</v>
      </c>
      <c r="H32" s="1215"/>
      <c r="I32" s="1216"/>
      <c r="J32" s="1202">
        <v>720</v>
      </c>
      <c r="K32" s="791">
        <v>720</v>
      </c>
      <c r="L32" s="791"/>
      <c r="M32" s="368"/>
      <c r="N32" s="171">
        <v>720</v>
      </c>
      <c r="O32" s="791">
        <v>720</v>
      </c>
      <c r="P32" s="791"/>
      <c r="Q32" s="368"/>
    </row>
    <row r="33" spans="1:17" s="1" customFormat="1" ht="15" customHeight="1" thickBot="1">
      <c r="A33" s="268" t="s">
        <v>830</v>
      </c>
      <c r="B33" s="185">
        <v>14288</v>
      </c>
      <c r="C33" s="186">
        <v>14288</v>
      </c>
      <c r="D33" s="186"/>
      <c r="E33" s="790"/>
      <c r="F33" s="185">
        <v>14288</v>
      </c>
      <c r="G33" s="992">
        <v>14288</v>
      </c>
      <c r="H33" s="1217"/>
      <c r="I33" s="1218"/>
      <c r="J33" s="1204">
        <v>16288</v>
      </c>
      <c r="K33" s="186">
        <v>16288</v>
      </c>
      <c r="L33" s="186"/>
      <c r="M33" s="790"/>
      <c r="N33" s="185">
        <v>16288</v>
      </c>
      <c r="O33" s="186">
        <v>16288</v>
      </c>
      <c r="P33" s="186"/>
      <c r="Q33" s="790"/>
    </row>
    <row r="34" spans="1:17" ht="15" customHeight="1" thickBot="1">
      <c r="A34" s="985" t="s">
        <v>307</v>
      </c>
      <c r="B34" s="118">
        <v>77406</v>
      </c>
      <c r="C34" s="998"/>
      <c r="D34" s="998">
        <f>SUM(D35:D36)</f>
        <v>0</v>
      </c>
      <c r="E34" s="999">
        <v>77406</v>
      </c>
      <c r="F34" s="118">
        <f>SUM(F35:F36)</f>
        <v>77432</v>
      </c>
      <c r="G34" s="1191"/>
      <c r="H34" s="1224">
        <f>SUM(H35:H36)</f>
        <v>0</v>
      </c>
      <c r="I34" s="1225">
        <v>77432</v>
      </c>
      <c r="J34" s="1205">
        <f>SUM(J35:J36)</f>
        <v>77432</v>
      </c>
      <c r="K34" s="998"/>
      <c r="L34" s="998">
        <f>SUM(L35:L36)</f>
        <v>0</v>
      </c>
      <c r="M34" s="999">
        <v>77432</v>
      </c>
      <c r="N34" s="118">
        <f>SUM(N35:N37)</f>
        <v>76902</v>
      </c>
      <c r="O34" s="998"/>
      <c r="P34" s="998">
        <f>SUM(P35:P36)</f>
        <v>0</v>
      </c>
      <c r="Q34" s="999">
        <v>76902</v>
      </c>
    </row>
    <row r="35" spans="1:17" s="362" customFormat="1" ht="15" customHeight="1">
      <c r="A35" s="1173" t="s">
        <v>831</v>
      </c>
      <c r="B35" s="1174">
        <v>77406</v>
      </c>
      <c r="C35" s="1171"/>
      <c r="D35" s="1171"/>
      <c r="E35" s="1172">
        <v>77406</v>
      </c>
      <c r="F35" s="1174">
        <v>74378</v>
      </c>
      <c r="G35" s="1192"/>
      <c r="H35" s="1226"/>
      <c r="I35" s="1227">
        <v>74378</v>
      </c>
      <c r="J35" s="1170">
        <v>74378</v>
      </c>
      <c r="K35" s="1171"/>
      <c r="L35" s="1171"/>
      <c r="M35" s="1172">
        <v>74378</v>
      </c>
      <c r="N35" s="1174">
        <v>72897</v>
      </c>
      <c r="O35" s="1171">
        <v>0</v>
      </c>
      <c r="P35" s="1171"/>
      <c r="Q35" s="1172">
        <v>72897</v>
      </c>
    </row>
    <row r="36" spans="1:17" s="362" customFormat="1" ht="15" customHeight="1">
      <c r="A36" s="1176" t="s">
        <v>432</v>
      </c>
      <c r="B36" s="1178">
        <v>0</v>
      </c>
      <c r="C36" s="1177">
        <v>0</v>
      </c>
      <c r="D36" s="1177">
        <v>0</v>
      </c>
      <c r="E36" s="1177">
        <v>0</v>
      </c>
      <c r="F36" s="1177">
        <v>3054</v>
      </c>
      <c r="G36" s="1193"/>
      <c r="H36" s="1228"/>
      <c r="I36" s="1229">
        <v>3054</v>
      </c>
      <c r="J36" s="1178">
        <v>3054</v>
      </c>
      <c r="K36" s="1177"/>
      <c r="L36" s="1177"/>
      <c r="M36" s="1177">
        <v>3054</v>
      </c>
      <c r="N36" s="1177">
        <v>3054</v>
      </c>
      <c r="O36" s="1177">
        <v>0</v>
      </c>
      <c r="P36" s="1177"/>
      <c r="Q36" s="1177">
        <v>3054</v>
      </c>
    </row>
    <row r="37" spans="1:17" s="362" customFormat="1" ht="15" customHeight="1" thickBot="1">
      <c r="A37" s="1180" t="s">
        <v>906</v>
      </c>
      <c r="B37" s="1181"/>
      <c r="C37" s="1182"/>
      <c r="D37" s="1182"/>
      <c r="E37" s="1182"/>
      <c r="F37" s="1182"/>
      <c r="G37" s="1194"/>
      <c r="H37" s="1230"/>
      <c r="I37" s="1231"/>
      <c r="J37" s="1181"/>
      <c r="K37" s="1182"/>
      <c r="L37" s="1182"/>
      <c r="M37" s="1182"/>
      <c r="N37" s="1182">
        <v>951</v>
      </c>
      <c r="O37" s="1182"/>
      <c r="P37" s="1182"/>
      <c r="Q37" s="1182">
        <v>951</v>
      </c>
    </row>
    <row r="38" spans="1:17" ht="15" customHeight="1" thickBot="1">
      <c r="A38" s="1183" t="s">
        <v>832</v>
      </c>
      <c r="B38" s="1184">
        <f aca="true" t="shared" si="0" ref="B38:M38">SUM(B39:B45)</f>
        <v>104966</v>
      </c>
      <c r="C38" s="1185">
        <f t="shared" si="0"/>
        <v>98168</v>
      </c>
      <c r="D38" s="1185">
        <f t="shared" si="0"/>
        <v>6798</v>
      </c>
      <c r="E38" s="1186">
        <f t="shared" si="0"/>
        <v>0</v>
      </c>
      <c r="F38" s="1185">
        <f t="shared" si="0"/>
        <v>105612</v>
      </c>
      <c r="G38" s="1195">
        <f t="shared" si="0"/>
        <v>98547</v>
      </c>
      <c r="H38" s="1232">
        <f t="shared" si="0"/>
        <v>7065</v>
      </c>
      <c r="I38" s="1187">
        <f t="shared" si="0"/>
        <v>0</v>
      </c>
      <c r="J38" s="1184">
        <f t="shared" si="0"/>
        <v>107495</v>
      </c>
      <c r="K38" s="1185">
        <f t="shared" si="0"/>
        <v>99757</v>
      </c>
      <c r="L38" s="1185">
        <f t="shared" si="0"/>
        <v>7738</v>
      </c>
      <c r="M38" s="1186">
        <f t="shared" si="0"/>
        <v>0</v>
      </c>
      <c r="N38" s="1185">
        <f>SUM(N39:N45)</f>
        <v>108818</v>
      </c>
      <c r="O38" s="1185">
        <f>SUM(O39:O45)</f>
        <v>101080</v>
      </c>
      <c r="P38" s="1185">
        <f>SUM(P39:P45)</f>
        <v>7738</v>
      </c>
      <c r="Q38" s="1187">
        <f>SUM(Q39:Q45)</f>
        <v>0</v>
      </c>
    </row>
    <row r="39" spans="1:17" s="362" customFormat="1" ht="15" customHeight="1">
      <c r="A39" s="256" t="s">
        <v>833</v>
      </c>
      <c r="B39" s="138">
        <v>64293</v>
      </c>
      <c r="C39" s="1000">
        <v>64293</v>
      </c>
      <c r="D39" s="1000"/>
      <c r="E39" s="1001"/>
      <c r="F39" s="138">
        <v>60748</v>
      </c>
      <c r="G39" s="1196">
        <v>60748</v>
      </c>
      <c r="H39" s="1233"/>
      <c r="I39" s="1234"/>
      <c r="J39" s="1206">
        <v>61938</v>
      </c>
      <c r="K39" s="1000">
        <v>61938</v>
      </c>
      <c r="L39" s="1000"/>
      <c r="M39" s="1001"/>
      <c r="N39" s="138">
        <v>61938</v>
      </c>
      <c r="O39" s="1000">
        <v>61938</v>
      </c>
      <c r="P39" s="1000"/>
      <c r="Q39" s="1001"/>
    </row>
    <row r="40" spans="1:17" s="362" customFormat="1" ht="15" customHeight="1">
      <c r="A40" s="246" t="s">
        <v>834</v>
      </c>
      <c r="B40" s="1002">
        <v>13559</v>
      </c>
      <c r="C40" s="708">
        <v>13559</v>
      </c>
      <c r="D40" s="708"/>
      <c r="E40" s="709"/>
      <c r="F40" s="1002">
        <v>15606</v>
      </c>
      <c r="G40" s="1197">
        <v>15606</v>
      </c>
      <c r="H40" s="1235"/>
      <c r="I40" s="1236"/>
      <c r="J40" s="1207">
        <v>15626</v>
      </c>
      <c r="K40" s="708">
        <v>15626</v>
      </c>
      <c r="L40" s="708"/>
      <c r="M40" s="709"/>
      <c r="N40" s="1002">
        <v>15626</v>
      </c>
      <c r="O40" s="708">
        <v>15626</v>
      </c>
      <c r="P40" s="708"/>
      <c r="Q40" s="709"/>
    </row>
    <row r="41" spans="1:17" s="362" customFormat="1" ht="15" customHeight="1">
      <c r="A41" s="246" t="s">
        <v>835</v>
      </c>
      <c r="B41" s="1002">
        <v>14541</v>
      </c>
      <c r="C41" s="708">
        <v>14541</v>
      </c>
      <c r="D41" s="708"/>
      <c r="E41" s="709"/>
      <c r="F41" s="1002">
        <v>14541</v>
      </c>
      <c r="G41" s="1197">
        <v>14541</v>
      </c>
      <c r="H41" s="1235"/>
      <c r="I41" s="1236"/>
      <c r="J41" s="1207">
        <v>14541</v>
      </c>
      <c r="K41" s="708">
        <v>14541</v>
      </c>
      <c r="L41" s="708"/>
      <c r="M41" s="709"/>
      <c r="N41" s="1002">
        <v>14541</v>
      </c>
      <c r="O41" s="708">
        <v>14541</v>
      </c>
      <c r="P41" s="708"/>
      <c r="Q41" s="709"/>
    </row>
    <row r="42" spans="1:17" s="362" customFormat="1" ht="15" customHeight="1">
      <c r="A42" s="246" t="s">
        <v>836</v>
      </c>
      <c r="B42" s="1002">
        <v>0</v>
      </c>
      <c r="C42" s="708">
        <v>0</v>
      </c>
      <c r="D42" s="708">
        <v>0</v>
      </c>
      <c r="E42" s="709">
        <v>0</v>
      </c>
      <c r="F42" s="1002">
        <v>194</v>
      </c>
      <c r="G42" s="1197">
        <v>194</v>
      </c>
      <c r="H42" s="1235"/>
      <c r="I42" s="1236"/>
      <c r="J42" s="1207">
        <v>194</v>
      </c>
      <c r="K42" s="708">
        <v>194</v>
      </c>
      <c r="L42" s="708"/>
      <c r="M42" s="709"/>
      <c r="N42" s="1002">
        <v>194</v>
      </c>
      <c r="O42" s="708">
        <v>194</v>
      </c>
      <c r="P42" s="708"/>
      <c r="Q42" s="709"/>
    </row>
    <row r="43" spans="1:17" s="362" customFormat="1" ht="15" customHeight="1">
      <c r="A43" s="246" t="s">
        <v>837</v>
      </c>
      <c r="B43" s="1002">
        <v>1845</v>
      </c>
      <c r="C43" s="708">
        <v>1845</v>
      </c>
      <c r="D43" s="708"/>
      <c r="E43" s="709"/>
      <c r="F43" s="1002">
        <v>1845</v>
      </c>
      <c r="G43" s="1197">
        <v>1845</v>
      </c>
      <c r="H43" s="1235"/>
      <c r="I43" s="1236"/>
      <c r="J43" s="1207">
        <v>1845</v>
      </c>
      <c r="K43" s="708">
        <v>1845</v>
      </c>
      <c r="L43" s="708"/>
      <c r="M43" s="709"/>
      <c r="N43" s="1002">
        <v>1845</v>
      </c>
      <c r="O43" s="708">
        <v>1845</v>
      </c>
      <c r="P43" s="708"/>
      <c r="Q43" s="709"/>
    </row>
    <row r="44" spans="1:17" s="362" customFormat="1" ht="15" customHeight="1">
      <c r="A44" s="19" t="s">
        <v>838</v>
      </c>
      <c r="B44" s="1002">
        <v>6798</v>
      </c>
      <c r="C44" s="708"/>
      <c r="D44" s="708">
        <v>6798</v>
      </c>
      <c r="E44" s="709"/>
      <c r="F44" s="1002">
        <v>7065</v>
      </c>
      <c r="G44" s="1197"/>
      <c r="H44" s="1235">
        <v>7065</v>
      </c>
      <c r="I44" s="1236"/>
      <c r="J44" s="1207">
        <v>7738</v>
      </c>
      <c r="K44" s="708"/>
      <c r="L44" s="708">
        <v>7738</v>
      </c>
      <c r="M44" s="709"/>
      <c r="N44" s="1002">
        <v>7738</v>
      </c>
      <c r="O44" s="708"/>
      <c r="P44" s="708">
        <v>7738</v>
      </c>
      <c r="Q44" s="709"/>
    </row>
    <row r="45" spans="1:17" s="362" customFormat="1" ht="15" customHeight="1" thickBot="1">
      <c r="A45" s="1003" t="s">
        <v>839</v>
      </c>
      <c r="B45" s="145">
        <v>3930</v>
      </c>
      <c r="C45" s="146">
        <v>3930</v>
      </c>
      <c r="D45" s="146"/>
      <c r="E45" s="713"/>
      <c r="F45" s="145">
        <v>5613</v>
      </c>
      <c r="G45" s="1198">
        <v>5613</v>
      </c>
      <c r="H45" s="1237"/>
      <c r="I45" s="1238"/>
      <c r="J45" s="1208">
        <v>5613</v>
      </c>
      <c r="K45" s="146">
        <v>5613</v>
      </c>
      <c r="L45" s="146"/>
      <c r="M45" s="713"/>
      <c r="N45" s="145">
        <v>6936</v>
      </c>
      <c r="O45" s="146">
        <v>6936</v>
      </c>
      <c r="P45" s="146"/>
      <c r="Q45" s="713"/>
    </row>
    <row r="46" spans="1:17" ht="15" customHeight="1" thickBot="1">
      <c r="A46" s="1243" t="s">
        <v>322</v>
      </c>
      <c r="B46" s="1211">
        <v>11554</v>
      </c>
      <c r="C46" s="1248">
        <v>11554</v>
      </c>
      <c r="D46" s="1248"/>
      <c r="E46" s="1249"/>
      <c r="F46" s="118">
        <f>SUM(F47:F49)</f>
        <v>12508</v>
      </c>
      <c r="G46" s="1191">
        <v>12508</v>
      </c>
      <c r="H46" s="1224"/>
      <c r="I46" s="1225"/>
      <c r="J46" s="1205">
        <f>SUM(J47:J49)</f>
        <v>14658</v>
      </c>
      <c r="K46" s="118">
        <f>SUM(K47:K49)</f>
        <v>14658</v>
      </c>
      <c r="L46" s="998"/>
      <c r="M46" s="999"/>
      <c r="N46" s="1211">
        <f>SUM(N47:N50)</f>
        <v>15449</v>
      </c>
      <c r="O46" s="1211">
        <f>SUM(O47:O50)</f>
        <v>14087</v>
      </c>
      <c r="P46" s="1211">
        <f>SUM(P47:P50)</f>
        <v>1362</v>
      </c>
      <c r="Q46" s="1211">
        <f>SUM(Q47:Q50)</f>
        <v>0</v>
      </c>
    </row>
    <row r="47" spans="1:17" ht="15" customHeight="1">
      <c r="A47" s="1244" t="s">
        <v>840</v>
      </c>
      <c r="B47" s="1213">
        <v>9553</v>
      </c>
      <c r="C47" s="1250">
        <v>9553</v>
      </c>
      <c r="D47" s="1251"/>
      <c r="E47" s="1252"/>
      <c r="F47" s="1209">
        <v>10507</v>
      </c>
      <c r="G47" s="989">
        <v>10507</v>
      </c>
      <c r="H47" s="1233"/>
      <c r="I47" s="1239"/>
      <c r="J47" s="1209">
        <v>12657</v>
      </c>
      <c r="K47" s="988">
        <v>12657</v>
      </c>
      <c r="L47" s="1000"/>
      <c r="M47" s="487"/>
      <c r="N47" s="1213">
        <v>14087</v>
      </c>
      <c r="O47" s="1250">
        <v>14087</v>
      </c>
      <c r="P47" s="1251"/>
      <c r="Q47" s="1252"/>
    </row>
    <row r="48" spans="1:17" ht="7.5" customHeight="1" hidden="1">
      <c r="A48" s="1245" t="s">
        <v>841</v>
      </c>
      <c r="B48" s="1253"/>
      <c r="C48" s="176"/>
      <c r="D48" s="146"/>
      <c r="E48" s="1240"/>
      <c r="F48" s="1210"/>
      <c r="G48" s="772"/>
      <c r="H48" s="1237"/>
      <c r="I48" s="1240"/>
      <c r="J48" s="1210"/>
      <c r="K48" s="176"/>
      <c r="L48" s="146"/>
      <c r="M48" s="772"/>
      <c r="N48" s="1253"/>
      <c r="O48" s="176"/>
      <c r="P48" s="146"/>
      <c r="Q48" s="1240"/>
    </row>
    <row r="49" spans="1:17" s="362" customFormat="1" ht="15" customHeight="1">
      <c r="A49" s="1246" t="s">
        <v>842</v>
      </c>
      <c r="B49" s="1228">
        <v>2001</v>
      </c>
      <c r="C49" s="1189">
        <v>2001</v>
      </c>
      <c r="D49" s="1177"/>
      <c r="E49" s="1229"/>
      <c r="F49" s="1178">
        <v>2001</v>
      </c>
      <c r="G49" s="1199">
        <v>2001</v>
      </c>
      <c r="H49" s="1228"/>
      <c r="I49" s="1229"/>
      <c r="J49" s="1178">
        <v>2001</v>
      </c>
      <c r="K49" s="1189">
        <v>2001</v>
      </c>
      <c r="L49" s="1177"/>
      <c r="M49" s="1193"/>
      <c r="N49" s="1228">
        <v>669</v>
      </c>
      <c r="O49" s="1189">
        <v>0</v>
      </c>
      <c r="P49" s="1177">
        <v>669</v>
      </c>
      <c r="Q49" s="1229"/>
    </row>
    <row r="50" spans="1:17" s="362" customFormat="1" ht="15" customHeight="1" thickBot="1">
      <c r="A50" s="1247" t="s">
        <v>926</v>
      </c>
      <c r="B50" s="1241">
        <v>0</v>
      </c>
      <c r="C50" s="1254">
        <v>0</v>
      </c>
      <c r="D50" s="1255">
        <v>0</v>
      </c>
      <c r="E50" s="1242">
        <v>0</v>
      </c>
      <c r="F50" s="1170">
        <v>0</v>
      </c>
      <c r="G50" s="1200">
        <v>0</v>
      </c>
      <c r="H50" s="1241">
        <v>0</v>
      </c>
      <c r="I50" s="1242">
        <v>0</v>
      </c>
      <c r="J50" s="1170">
        <v>0</v>
      </c>
      <c r="K50" s="1188">
        <v>0</v>
      </c>
      <c r="L50" s="1171">
        <v>0</v>
      </c>
      <c r="M50" s="1192">
        <v>0</v>
      </c>
      <c r="N50" s="1241">
        <v>693</v>
      </c>
      <c r="O50" s="1254">
        <v>0</v>
      </c>
      <c r="P50" s="1255">
        <v>693</v>
      </c>
      <c r="Q50" s="1242">
        <v>0</v>
      </c>
    </row>
    <row r="51" spans="1:17" s="12" customFormat="1" ht="15" customHeight="1" thickBot="1">
      <c r="A51" s="1175" t="s">
        <v>25</v>
      </c>
      <c r="B51" s="995">
        <f aca="true" t="shared" si="1" ref="B51:M51">SUM(B10+B22+B34+B38+B46)</f>
        <v>853590</v>
      </c>
      <c r="C51" s="995">
        <f t="shared" si="1"/>
        <v>470410</v>
      </c>
      <c r="D51" s="995">
        <f t="shared" si="1"/>
        <v>24486</v>
      </c>
      <c r="E51" s="997">
        <f t="shared" si="1"/>
        <v>77406</v>
      </c>
      <c r="F51" s="998">
        <f t="shared" si="1"/>
        <v>963654</v>
      </c>
      <c r="G51" s="998">
        <f t="shared" si="1"/>
        <v>861469</v>
      </c>
      <c r="H51" s="995">
        <f t="shared" si="1"/>
        <v>24753</v>
      </c>
      <c r="I51" s="997">
        <f t="shared" si="1"/>
        <v>77432</v>
      </c>
      <c r="J51" s="998">
        <f t="shared" si="1"/>
        <v>977000</v>
      </c>
      <c r="K51" s="998">
        <f t="shared" si="1"/>
        <v>869001</v>
      </c>
      <c r="L51" s="998">
        <f t="shared" si="1"/>
        <v>30567</v>
      </c>
      <c r="M51" s="999">
        <f t="shared" si="1"/>
        <v>77432</v>
      </c>
      <c r="N51" s="995">
        <f>SUM(N10+N22+N34+N38+N46)</f>
        <v>966955</v>
      </c>
      <c r="O51" s="995">
        <f>SUM(O10+O22+O34+O38+O46)</f>
        <v>856529</v>
      </c>
      <c r="P51" s="995">
        <f>SUM(P10+P22+P34+P38+P46)</f>
        <v>33524</v>
      </c>
      <c r="Q51" s="997">
        <f>SUM(Q10+Q22+Q34+Q38+Q46)</f>
        <v>76902</v>
      </c>
    </row>
  </sheetData>
  <sheetProtection selectLockedCells="1" selectUnlockedCells="1"/>
  <mergeCells count="15">
    <mergeCell ref="F8:F9"/>
    <mergeCell ref="G8:I8"/>
    <mergeCell ref="J8:J9"/>
    <mergeCell ref="K8:M8"/>
    <mergeCell ref="A3:Q3"/>
    <mergeCell ref="N8:N9"/>
    <mergeCell ref="O8:Q8"/>
    <mergeCell ref="A7:Q7"/>
    <mergeCell ref="A1:Q1"/>
    <mergeCell ref="A5:Q5"/>
    <mergeCell ref="A4:Q4"/>
    <mergeCell ref="A2:Q2"/>
    <mergeCell ref="A8:A9"/>
    <mergeCell ref="B8:B9"/>
    <mergeCell ref="C8:E8"/>
  </mergeCells>
  <printOptions/>
  <pageMargins left="0.6694444444444444" right="0.11805555555555555" top="0.9840277777777777" bottom="0.9840277777777777" header="0.5118055555555555" footer="0.5118055555555555"/>
  <pageSetup horizontalDpi="300" verticalDpi="300" orientation="landscape" paperSize="9" scale="57" r:id="rId1"/>
  <rowBreaks count="1" manualBreakCount="1">
    <brk id="5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F38"/>
  <sheetViews>
    <sheetView view="pageBreakPreview" zoomScaleSheetLayoutView="100" zoomScalePageLayoutView="0" workbookViewId="0" topLeftCell="A1">
      <selection activeCell="A3" sqref="A3:F3"/>
    </sheetView>
  </sheetViews>
  <sheetFormatPr defaultColWidth="11.57421875" defaultRowHeight="12.75" customHeight="1"/>
  <cols>
    <col min="1" max="1" width="7.140625" style="0" customWidth="1"/>
    <col min="2" max="2" width="54.421875" style="0" customWidth="1"/>
    <col min="3" max="3" width="13.7109375" style="57" customWidth="1"/>
    <col min="4" max="5" width="12.421875" style="57" customWidth="1"/>
    <col min="6" max="6" width="11.28125" style="57" customWidth="1"/>
  </cols>
  <sheetData>
    <row r="1" spans="1:6" s="752" customFormat="1" ht="18" customHeight="1">
      <c r="A1" s="1375" t="s">
        <v>964</v>
      </c>
      <c r="B1" s="1375"/>
      <c r="C1" s="1375"/>
      <c r="D1" s="1375"/>
      <c r="E1" s="1375"/>
      <c r="F1" s="1375"/>
    </row>
    <row r="2" spans="1:6" s="752" customFormat="1" ht="18" customHeight="1">
      <c r="A2" s="677"/>
      <c r="C2" s="57"/>
      <c r="D2" s="57"/>
      <c r="E2" s="57"/>
      <c r="F2" s="57"/>
    </row>
    <row r="3" spans="1:6" ht="14.25" customHeight="1">
      <c r="A3" s="1502" t="s">
        <v>938</v>
      </c>
      <c r="B3" s="1502"/>
      <c r="C3" s="1502"/>
      <c r="D3" s="1502"/>
      <c r="E3" s="1502"/>
      <c r="F3" s="1502"/>
    </row>
    <row r="4" spans="1:6" ht="14.25" customHeight="1">
      <c r="A4" s="1489" t="s">
        <v>963</v>
      </c>
      <c r="B4" s="1489"/>
      <c r="C4" s="1489"/>
      <c r="D4" s="1489"/>
      <c r="E4" s="1489"/>
      <c r="F4" s="1489"/>
    </row>
    <row r="5" spans="1:6" ht="36.75" customHeight="1">
      <c r="A5" s="1478" t="s">
        <v>844</v>
      </c>
      <c r="B5" s="1478"/>
      <c r="C5" s="1478"/>
      <c r="D5" s="1478"/>
      <c r="E5" s="1478"/>
      <c r="F5" s="1478"/>
    </row>
    <row r="6" spans="2:6" ht="20.25" customHeight="1">
      <c r="B6" s="1004"/>
      <c r="C6" s="1476" t="s">
        <v>155</v>
      </c>
      <c r="D6" s="1476"/>
      <c r="E6" s="1476"/>
      <c r="F6" s="1476"/>
    </row>
    <row r="7" spans="1:6" s="12" customFormat="1" ht="50.25" customHeight="1">
      <c r="A7" s="1477" t="s">
        <v>156</v>
      </c>
      <c r="B7" s="1005" t="s">
        <v>157</v>
      </c>
      <c r="C7" s="8" t="s">
        <v>159</v>
      </c>
      <c r="D7" s="8" t="s">
        <v>588</v>
      </c>
      <c r="E7" s="8" t="s">
        <v>589</v>
      </c>
      <c r="F7" s="8" t="s">
        <v>912</v>
      </c>
    </row>
    <row r="8" spans="1:6" s="408" customFormat="1" ht="13.5" customHeight="1">
      <c r="A8" s="1477"/>
      <c r="B8" s="1006" t="s">
        <v>163</v>
      </c>
      <c r="C8" s="1007" t="s">
        <v>164</v>
      </c>
      <c r="D8" s="1007" t="s">
        <v>165</v>
      </c>
      <c r="E8" s="1007" t="s">
        <v>166</v>
      </c>
      <c r="F8" s="1007" t="s">
        <v>167</v>
      </c>
    </row>
    <row r="9" spans="1:6" s="399" customFormat="1" ht="15.75" customHeight="1">
      <c r="A9" s="1008" t="s">
        <v>38</v>
      </c>
      <c r="B9" s="1009" t="s">
        <v>845</v>
      </c>
      <c r="C9" s="1010"/>
      <c r="D9" s="1010"/>
      <c r="E9" s="1010"/>
      <c r="F9" s="1010"/>
    </row>
    <row r="10" spans="1:6" ht="15.75" customHeight="1">
      <c r="A10" s="1011" t="s">
        <v>40</v>
      </c>
      <c r="B10" s="1012" t="s">
        <v>846</v>
      </c>
      <c r="C10" s="1013">
        <v>500</v>
      </c>
      <c r="D10" s="1013">
        <v>500</v>
      </c>
      <c r="E10" s="1013">
        <v>0</v>
      </c>
      <c r="F10" s="1013">
        <v>0</v>
      </c>
    </row>
    <row r="11" spans="1:6" ht="15.75" customHeight="1">
      <c r="A11" s="1011" t="s">
        <v>47</v>
      </c>
      <c r="B11" s="358" t="s">
        <v>847</v>
      </c>
      <c r="C11" s="1014">
        <v>3000</v>
      </c>
      <c r="D11" s="1014">
        <v>7200</v>
      </c>
      <c r="E11" s="1014">
        <v>3000</v>
      </c>
      <c r="F11" s="1014">
        <v>3000</v>
      </c>
    </row>
    <row r="12" spans="1:6" ht="15.75" customHeight="1">
      <c r="A12" s="1011" t="s">
        <v>49</v>
      </c>
      <c r="B12" s="358" t="s">
        <v>848</v>
      </c>
      <c r="C12" s="1014">
        <v>5400</v>
      </c>
      <c r="D12" s="1014">
        <v>5400</v>
      </c>
      <c r="E12" s="1475">
        <v>3000</v>
      </c>
      <c r="F12" s="1475">
        <v>3000</v>
      </c>
    </row>
    <row r="13" spans="1:6" ht="26.25" customHeight="1">
      <c r="A13" s="1011" t="s">
        <v>51</v>
      </c>
      <c r="B13" s="366" t="s">
        <v>849</v>
      </c>
      <c r="C13" s="1014">
        <v>3200</v>
      </c>
      <c r="D13" s="1014">
        <v>3200</v>
      </c>
      <c r="E13" s="1475"/>
      <c r="F13" s="1475"/>
    </row>
    <row r="14" spans="1:6" ht="30.75" customHeight="1">
      <c r="A14" s="1011" t="s">
        <v>53</v>
      </c>
      <c r="B14" s="1015" t="s">
        <v>850</v>
      </c>
      <c r="C14" s="1014">
        <v>3000</v>
      </c>
      <c r="D14" s="1014">
        <v>0</v>
      </c>
      <c r="E14" s="1014">
        <v>0</v>
      </c>
      <c r="F14" s="1014">
        <v>0</v>
      </c>
    </row>
    <row r="15" spans="1:6" ht="30.75" customHeight="1">
      <c r="A15" s="1011" t="s">
        <v>55</v>
      </c>
      <c r="B15" s="1015" t="s">
        <v>851</v>
      </c>
      <c r="C15" s="1014">
        <v>0</v>
      </c>
      <c r="D15" s="1014">
        <v>2500</v>
      </c>
      <c r="E15" s="1014">
        <v>3100</v>
      </c>
      <c r="F15" s="1014">
        <v>3100</v>
      </c>
    </row>
    <row r="16" spans="1:6" ht="30.75" customHeight="1">
      <c r="A16" s="1011" t="s">
        <v>57</v>
      </c>
      <c r="B16" s="1015" t="s">
        <v>852</v>
      </c>
      <c r="C16" s="1014">
        <v>0</v>
      </c>
      <c r="D16" s="1014">
        <v>3800</v>
      </c>
      <c r="E16" s="1014">
        <v>1700</v>
      </c>
      <c r="F16" s="1014">
        <v>1700</v>
      </c>
    </row>
    <row r="17" spans="1:6" ht="30.75" customHeight="1">
      <c r="A17" s="1011" t="s">
        <v>86</v>
      </c>
      <c r="B17" s="1015" t="s">
        <v>853</v>
      </c>
      <c r="C17" s="1014"/>
      <c r="D17" s="1014">
        <v>400</v>
      </c>
      <c r="E17" s="1014">
        <v>400</v>
      </c>
      <c r="F17" s="1014">
        <v>400</v>
      </c>
    </row>
    <row r="18" spans="1:6" ht="15.75" customHeight="1">
      <c r="A18" s="1011" t="s">
        <v>59</v>
      </c>
      <c r="B18" s="1012" t="s">
        <v>854</v>
      </c>
      <c r="C18" s="168">
        <v>1524</v>
      </c>
      <c r="D18" s="168">
        <v>1524</v>
      </c>
      <c r="E18" s="168">
        <v>0</v>
      </c>
      <c r="F18" s="168">
        <v>0</v>
      </c>
    </row>
    <row r="19" spans="1:6" s="1018" customFormat="1" ht="15.75" customHeight="1">
      <c r="A19" s="1011" t="s">
        <v>61</v>
      </c>
      <c r="B19" s="1016" t="s">
        <v>855</v>
      </c>
      <c r="C19" s="1017">
        <v>6000</v>
      </c>
      <c r="D19" s="1017">
        <v>3000</v>
      </c>
      <c r="E19" s="1017">
        <v>3000</v>
      </c>
      <c r="F19" s="1017">
        <v>3000</v>
      </c>
    </row>
    <row r="20" spans="1:6" ht="15.75" customHeight="1">
      <c r="A20" s="1011" t="s">
        <v>63</v>
      </c>
      <c r="B20" s="1019" t="s">
        <v>856</v>
      </c>
      <c r="C20" s="1020">
        <f>SUM(C10:C19)</f>
        <v>22624</v>
      </c>
      <c r="D20" s="1020">
        <f>SUM(D10:D19)</f>
        <v>27524</v>
      </c>
      <c r="E20" s="1020">
        <f>SUM(E10:E19)</f>
        <v>14200</v>
      </c>
      <c r="F20" s="1020">
        <f>SUM(F10:F19)</f>
        <v>14200</v>
      </c>
    </row>
    <row r="21" spans="1:6" ht="15.75" customHeight="1">
      <c r="A21" s="1021" t="s">
        <v>65</v>
      </c>
      <c r="B21" s="85" t="s">
        <v>857</v>
      </c>
      <c r="C21" s="1022"/>
      <c r="D21" s="1022"/>
      <c r="E21" s="1022"/>
      <c r="F21" s="1022"/>
    </row>
    <row r="22" spans="1:6" ht="15.75" customHeight="1">
      <c r="A22" s="1011" t="s">
        <v>92</v>
      </c>
      <c r="B22" s="1012"/>
      <c r="C22" s="1022"/>
      <c r="D22" s="1022"/>
      <c r="E22" s="1022"/>
      <c r="F22" s="1022"/>
    </row>
    <row r="23" spans="1:6" ht="15.75" customHeight="1">
      <c r="A23" s="1011" t="s">
        <v>66</v>
      </c>
      <c r="B23" s="1012" t="s">
        <v>858</v>
      </c>
      <c r="C23" s="1022">
        <v>500</v>
      </c>
      <c r="D23" s="1022">
        <v>500</v>
      </c>
      <c r="E23" s="1022">
        <v>288</v>
      </c>
      <c r="F23" s="1022">
        <v>0</v>
      </c>
    </row>
    <row r="24" spans="1:6" ht="15.75" customHeight="1">
      <c r="A24" s="1011" t="s">
        <v>67</v>
      </c>
      <c r="B24" s="1019" t="s">
        <v>856</v>
      </c>
      <c r="C24" s="1020">
        <f>SUM(C23:C23)</f>
        <v>500</v>
      </c>
      <c r="D24" s="1020">
        <f>SUM(D23:D23)</f>
        <v>500</v>
      </c>
      <c r="E24" s="1020">
        <f>SUM(E23:E23)</f>
        <v>288</v>
      </c>
      <c r="F24" s="1020">
        <f>SUM(F23:F23)</f>
        <v>0</v>
      </c>
    </row>
    <row r="25" spans="1:6" ht="15.75" customHeight="1">
      <c r="A25" s="1021" t="s">
        <v>68</v>
      </c>
      <c r="B25" s="85" t="s">
        <v>859</v>
      </c>
      <c r="C25" s="1022"/>
      <c r="D25" s="1022"/>
      <c r="E25" s="1022"/>
      <c r="F25" s="1022"/>
    </row>
    <row r="26" spans="1:6" ht="15.75" customHeight="1">
      <c r="A26" s="1011" t="s">
        <v>70</v>
      </c>
      <c r="B26" s="771" t="s">
        <v>860</v>
      </c>
      <c r="C26" s="1022">
        <v>1841</v>
      </c>
      <c r="D26" s="1022">
        <v>1841</v>
      </c>
      <c r="E26" s="1022">
        <v>0</v>
      </c>
      <c r="F26" s="1022">
        <v>0</v>
      </c>
    </row>
    <row r="27" spans="1:6" ht="15.75" customHeight="1">
      <c r="A27" s="1011" t="s">
        <v>97</v>
      </c>
      <c r="B27" s="771" t="s">
        <v>861</v>
      </c>
      <c r="C27" s="1022">
        <v>2400</v>
      </c>
      <c r="D27" s="1022">
        <v>2400</v>
      </c>
      <c r="E27" s="1022">
        <v>0</v>
      </c>
      <c r="F27" s="1022">
        <v>0</v>
      </c>
    </row>
    <row r="28" spans="1:6" ht="15.75" customHeight="1">
      <c r="A28" s="1011" t="s">
        <v>99</v>
      </c>
      <c r="B28" s="1019" t="s">
        <v>856</v>
      </c>
      <c r="C28" s="1020">
        <f>SUM(C26:C27)</f>
        <v>4241</v>
      </c>
      <c r="D28" s="1020">
        <f>SUM(D26:D27)</f>
        <v>4241</v>
      </c>
      <c r="E28" s="1020">
        <f>SUM(E26:E27)</f>
        <v>0</v>
      </c>
      <c r="F28" s="1020">
        <f>SUM(F26:F27)</f>
        <v>0</v>
      </c>
    </row>
    <row r="29" spans="1:6" s="1023" customFormat="1" ht="15.75" customHeight="1">
      <c r="A29" s="1021" t="s">
        <v>101</v>
      </c>
      <c r="B29" s="179" t="s">
        <v>862</v>
      </c>
      <c r="C29" s="1022"/>
      <c r="D29" s="1022"/>
      <c r="E29" s="1022"/>
      <c r="F29" s="1022"/>
    </row>
    <row r="30" spans="1:6" s="397" customFormat="1" ht="25.5" customHeight="1">
      <c r="A30" s="658" t="s">
        <v>103</v>
      </c>
      <c r="B30" s="659" t="s">
        <v>863</v>
      </c>
      <c r="C30" s="168">
        <v>7500</v>
      </c>
      <c r="D30" s="81">
        <v>16038</v>
      </c>
      <c r="E30" s="81">
        <v>16038</v>
      </c>
      <c r="F30" s="81">
        <v>16038</v>
      </c>
    </row>
    <row r="31" spans="1:6" s="397" customFormat="1" ht="26.25" customHeight="1">
      <c r="A31" s="1011" t="s">
        <v>105</v>
      </c>
      <c r="B31" s="1024" t="s">
        <v>864</v>
      </c>
      <c r="C31" s="1025">
        <v>217</v>
      </c>
      <c r="D31" s="1025">
        <v>217</v>
      </c>
      <c r="E31" s="1025">
        <v>0</v>
      </c>
      <c r="F31" s="1025">
        <v>0</v>
      </c>
    </row>
    <row r="32" spans="1:6" s="397" customFormat="1" ht="15.75" customHeight="1">
      <c r="A32" s="1026" t="s">
        <v>107</v>
      </c>
      <c r="B32" s="618" t="s">
        <v>865</v>
      </c>
      <c r="C32" s="168">
        <v>1500</v>
      </c>
      <c r="D32" s="168">
        <v>0</v>
      </c>
      <c r="E32" s="168">
        <v>0</v>
      </c>
      <c r="F32" s="168">
        <v>0</v>
      </c>
    </row>
    <row r="33" spans="1:6" s="397" customFormat="1" ht="33.75" customHeight="1">
      <c r="A33" s="1026" t="s">
        <v>109</v>
      </c>
      <c r="B33" s="594" t="s">
        <v>866</v>
      </c>
      <c r="C33" s="1022">
        <v>0</v>
      </c>
      <c r="D33" s="81">
        <v>3200</v>
      </c>
      <c r="E33" s="81">
        <v>3200</v>
      </c>
      <c r="F33" s="81">
        <v>3200</v>
      </c>
    </row>
    <row r="34" spans="1:6" s="397" customFormat="1" ht="15.75" customHeight="1">
      <c r="A34" s="1011" t="s">
        <v>111</v>
      </c>
      <c r="B34" s="353"/>
      <c r="C34" s="705"/>
      <c r="D34" s="705"/>
      <c r="E34" s="705"/>
      <c r="F34" s="705"/>
    </row>
    <row r="35" spans="1:6" s="397" customFormat="1" ht="15.75" customHeight="1">
      <c r="A35" s="1011" t="s">
        <v>113</v>
      </c>
      <c r="B35" s="353"/>
      <c r="C35" s="705"/>
      <c r="D35" s="705"/>
      <c r="E35" s="705"/>
      <c r="F35" s="705"/>
    </row>
    <row r="36" spans="1:6" s="397" customFormat="1" ht="15.75" customHeight="1">
      <c r="A36" s="1021" t="s">
        <v>115</v>
      </c>
      <c r="B36" s="1019" t="s">
        <v>856</v>
      </c>
      <c r="C36" s="88">
        <f>SUM(C30:C34)</f>
        <v>9217</v>
      </c>
      <c r="D36" s="88">
        <f>SUM(D30:D34)</f>
        <v>19455</v>
      </c>
      <c r="E36" s="88">
        <f>SUM(E30:E34)</f>
        <v>19238</v>
      </c>
      <c r="F36" s="88">
        <f>SUM(F30:F34)</f>
        <v>19238</v>
      </c>
    </row>
    <row r="37" spans="1:6" s="397" customFormat="1" ht="15.75" customHeight="1">
      <c r="A37" s="1011" t="s">
        <v>117</v>
      </c>
      <c r="B37" s="1027"/>
      <c r="C37" s="1022"/>
      <c r="D37" s="1022"/>
      <c r="E37" s="1022"/>
      <c r="F37" s="1022"/>
    </row>
    <row r="38" spans="1:6" s="397" customFormat="1" ht="15.75" customHeight="1">
      <c r="A38" s="1021" t="s">
        <v>118</v>
      </c>
      <c r="B38" s="1019" t="s">
        <v>867</v>
      </c>
      <c r="C38" s="88">
        <f>C20+C24+C28+C36</f>
        <v>36582</v>
      </c>
      <c r="D38" s="88">
        <f>D20+D24+D28+D36</f>
        <v>51720</v>
      </c>
      <c r="E38" s="88">
        <f>E20+E24+E28+E36</f>
        <v>33726</v>
      </c>
      <c r="F38" s="88">
        <f>F20+F24+F28+F36</f>
        <v>33438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F12:F13"/>
    <mergeCell ref="C6:F6"/>
    <mergeCell ref="A7:A8"/>
    <mergeCell ref="E12:E13"/>
    <mergeCell ref="A5:F5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330" t="s">
        <v>843</v>
      </c>
      <c r="E1" s="1330"/>
    </row>
    <row r="2" spans="2:5" ht="12.75" customHeight="1">
      <c r="B2" s="1479" t="s">
        <v>1</v>
      </c>
      <c r="C2" s="1479"/>
      <c r="D2" s="1479"/>
      <c r="E2" s="1479"/>
    </row>
    <row r="3" spans="1:2" ht="29.25" customHeight="1">
      <c r="A3" s="49"/>
      <c r="B3" s="49"/>
    </row>
    <row r="4" spans="1:5" ht="12.75" customHeight="1">
      <c r="A4" s="1480" t="s">
        <v>2</v>
      </c>
      <c r="B4" s="1480"/>
      <c r="C4" s="1480"/>
      <c r="D4" s="1480"/>
      <c r="E4" s="1480"/>
    </row>
    <row r="5" spans="1:5" ht="12.75" customHeight="1">
      <c r="A5" s="1331" t="s">
        <v>868</v>
      </c>
      <c r="B5" s="1331"/>
      <c r="C5" s="1331"/>
      <c r="D5" s="1331"/>
      <c r="E5" s="1331"/>
    </row>
    <row r="6" spans="1:3" ht="27" customHeight="1">
      <c r="A6" s="1028"/>
      <c r="B6" s="1028"/>
      <c r="C6" s="1028"/>
    </row>
    <row r="7" spans="1:5" ht="13.5" customHeight="1">
      <c r="A7" s="1028"/>
      <c r="B7" s="1028"/>
      <c r="C7" s="1028"/>
      <c r="D7" s="1326" t="s">
        <v>5</v>
      </c>
      <c r="E7" s="1326"/>
    </row>
    <row r="8" spans="1:5" ht="12.75" customHeight="1">
      <c r="A8" s="1481" t="s">
        <v>805</v>
      </c>
      <c r="B8" s="1482" t="s">
        <v>806</v>
      </c>
      <c r="C8" s="1483" t="s">
        <v>869</v>
      </c>
      <c r="D8" s="1483"/>
      <c r="E8" s="1483"/>
    </row>
    <row r="9" spans="1:5" ht="33.75" customHeight="1">
      <c r="A9" s="1481"/>
      <c r="B9" s="1482"/>
      <c r="C9" s="1029" t="s">
        <v>810</v>
      </c>
      <c r="D9" s="1029" t="s">
        <v>811</v>
      </c>
      <c r="E9" s="1030" t="s">
        <v>812</v>
      </c>
    </row>
    <row r="10" spans="1:5" ht="15" customHeight="1">
      <c r="A10" s="1031" t="s">
        <v>2</v>
      </c>
      <c r="B10" s="1032">
        <f>C10+D10+E10</f>
        <v>210979</v>
      </c>
      <c r="C10" s="1033">
        <f>SUM(C11:C14)</f>
        <v>202719</v>
      </c>
      <c r="D10" s="1033">
        <f>SUM(D11:D14)</f>
        <v>8260</v>
      </c>
      <c r="E10" s="1034">
        <f>SUM(E11:E14)</f>
        <v>0</v>
      </c>
    </row>
    <row r="11" spans="1:5" s="1038" customFormat="1" ht="15" customHeight="1">
      <c r="A11" s="1035" t="s">
        <v>870</v>
      </c>
      <c r="B11" s="1036"/>
      <c r="C11" s="1036">
        <v>202719</v>
      </c>
      <c r="D11" s="1036"/>
      <c r="E11" s="1037"/>
    </row>
    <row r="12" spans="1:5" s="1038" customFormat="1" ht="15" customHeight="1">
      <c r="A12" s="1035" t="s">
        <v>871</v>
      </c>
      <c r="B12" s="1036"/>
      <c r="C12" s="1036"/>
      <c r="D12" s="1036">
        <v>610</v>
      </c>
      <c r="E12" s="1037"/>
    </row>
    <row r="13" spans="1:5" s="1038" customFormat="1" ht="15" customHeight="1">
      <c r="A13" s="1039" t="s">
        <v>872</v>
      </c>
      <c r="B13" s="1040"/>
      <c r="C13" s="1036"/>
      <c r="D13" s="1040">
        <v>7650</v>
      </c>
      <c r="E13" s="1037"/>
    </row>
    <row r="14" spans="1:5" s="1038" customFormat="1" ht="15" customHeight="1">
      <c r="A14" s="1035" t="s">
        <v>873</v>
      </c>
      <c r="B14" s="1036"/>
      <c r="C14" s="1036"/>
      <c r="D14" s="1036"/>
      <c r="E14" s="1037" t="s">
        <v>820</v>
      </c>
    </row>
    <row r="15" spans="1:5" ht="15" customHeight="1">
      <c r="A15" s="1041" t="s">
        <v>307</v>
      </c>
      <c r="B15" s="1032">
        <f>C15+D15+E15</f>
        <v>112004</v>
      </c>
      <c r="C15" s="1032">
        <f>SUM(C16:C17)</f>
        <v>91520</v>
      </c>
      <c r="D15" s="1032">
        <f>SUM(D16:D17)</f>
        <v>0</v>
      </c>
      <c r="E15" s="1042">
        <f>SUM(E16:E17)</f>
        <v>20484</v>
      </c>
    </row>
    <row r="16" spans="1:5" s="1038" customFormat="1" ht="15" customHeight="1">
      <c r="A16" s="1039" t="s">
        <v>874</v>
      </c>
      <c r="B16" s="1040"/>
      <c r="C16" s="1036">
        <v>68282</v>
      </c>
      <c r="D16" s="1040"/>
      <c r="E16" s="1043">
        <v>20484</v>
      </c>
    </row>
    <row r="17" spans="1:5" s="1038" customFormat="1" ht="15" customHeight="1">
      <c r="A17" s="1039" t="s">
        <v>875</v>
      </c>
      <c r="B17" s="1040"/>
      <c r="C17" s="1036">
        <v>23238</v>
      </c>
      <c r="D17" s="1040"/>
      <c r="E17" s="1043"/>
    </row>
    <row r="18" spans="1:5" ht="15" customHeight="1">
      <c r="A18" s="1041" t="s">
        <v>832</v>
      </c>
      <c r="B18" s="1032">
        <v>80345</v>
      </c>
      <c r="C18" s="1044">
        <f>SUM(C19:C20)</f>
        <v>72285</v>
      </c>
      <c r="D18" s="1044">
        <f>SUM(D19:D20)</f>
        <v>8060</v>
      </c>
      <c r="E18" s="1045">
        <f>SUM(E19:E20)</f>
        <v>0</v>
      </c>
    </row>
    <row r="19" spans="1:5" s="1038" customFormat="1" ht="15" customHeight="1">
      <c r="A19" s="1039" t="s">
        <v>876</v>
      </c>
      <c r="B19" s="1040"/>
      <c r="C19" s="1036">
        <v>72285</v>
      </c>
      <c r="D19" s="1040"/>
      <c r="E19" s="1043"/>
    </row>
    <row r="20" spans="1:5" s="1038" customFormat="1" ht="15" customHeight="1">
      <c r="A20" s="1039" t="s">
        <v>877</v>
      </c>
      <c r="B20" s="1040"/>
      <c r="C20" s="1036"/>
      <c r="D20" s="1040">
        <v>8060</v>
      </c>
      <c r="E20" s="1043"/>
    </row>
    <row r="21" spans="1:5" ht="15" customHeight="1">
      <c r="A21" s="1041" t="s">
        <v>878</v>
      </c>
      <c r="B21" s="1032">
        <v>16681</v>
      </c>
      <c r="C21" s="1032">
        <f>B21</f>
        <v>16681</v>
      </c>
      <c r="D21" s="1032"/>
      <c r="E21" s="1042"/>
    </row>
    <row r="22" spans="1:5" ht="15" customHeight="1">
      <c r="A22" s="1041" t="s">
        <v>322</v>
      </c>
      <c r="B22" s="1032">
        <v>10850</v>
      </c>
      <c r="C22" s="1032">
        <f>B22</f>
        <v>10850</v>
      </c>
      <c r="D22" s="1032"/>
      <c r="E22" s="1042"/>
    </row>
    <row r="23" spans="1:5" s="23" customFormat="1" ht="15" customHeight="1">
      <c r="A23" s="1046" t="s">
        <v>25</v>
      </c>
      <c r="B23" s="1047">
        <f>B10+B15+B18+B21+B22</f>
        <v>430859</v>
      </c>
      <c r="C23" s="1047">
        <f>C10+C15+C18+C21+C22</f>
        <v>394055</v>
      </c>
      <c r="D23" s="1047">
        <f>D10+D15+D18+D21+D22</f>
        <v>16320</v>
      </c>
      <c r="E23" s="1047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2:I107"/>
  <sheetViews>
    <sheetView tabSelected="1" zoomScalePageLayoutView="0" workbookViewId="0" topLeftCell="A1">
      <selection activeCell="C11" sqref="C11"/>
    </sheetView>
  </sheetViews>
  <sheetFormatPr defaultColWidth="11.57421875" defaultRowHeight="12.75" customHeight="1"/>
  <cols>
    <col min="1" max="1" width="4.00390625" style="241" customWidth="1"/>
    <col min="2" max="2" width="3.28125" style="241" customWidth="1"/>
    <col min="3" max="3" width="32.28125" style="241" customWidth="1"/>
    <col min="4" max="4" width="6.7109375" style="1169" customWidth="1"/>
    <col min="5" max="5" width="14.421875" style="57" customWidth="1"/>
    <col min="6" max="6" width="13.57421875" style="57" customWidth="1"/>
    <col min="7" max="7" width="13.28125" style="57" customWidth="1"/>
    <col min="8" max="8" width="14.28125" style="57" customWidth="1"/>
    <col min="9" max="9" width="13.28125" style="57" customWidth="1"/>
    <col min="10" max="16384" width="11.57421875" style="241" customWidth="1"/>
  </cols>
  <sheetData>
    <row r="2" spans="1:9" ht="27.75" customHeight="1">
      <c r="A2" s="1484" t="s">
        <v>938</v>
      </c>
      <c r="B2" s="1484"/>
      <c r="C2" s="1484"/>
      <c r="D2" s="1484"/>
      <c r="E2" s="1484"/>
      <c r="F2" s="1484"/>
      <c r="G2" s="1484"/>
      <c r="H2" s="1484"/>
      <c r="I2" s="1484"/>
    </row>
    <row r="3" spans="1:9" ht="12.75" customHeight="1">
      <c r="A3" s="1486"/>
      <c r="B3" s="1486"/>
      <c r="C3" s="1486"/>
      <c r="D3" s="1486"/>
      <c r="E3" s="1486"/>
      <c r="F3" s="241"/>
      <c r="G3" s="241"/>
      <c r="H3" s="241"/>
      <c r="I3" s="241"/>
    </row>
    <row r="4" spans="1:9" ht="18" customHeight="1">
      <c r="A4" s="1488" t="s">
        <v>879</v>
      </c>
      <c r="B4" s="1488"/>
      <c r="C4" s="1488"/>
      <c r="D4" s="1488"/>
      <c r="E4" s="1488"/>
      <c r="F4" s="1488"/>
      <c r="G4" s="1488"/>
      <c r="H4" s="1488"/>
      <c r="I4" s="1488"/>
    </row>
    <row r="5" spans="1:9" ht="24.75" customHeight="1">
      <c r="A5" s="1486" t="s">
        <v>880</v>
      </c>
      <c r="B5" s="1486"/>
      <c r="C5" s="1486"/>
      <c r="D5" s="1486"/>
      <c r="E5" s="1486"/>
      <c r="F5" s="1486"/>
      <c r="G5" s="1486"/>
      <c r="H5" s="1486"/>
      <c r="I5" s="1486"/>
    </row>
    <row r="6" spans="1:9" ht="24.75" customHeight="1">
      <c r="A6" s="1486"/>
      <c r="B6" s="1486"/>
      <c r="C6" s="1486"/>
      <c r="D6" s="1486"/>
      <c r="E6" s="1486"/>
      <c r="F6" s="241"/>
      <c r="G6" s="241"/>
      <c r="H6" s="241"/>
      <c r="I6" s="241"/>
    </row>
    <row r="7" spans="1:9" ht="12.75" customHeight="1" thickBot="1">
      <c r="A7" s="1487" t="s">
        <v>155</v>
      </c>
      <c r="B7" s="1487"/>
      <c r="C7" s="1487"/>
      <c r="D7" s="1487"/>
      <c r="E7" s="1487"/>
      <c r="F7" s="1487"/>
      <c r="G7" s="1487"/>
      <c r="H7" s="1487"/>
      <c r="I7" s="1487"/>
    </row>
    <row r="8" spans="1:9" ht="39" customHeight="1" thickBot="1">
      <c r="A8" s="1338" t="s">
        <v>156</v>
      </c>
      <c r="B8" s="1338"/>
      <c r="C8" s="1414" t="s">
        <v>157</v>
      </c>
      <c r="D8" s="1414"/>
      <c r="E8" s="8" t="s">
        <v>158</v>
      </c>
      <c r="F8" s="8" t="s">
        <v>159</v>
      </c>
      <c r="G8" s="8" t="s">
        <v>808</v>
      </c>
      <c r="H8" s="8" t="s">
        <v>809</v>
      </c>
      <c r="I8" s="8" t="s">
        <v>907</v>
      </c>
    </row>
    <row r="9" spans="1:9" ht="12.75" customHeight="1" thickBot="1">
      <c r="A9" s="1338"/>
      <c r="B9" s="1338"/>
      <c r="C9" s="1453" t="s">
        <v>163</v>
      </c>
      <c r="D9" s="1453"/>
      <c r="E9" s="349" t="s">
        <v>164</v>
      </c>
      <c r="F9" s="349" t="s">
        <v>165</v>
      </c>
      <c r="G9" s="349" t="s">
        <v>166</v>
      </c>
      <c r="H9" s="349" t="s">
        <v>167</v>
      </c>
      <c r="I9" s="349" t="s">
        <v>168</v>
      </c>
    </row>
    <row r="10" spans="1:9" s="408" customFormat="1" ht="12.75" customHeight="1">
      <c r="A10" s="420" t="s">
        <v>38</v>
      </c>
      <c r="B10" s="723" t="s">
        <v>169</v>
      </c>
      <c r="C10" s="1048" t="s">
        <v>881</v>
      </c>
      <c r="D10" s="1153"/>
      <c r="E10" s="76">
        <f>SUM(E11:E15)</f>
        <v>105273</v>
      </c>
      <c r="F10" s="76">
        <f>SUM(F11:F15)</f>
        <v>104966</v>
      </c>
      <c r="G10" s="76">
        <f>SUM(G11:G15)</f>
        <v>105612</v>
      </c>
      <c r="H10" s="76">
        <f>SUM(H11:H15)</f>
        <v>107495</v>
      </c>
      <c r="I10" s="76">
        <f>SUM(I11:I15)</f>
        <v>108818</v>
      </c>
    </row>
    <row r="11" spans="1:9" ht="12.75" customHeight="1">
      <c r="A11" s="428" t="s">
        <v>40</v>
      </c>
      <c r="B11" s="1049"/>
      <c r="C11" s="260" t="s">
        <v>882</v>
      </c>
      <c r="D11" s="1154"/>
      <c r="E11" s="359">
        <f>SUM('15ovi2015'!E14)</f>
        <v>5187</v>
      </c>
      <c r="F11" s="359">
        <f>SUM('15ovi2015'!F9+'15ovi2015'!F10+'15ovi2015'!F13)</f>
        <v>3300</v>
      </c>
      <c r="G11" s="359">
        <f>SUM('15ovi2015'!G9+'15ovi2015'!G10+'15ovi2015'!G13)</f>
        <v>3300</v>
      </c>
      <c r="H11" s="359">
        <f>SUM('15ovi2015'!H9+'15ovi2015'!H10+'15ovi2015'!H13)+'15ovi2015'!H12</f>
        <v>3300</v>
      </c>
      <c r="I11" s="359">
        <f>SUM('15ovi2015'!I9+'15ovi2015'!I10+'15ovi2015'!I13)+'15ovi2015'!I12</f>
        <v>1840</v>
      </c>
    </row>
    <row r="12" spans="1:9" ht="12.75" customHeight="1">
      <c r="A12" s="428" t="s">
        <v>47</v>
      </c>
      <c r="B12" s="1049"/>
      <c r="C12" s="260" t="s">
        <v>318</v>
      </c>
      <c r="D12" s="1154"/>
      <c r="E12" s="359">
        <f>SUM('15ovi2015'!E15)</f>
        <v>790</v>
      </c>
      <c r="F12" s="359">
        <f>SUM('15ovi2015'!F15)</f>
        <v>0</v>
      </c>
      <c r="G12" s="359">
        <f>SUM('15ovi2015'!G15)</f>
        <v>0</v>
      </c>
      <c r="H12" s="359">
        <f>SUM('15ovi2015'!H15)</f>
        <v>20</v>
      </c>
      <c r="I12" s="359">
        <f>SUM('15ovi2015'!I15)</f>
        <v>20</v>
      </c>
    </row>
    <row r="13" spans="1:9" ht="12.75" customHeight="1">
      <c r="A13" s="428" t="s">
        <v>49</v>
      </c>
      <c r="B13" s="1049"/>
      <c r="C13" s="79" t="s">
        <v>883</v>
      </c>
      <c r="D13" s="1154"/>
      <c r="E13" s="359">
        <f>SUM('15ovi2015'!E17)</f>
        <v>98574</v>
      </c>
      <c r="F13" s="359">
        <f>SUM('15ovi2015'!F21)-F14</f>
        <v>98357</v>
      </c>
      <c r="G13" s="359">
        <f>SUM('15ovi2015'!G21)-G14</f>
        <v>99003</v>
      </c>
      <c r="H13" s="359">
        <f>SUM('15ovi2015'!H21)-H14</f>
        <v>100866</v>
      </c>
      <c r="I13" s="359">
        <f>SUM('15ovi2015'!I21)-I14</f>
        <v>103649</v>
      </c>
    </row>
    <row r="14" spans="1:9" ht="12.75" customHeight="1">
      <c r="A14" s="428" t="s">
        <v>51</v>
      </c>
      <c r="B14" s="1049"/>
      <c r="C14" s="79" t="s">
        <v>232</v>
      </c>
      <c r="D14" s="1154"/>
      <c r="E14" s="359">
        <f>SUM('15ovi2015'!E20)</f>
        <v>722</v>
      </c>
      <c r="F14" s="359">
        <f>SUM('15ovi2015'!F20)</f>
        <v>3309</v>
      </c>
      <c r="G14" s="359">
        <f>SUM('15ovi2015'!G20)</f>
        <v>3309</v>
      </c>
      <c r="H14" s="359">
        <f>SUM('15ovi2015'!H20)</f>
        <v>3309</v>
      </c>
      <c r="I14" s="359">
        <f>SUM('15ovi2015'!I20)</f>
        <v>3309</v>
      </c>
    </row>
    <row r="15" spans="1:9" ht="12.75" customHeight="1">
      <c r="A15" s="428" t="s">
        <v>53</v>
      </c>
      <c r="B15" s="1049"/>
      <c r="C15" s="79"/>
      <c r="D15" s="1154"/>
      <c r="E15" s="359"/>
      <c r="F15" s="359"/>
      <c r="G15" s="359"/>
      <c r="H15" s="359"/>
      <c r="I15" s="359"/>
    </row>
    <row r="16" spans="1:9" s="945" customFormat="1" ht="12.75" customHeight="1">
      <c r="A16" s="420" t="s">
        <v>55</v>
      </c>
      <c r="B16" s="1050" t="s">
        <v>173</v>
      </c>
      <c r="C16" s="1051" t="s">
        <v>322</v>
      </c>
      <c r="D16" s="1155"/>
      <c r="E16" s="1052">
        <f>SUM(E17:E19)</f>
        <v>12508</v>
      </c>
      <c r="F16" s="1052">
        <f>SUM(F17:F19)</f>
        <v>11554</v>
      </c>
      <c r="G16" s="1052">
        <f>SUM(G17:G19)</f>
        <v>12508</v>
      </c>
      <c r="H16" s="1052">
        <f>SUM(H17:H19)</f>
        <v>14658</v>
      </c>
      <c r="I16" s="1052">
        <f>SUM(I17:I19)</f>
        <v>15449</v>
      </c>
    </row>
    <row r="17" spans="1:9" ht="12.75" customHeight="1">
      <c r="A17" s="428" t="s">
        <v>57</v>
      </c>
      <c r="B17" s="1049"/>
      <c r="C17" s="260" t="s">
        <v>882</v>
      </c>
      <c r="D17" s="1154"/>
      <c r="E17" s="359">
        <f>SUM('16művh2015'!E9)+'16művh2015'!E10</f>
        <v>475</v>
      </c>
      <c r="F17" s="359">
        <f>SUM('16művh2015'!F9)</f>
        <v>600</v>
      </c>
      <c r="G17" s="359">
        <f>SUM('16művh2015'!G9)</f>
        <v>600</v>
      </c>
      <c r="H17" s="359">
        <f>SUM('16művh2015'!H9)</f>
        <v>600</v>
      </c>
      <c r="I17" s="359">
        <f>SUM('16művh2015'!I9)</f>
        <v>300</v>
      </c>
    </row>
    <row r="18" spans="1:9" ht="12.75" customHeight="1">
      <c r="A18" s="428" t="s">
        <v>86</v>
      </c>
      <c r="B18" s="1049"/>
      <c r="C18" s="79" t="s">
        <v>884</v>
      </c>
      <c r="D18" s="1154"/>
      <c r="E18" s="359">
        <f>SUM('16művh2015'!E12)</f>
        <v>11904</v>
      </c>
      <c r="F18" s="359">
        <f>SUM('16művh2015'!F12)</f>
        <v>10624</v>
      </c>
      <c r="G18" s="359">
        <f>SUM('16művh2015'!G12)</f>
        <v>11578</v>
      </c>
      <c r="H18" s="359">
        <f>SUM('16művh2015'!H12)</f>
        <v>13728</v>
      </c>
      <c r="I18" s="359">
        <f>SUM('16művh2015'!I12)</f>
        <v>14819</v>
      </c>
    </row>
    <row r="19" spans="1:9" ht="12.75" customHeight="1">
      <c r="A19" s="428" t="s">
        <v>59</v>
      </c>
      <c r="B19" s="157"/>
      <c r="C19" s="79" t="s">
        <v>232</v>
      </c>
      <c r="D19" s="1154"/>
      <c r="E19" s="359">
        <v>129</v>
      </c>
      <c r="F19" s="359">
        <f>SUM('16művh2015'!F15)</f>
        <v>330</v>
      </c>
      <c r="G19" s="359">
        <f>SUM('16művh2015'!G15)</f>
        <v>330</v>
      </c>
      <c r="H19" s="359">
        <f>SUM('16művh2015'!H15)</f>
        <v>330</v>
      </c>
      <c r="I19" s="359">
        <f>SUM('16művh2015'!I15)</f>
        <v>330</v>
      </c>
    </row>
    <row r="20" spans="1:9" ht="12.75" customHeight="1">
      <c r="A20" s="428" t="s">
        <v>61</v>
      </c>
      <c r="B20" s="1053"/>
      <c r="C20" s="79"/>
      <c r="D20" s="1154"/>
      <c r="E20" s="359"/>
      <c r="F20" s="359"/>
      <c r="G20" s="359"/>
      <c r="H20" s="359"/>
      <c r="I20" s="359"/>
    </row>
    <row r="21" spans="1:9" s="945" customFormat="1" ht="12.75" customHeight="1">
      <c r="A21" s="420" t="s">
        <v>63</v>
      </c>
      <c r="B21" s="958" t="s">
        <v>177</v>
      </c>
      <c r="C21" s="1051" t="s">
        <v>307</v>
      </c>
      <c r="D21" s="1155"/>
      <c r="E21" s="1054">
        <f>SUM(E22:E25)</f>
        <v>76676</v>
      </c>
      <c r="F21" s="1054">
        <f>SUM(F22:F25)</f>
        <v>77406</v>
      </c>
      <c r="G21" s="1054">
        <f>SUM(G22:G25)</f>
        <v>77432</v>
      </c>
      <c r="H21" s="1054">
        <f>SUM(H22:H25)</f>
        <v>77432</v>
      </c>
      <c r="I21" s="1054">
        <f>SUM(I22:I25)</f>
        <v>76902</v>
      </c>
    </row>
    <row r="22" spans="1:9" ht="12.75" customHeight="1">
      <c r="A22" s="428" t="s">
        <v>65</v>
      </c>
      <c r="B22" s="1053"/>
      <c r="C22" s="260" t="s">
        <v>882</v>
      </c>
      <c r="D22" s="1154"/>
      <c r="E22" s="359">
        <f>SUM('17pmh2015'!E10)</f>
        <v>790</v>
      </c>
      <c r="F22" s="359">
        <f>SUM('17pmh2015'!F10)</f>
        <v>799</v>
      </c>
      <c r="G22" s="359">
        <f>SUM('17pmh2015'!G10)</f>
        <v>799</v>
      </c>
      <c r="H22" s="359">
        <f>SUM('17pmh2015'!H10)</f>
        <v>799</v>
      </c>
      <c r="I22" s="359">
        <f>SUM('17pmh2015'!I10)</f>
        <v>796</v>
      </c>
    </row>
    <row r="23" spans="1:9" ht="12.75" customHeight="1">
      <c r="A23" s="428" t="s">
        <v>92</v>
      </c>
      <c r="B23" s="1053"/>
      <c r="C23" s="260" t="s">
        <v>885</v>
      </c>
      <c r="D23" s="1154"/>
      <c r="E23" s="359">
        <f>SUM('17pmh2015'!E12)</f>
        <v>877</v>
      </c>
      <c r="F23" s="359">
        <f>SUM('17pmh2015'!F12)</f>
        <v>0</v>
      </c>
      <c r="G23" s="359">
        <f>SUM('17pmh2015'!G12)</f>
        <v>0</v>
      </c>
      <c r="H23" s="359">
        <f>SUM('17pmh2015'!H12)</f>
        <v>0</v>
      </c>
      <c r="I23" s="359">
        <f>SUM('17pmh2015'!I12)</f>
        <v>951</v>
      </c>
    </row>
    <row r="24" spans="1:9" ht="12.75" customHeight="1">
      <c r="A24" s="428" t="s">
        <v>66</v>
      </c>
      <c r="B24" s="1053"/>
      <c r="C24" s="79" t="s">
        <v>884</v>
      </c>
      <c r="D24" s="1154"/>
      <c r="E24" s="359">
        <f>SUM('17pmh2015'!E15)</f>
        <v>74821</v>
      </c>
      <c r="F24" s="359">
        <f>SUM('17pmh2015'!F15)</f>
        <v>74200</v>
      </c>
      <c r="G24" s="359">
        <f>SUM('17pmh2015'!G15)</f>
        <v>74226</v>
      </c>
      <c r="H24" s="359">
        <f>SUM('17pmh2015'!H15)</f>
        <v>74226</v>
      </c>
      <c r="I24" s="359">
        <f>SUM('17pmh2015'!I15)</f>
        <v>72748</v>
      </c>
    </row>
    <row r="25" spans="1:9" ht="12.75" customHeight="1">
      <c r="A25" s="428" t="s">
        <v>67</v>
      </c>
      <c r="B25" s="1053"/>
      <c r="C25" s="79" t="s">
        <v>232</v>
      </c>
      <c r="D25" s="1154"/>
      <c r="E25" s="359">
        <f>SUM('17pmh2015'!E14)</f>
        <v>188</v>
      </c>
      <c r="F25" s="359">
        <f>SUM('17pmh2015'!F14)</f>
        <v>2407</v>
      </c>
      <c r="G25" s="359">
        <f>SUM('17pmh2015'!G14)</f>
        <v>2407</v>
      </c>
      <c r="H25" s="359">
        <f>SUM('17pmh2015'!H14)</f>
        <v>2407</v>
      </c>
      <c r="I25" s="359">
        <f>SUM('17pmh2015'!I14)</f>
        <v>2407</v>
      </c>
    </row>
    <row r="26" spans="1:9" ht="12.75" customHeight="1">
      <c r="A26" s="428" t="s">
        <v>68</v>
      </c>
      <c r="B26" s="1053"/>
      <c r="C26" s="79"/>
      <c r="D26" s="1154"/>
      <c r="E26" s="359"/>
      <c r="F26" s="359"/>
      <c r="G26" s="359"/>
      <c r="H26" s="359"/>
      <c r="I26" s="359"/>
    </row>
    <row r="27" spans="1:9" s="408" customFormat="1" ht="12.75" customHeight="1">
      <c r="A27" s="420" t="s">
        <v>70</v>
      </c>
      <c r="B27" s="234" t="s">
        <v>179</v>
      </c>
      <c r="C27" s="86" t="s">
        <v>886</v>
      </c>
      <c r="D27" s="1156"/>
      <c r="E27" s="167">
        <f>SUM(E28:E30)</f>
        <v>96426</v>
      </c>
      <c r="F27" s="167">
        <f>SUM(F28:F31)</f>
        <v>102425</v>
      </c>
      <c r="G27" s="167">
        <f>SUM(G28:G31)</f>
        <v>104393</v>
      </c>
      <c r="H27" s="167">
        <f>SUM(H28:H31)</f>
        <v>108076</v>
      </c>
      <c r="I27" s="167">
        <f>SUM(I28:I31)</f>
        <v>108076</v>
      </c>
    </row>
    <row r="28" spans="1:9" ht="12.75" customHeight="1">
      <c r="A28" s="428" t="s">
        <v>97</v>
      </c>
      <c r="B28" s="1053"/>
      <c r="C28" s="260" t="s">
        <v>882</v>
      </c>
      <c r="D28" s="1154"/>
      <c r="E28" s="359">
        <v>21184</v>
      </c>
      <c r="F28" s="359">
        <f>SUM('18VÜKI'!F11)</f>
        <v>19500</v>
      </c>
      <c r="G28" s="359">
        <f>SUM('18VÜKI'!G11)</f>
        <v>19500</v>
      </c>
      <c r="H28" s="359">
        <f>SUM('18VÜKI'!H11)</f>
        <v>19500</v>
      </c>
      <c r="I28" s="359">
        <f>SUM('18VÜKI'!I11)</f>
        <v>19500</v>
      </c>
    </row>
    <row r="29" spans="1:9" ht="12.75" customHeight="1">
      <c r="A29" s="428" t="s">
        <v>99</v>
      </c>
      <c r="B29" s="1053"/>
      <c r="C29" s="260" t="s">
        <v>885</v>
      </c>
      <c r="D29" s="1154"/>
      <c r="E29" s="359">
        <v>5010</v>
      </c>
      <c r="F29" s="359">
        <f>SUM('18VÜKI'!F12)</f>
        <v>14288</v>
      </c>
      <c r="G29" s="359">
        <f>SUM('18VÜKI'!G12)</f>
        <v>14288</v>
      </c>
      <c r="H29" s="359">
        <f>SUM('18VÜKI'!H12)</f>
        <v>0</v>
      </c>
      <c r="I29" s="359">
        <f>SUM('18VÜKI'!I12)</f>
        <v>0</v>
      </c>
    </row>
    <row r="30" spans="1:9" ht="12.75" customHeight="1">
      <c r="A30" s="428" t="s">
        <v>101</v>
      </c>
      <c r="B30" s="1053"/>
      <c r="C30" s="79" t="s">
        <v>884</v>
      </c>
      <c r="D30" s="1154"/>
      <c r="E30" s="359">
        <f>SUM('18VÜKI'!E15)</f>
        <v>70232</v>
      </c>
      <c r="F30" s="359">
        <f>SUM('18VÜKI'!F17)</f>
        <v>65590</v>
      </c>
      <c r="G30" s="359">
        <f>SUM('18VÜKI'!G17)</f>
        <v>67558</v>
      </c>
      <c r="H30" s="359">
        <f>SUM('18VÜKI'!H17)</f>
        <v>85529</v>
      </c>
      <c r="I30" s="359">
        <f>SUM('18VÜKI'!I17)</f>
        <v>85529</v>
      </c>
    </row>
    <row r="31" spans="1:9" ht="12.75" customHeight="1">
      <c r="A31" s="428" t="s">
        <v>103</v>
      </c>
      <c r="B31" s="1053"/>
      <c r="C31" s="79" t="s">
        <v>232</v>
      </c>
      <c r="D31" s="1154"/>
      <c r="E31" s="359">
        <f>SUM('18VÜKI'!E16)</f>
        <v>0</v>
      </c>
      <c r="F31" s="359">
        <f>SUM('18VÜKI'!F16)</f>
        <v>3047</v>
      </c>
      <c r="G31" s="359">
        <f>SUM('18VÜKI'!G16)</f>
        <v>3047</v>
      </c>
      <c r="H31" s="359">
        <f>SUM('18VÜKI'!H16)</f>
        <v>3047</v>
      </c>
      <c r="I31" s="359">
        <f>SUM('18VÜKI'!I16)</f>
        <v>3047</v>
      </c>
    </row>
    <row r="32" spans="1:9" ht="12.75" customHeight="1">
      <c r="A32" s="428" t="s">
        <v>105</v>
      </c>
      <c r="B32" s="1053"/>
      <c r="C32" s="79"/>
      <c r="D32" s="1154"/>
      <c r="E32" s="359"/>
      <c r="F32" s="359"/>
      <c r="G32" s="359"/>
      <c r="H32" s="359"/>
      <c r="I32" s="359"/>
    </row>
    <row r="33" spans="1:9" ht="12.75" customHeight="1">
      <c r="A33" s="420" t="s">
        <v>107</v>
      </c>
      <c r="B33" s="234" t="s">
        <v>180</v>
      </c>
      <c r="C33" s="86" t="s">
        <v>281</v>
      </c>
      <c r="D33" s="1154"/>
      <c r="E33" s="165">
        <f>SUM(E34:E47)</f>
        <v>798572</v>
      </c>
      <c r="F33" s="165">
        <f>SUM(F34:F47)</f>
        <v>557239</v>
      </c>
      <c r="G33" s="165">
        <f>SUM(G34:G47)</f>
        <v>663709</v>
      </c>
      <c r="H33" s="165">
        <f>SUM(H34:H47)</f>
        <v>669339</v>
      </c>
      <c r="I33" s="165">
        <f>SUM(I34:I47)</f>
        <v>657710</v>
      </c>
    </row>
    <row r="34" spans="1:9" ht="12.75" customHeight="1">
      <c r="A34" s="428" t="s">
        <v>99</v>
      </c>
      <c r="B34" s="1053"/>
      <c r="C34" s="260" t="s">
        <v>882</v>
      </c>
      <c r="D34" s="1154"/>
      <c r="E34" s="359">
        <f>SUM('19 önkormányzat'!E9)+'19 önkormányzat'!E15</f>
        <v>15099</v>
      </c>
      <c r="F34" s="359">
        <f>SUM('19 önkormányzat'!F9)+'19 önkormányzat'!F15</f>
        <v>20863</v>
      </c>
      <c r="G34" s="359">
        <f>SUM('19 önkormányzat'!G9)+'19 önkormányzat'!G15</f>
        <v>20863</v>
      </c>
      <c r="H34" s="359">
        <f>SUM('19 önkormányzat'!H9)+'19 önkormányzat'!H15</f>
        <v>25113</v>
      </c>
      <c r="I34" s="359">
        <f>SUM('19 önkormányzat'!I9)+'19 önkormányzat'!I15</f>
        <v>19318</v>
      </c>
    </row>
    <row r="35" spans="1:9" ht="12.75" customHeight="1">
      <c r="A35" s="428" t="s">
        <v>101</v>
      </c>
      <c r="B35" s="1053"/>
      <c r="C35" s="260" t="s">
        <v>887</v>
      </c>
      <c r="D35" s="1154"/>
      <c r="E35" s="359">
        <f>SUM('19 önkormányzat'!E12+'19 önkormányzat'!E14)</f>
        <v>36800</v>
      </c>
      <c r="F35" s="359">
        <f>SUM('19 önkormányzat'!F12+'19 önkormányzat'!F14)</f>
        <v>37625</v>
      </c>
      <c r="G35" s="359">
        <f>SUM('19 önkormányzat'!G12+'19 önkormányzat'!G14)</f>
        <v>37625</v>
      </c>
      <c r="H35" s="359">
        <f>SUM('19 önkormányzat'!H12+'19 önkormányzat'!H14)</f>
        <v>47018</v>
      </c>
      <c r="I35" s="359">
        <f>SUM('19 önkormányzat'!I12+'19 önkormányzat'!I14)</f>
        <v>44500</v>
      </c>
    </row>
    <row r="36" spans="1:9" ht="12.75" customHeight="1">
      <c r="A36" s="428" t="s">
        <v>103</v>
      </c>
      <c r="B36" s="1053"/>
      <c r="C36" s="260" t="s">
        <v>888</v>
      </c>
      <c r="D36" s="1154"/>
      <c r="E36" s="359">
        <v>295</v>
      </c>
      <c r="F36" s="359">
        <v>1205</v>
      </c>
      <c r="G36" s="359">
        <v>1205</v>
      </c>
      <c r="H36" s="359">
        <v>1605</v>
      </c>
      <c r="I36" s="1150">
        <v>468</v>
      </c>
    </row>
    <row r="37" spans="1:9" ht="30" customHeight="1">
      <c r="A37" s="428" t="s">
        <v>105</v>
      </c>
      <c r="B37" s="1053"/>
      <c r="C37" s="1055" t="s">
        <v>194</v>
      </c>
      <c r="D37" s="1154"/>
      <c r="E37" s="359">
        <f>SUM('19 önkormányzat'!E27)</f>
        <v>10166</v>
      </c>
      <c r="F37" s="359">
        <f>SUM('19 önkormányzat'!F27)</f>
        <v>6052</v>
      </c>
      <c r="G37" s="359">
        <f>SUM('19 önkormányzat'!G27)</f>
        <v>6052</v>
      </c>
      <c r="H37" s="359">
        <f>SUM('19 önkormányzat'!H27)</f>
        <v>6052</v>
      </c>
      <c r="I37" s="359">
        <f>SUM('19 önkormányzat'!I27)</f>
        <v>4153</v>
      </c>
    </row>
    <row r="38" spans="1:9" ht="42" customHeight="1">
      <c r="A38" s="428" t="s">
        <v>107</v>
      </c>
      <c r="B38" s="1053"/>
      <c r="C38" s="1055" t="s">
        <v>748</v>
      </c>
      <c r="D38" s="1154"/>
      <c r="E38" s="359">
        <f>SUM('19 önkormányzat'!E13)</f>
        <v>9214</v>
      </c>
      <c r="F38" s="359">
        <f>SUM('19 önkormányzat'!F13)</f>
        <v>0</v>
      </c>
      <c r="G38" s="359">
        <f>SUM('19 önkormányzat'!G13)</f>
        <v>0</v>
      </c>
      <c r="H38" s="359">
        <f>SUM('19 önkormányzat'!H13)</f>
        <v>1000</v>
      </c>
      <c r="I38" s="359">
        <f>SUM('19 önkormányzat'!I13)</f>
        <v>907</v>
      </c>
    </row>
    <row r="39" spans="1:9" ht="12.75" customHeight="1">
      <c r="A39" s="428" t="s">
        <v>109</v>
      </c>
      <c r="B39" s="1053"/>
      <c r="C39" s="260" t="s">
        <v>303</v>
      </c>
      <c r="D39" s="1154"/>
      <c r="E39" s="359">
        <f>SUM('19 önkormányzat'!E22)</f>
        <v>189812</v>
      </c>
      <c r="F39" s="359">
        <f>SUM('19 önkormányzat'!F22)</f>
        <v>0</v>
      </c>
      <c r="G39" s="359">
        <f>SUM('19 önkormányzat'!G22)</f>
        <v>80000</v>
      </c>
      <c r="H39" s="359">
        <f>SUM('19 önkormányzat'!H22)</f>
        <v>80000</v>
      </c>
      <c r="I39" s="359">
        <f>SUM('19 önkormányzat'!I22)</f>
        <v>80000</v>
      </c>
    </row>
    <row r="40" spans="1:9" ht="12.75" customHeight="1">
      <c r="A40" s="428" t="s">
        <v>111</v>
      </c>
      <c r="B40" s="1053"/>
      <c r="C40" s="260" t="s">
        <v>678</v>
      </c>
      <c r="D40" s="1154"/>
      <c r="E40" s="359">
        <v>0</v>
      </c>
      <c r="F40" s="359">
        <v>0</v>
      </c>
      <c r="G40" s="359">
        <v>0</v>
      </c>
      <c r="H40" s="359">
        <v>0</v>
      </c>
      <c r="I40" s="359">
        <f>SUM('19 önkormányzat'!I23)</f>
        <v>805</v>
      </c>
    </row>
    <row r="41" spans="1:9" ht="12.75" customHeight="1">
      <c r="A41" s="428" t="s">
        <v>113</v>
      </c>
      <c r="B41" s="1053"/>
      <c r="C41" s="260" t="s">
        <v>751</v>
      </c>
      <c r="D41" s="1154"/>
      <c r="E41" s="359">
        <f>SUM('19 önkormányzat'!E18)</f>
        <v>9241</v>
      </c>
      <c r="F41" s="359">
        <f>SUM('19 önkormányzat'!F18)</f>
        <v>35000</v>
      </c>
      <c r="G41" s="359">
        <f>SUM('19 önkormányzat'!G18)</f>
        <v>47903</v>
      </c>
      <c r="H41" s="359">
        <f>SUM('19 önkormányzat'!H18)</f>
        <v>47903</v>
      </c>
      <c r="I41" s="359">
        <f>SUM('19 önkormányzat'!I18)</f>
        <v>39695</v>
      </c>
    </row>
    <row r="42" spans="1:9" ht="12.75" customHeight="1">
      <c r="A42" s="428" t="s">
        <v>115</v>
      </c>
      <c r="B42" s="1053"/>
      <c r="C42" s="260" t="s">
        <v>301</v>
      </c>
      <c r="D42" s="1154"/>
      <c r="E42" s="359">
        <v>0</v>
      </c>
      <c r="F42" s="359">
        <v>0</v>
      </c>
      <c r="G42" s="359">
        <v>12410</v>
      </c>
      <c r="H42" s="359">
        <f>SUM('19 önkormányzat'!H19)</f>
        <v>12410</v>
      </c>
      <c r="I42" s="359">
        <f>SUM('19 önkormányzat'!I19)</f>
        <v>1773</v>
      </c>
    </row>
    <row r="43" spans="1:9" ht="12.75" customHeight="1">
      <c r="A43" s="428" t="s">
        <v>117</v>
      </c>
      <c r="B43" s="1053"/>
      <c r="C43" s="260" t="s">
        <v>304</v>
      </c>
      <c r="D43" s="1154"/>
      <c r="E43" s="359">
        <f>SUM('19 önkormányzat'!E25)</f>
        <v>0</v>
      </c>
      <c r="F43" s="359">
        <f>SUM('19 önkormányzat'!F25)</f>
        <v>90000</v>
      </c>
      <c r="G43" s="359">
        <f>SUM('19 önkormányzat'!G25)</f>
        <v>90000</v>
      </c>
      <c r="H43" s="359">
        <f>SUM('19 önkormányzat'!H25)</f>
        <v>80000</v>
      </c>
      <c r="I43" s="359">
        <f>SUM('19 önkormányzat'!I25)</f>
        <v>80000</v>
      </c>
    </row>
    <row r="44" spans="1:9" ht="12.75" customHeight="1">
      <c r="A44" s="428" t="s">
        <v>118</v>
      </c>
      <c r="B44" s="1053"/>
      <c r="C44" s="260" t="s">
        <v>889</v>
      </c>
      <c r="D44" s="1154"/>
      <c r="E44" s="359">
        <f>SUM('19 önkormányzat'!E11)</f>
        <v>175920</v>
      </c>
      <c r="F44" s="359">
        <f>SUM('19 önkormányzat'!F11)</f>
        <v>172951</v>
      </c>
      <c r="G44" s="359">
        <f>SUM('19 önkormányzat'!G11)</f>
        <v>174108</v>
      </c>
      <c r="H44" s="359">
        <f>SUM('19 önkormányzat'!H11)</f>
        <v>174695</v>
      </c>
      <c r="I44" s="359">
        <f>SUM('19 önkormányzat'!I11)</f>
        <v>185145</v>
      </c>
    </row>
    <row r="45" spans="1:9" ht="12.75" customHeight="1">
      <c r="A45" s="428" t="s">
        <v>120</v>
      </c>
      <c r="B45" s="1053"/>
      <c r="C45" s="260" t="s">
        <v>890</v>
      </c>
      <c r="D45" s="1154"/>
      <c r="E45" s="359">
        <f>SUM('19 önkormányzat'!E10)</f>
        <v>168798</v>
      </c>
      <c r="F45" s="359">
        <f>SUM('19 önkormányzat'!F10)</f>
        <v>142477</v>
      </c>
      <c r="G45" s="359">
        <f>SUM('19 önkormányzat'!G10)</f>
        <v>142477</v>
      </c>
      <c r="H45" s="359">
        <f>SUM('19 önkormányzat'!H10)</f>
        <v>142477</v>
      </c>
      <c r="I45" s="359">
        <f>SUM('19 önkormányzat'!I10)</f>
        <v>149880</v>
      </c>
    </row>
    <row r="46" spans="1:9" ht="12.75" customHeight="1">
      <c r="A46" s="428" t="s">
        <v>122</v>
      </c>
      <c r="B46" s="1053"/>
      <c r="C46" s="79" t="s">
        <v>232</v>
      </c>
      <c r="D46" s="1154"/>
      <c r="E46" s="368">
        <f>SUM('19 önkormányzat'!E28)</f>
        <v>73227</v>
      </c>
      <c r="F46" s="368">
        <f>SUM('19 önkormányzat'!F28)</f>
        <v>51066</v>
      </c>
      <c r="G46" s="368">
        <f>SUM('19 önkormányzat'!G28)</f>
        <v>51066</v>
      </c>
      <c r="H46" s="368">
        <f>SUM('19 önkormányzat'!H28)</f>
        <v>51066</v>
      </c>
      <c r="I46" s="368">
        <f>SUM('19 önkormányzat'!I28)</f>
        <v>51066</v>
      </c>
    </row>
    <row r="47" spans="1:9" ht="12.75" customHeight="1">
      <c r="A47" s="428" t="s">
        <v>124</v>
      </c>
      <c r="B47" s="1053"/>
      <c r="C47" s="79" t="s">
        <v>891</v>
      </c>
      <c r="D47" s="1154"/>
      <c r="E47" s="359">
        <f>SUM('19 önkormányzat'!E26)</f>
        <v>110000</v>
      </c>
      <c r="F47" s="359">
        <f>SUM('19 önkormányzat'!F26)</f>
        <v>0</v>
      </c>
      <c r="G47" s="359">
        <f>SUM('19 önkormányzat'!G26)</f>
        <v>0</v>
      </c>
      <c r="H47" s="359">
        <f>SUM('19 önkormányzat'!H26)</f>
        <v>0</v>
      </c>
      <c r="I47" s="359">
        <f>SUM('19 önkormányzat'!I26)</f>
        <v>0</v>
      </c>
    </row>
    <row r="48" spans="1:9" ht="12.75" customHeight="1">
      <c r="A48" s="428" t="s">
        <v>126</v>
      </c>
      <c r="B48" s="1053"/>
      <c r="C48" s="79" t="s">
        <v>705</v>
      </c>
      <c r="D48" s="1154"/>
      <c r="E48" s="359">
        <f>SUM(-'15ovi2015'!E17-'16művh2015'!E12)-'17pmh2015'!E15-'18VÜKI'!E17</f>
        <v>-255531</v>
      </c>
      <c r="F48" s="359">
        <f>SUM(-'15ovi2015'!F17-'16művh2015'!F12)-'17pmh2015'!F15-'18VÜKI'!F17</f>
        <v>-248771</v>
      </c>
      <c r="G48" s="359">
        <f>SUM(-'15ovi2015'!G17-'16művh2015'!G12)-'17pmh2015'!G15-'18VÜKI'!G17</f>
        <v>-252365</v>
      </c>
      <c r="H48" s="359">
        <f>SUM(-'15ovi2015'!H17-'16művh2015'!H12)-'17pmh2015'!H15-'18VÜKI'!H17</f>
        <v>-274349</v>
      </c>
      <c r="I48" s="359">
        <f>SUM(-'15ovi2015'!I17-'16művh2015'!I12)-'17pmh2015'!I15-'18VÜKI'!I17</f>
        <v>-276745</v>
      </c>
    </row>
    <row r="49" spans="1:9" s="408" customFormat="1" ht="12.75" customHeight="1" thickBot="1">
      <c r="A49" s="1056" t="s">
        <v>128</v>
      </c>
      <c r="B49" s="1057"/>
      <c r="C49" s="1058" t="s">
        <v>116</v>
      </c>
      <c r="D49" s="1157"/>
      <c r="E49" s="1059">
        <f>E33+E27+E21+E16+E10+E48</f>
        <v>833924</v>
      </c>
      <c r="F49" s="1059">
        <f>F33+F27+F21+F16+F10+F48</f>
        <v>604819</v>
      </c>
      <c r="G49" s="1059">
        <f>G33+G27+G21+G16+G10+G48</f>
        <v>711289</v>
      </c>
      <c r="H49" s="1059">
        <f>H33+H27+H21+H16+H10+H48</f>
        <v>702651</v>
      </c>
      <c r="I49" s="1059">
        <f>I33+I27+I21+I16+I10+I48</f>
        <v>690210</v>
      </c>
    </row>
    <row r="50" spans="1:4" ht="12.75" customHeight="1">
      <c r="A50" s="1060"/>
      <c r="B50" s="1060"/>
      <c r="C50" s="1060"/>
      <c r="D50" s="1158"/>
    </row>
    <row r="51" spans="1:9" ht="33.75" customHeight="1" thickBot="1">
      <c r="A51" s="1485" t="s">
        <v>156</v>
      </c>
      <c r="B51" s="1485"/>
      <c r="C51" s="1062" t="s">
        <v>892</v>
      </c>
      <c r="D51" s="1159" t="s">
        <v>721</v>
      </c>
      <c r="E51" s="580" t="s">
        <v>158</v>
      </c>
      <c r="F51" s="580" t="s">
        <v>159</v>
      </c>
      <c r="G51" s="580" t="s">
        <v>808</v>
      </c>
      <c r="H51" s="580" t="s">
        <v>809</v>
      </c>
      <c r="I51" s="580" t="s">
        <v>907</v>
      </c>
    </row>
    <row r="52" spans="1:9" ht="12.75" customHeight="1" thickBot="1" thickTop="1">
      <c r="A52" s="1485"/>
      <c r="B52" s="1485"/>
      <c r="C52" s="1061" t="s">
        <v>163</v>
      </c>
      <c r="D52" s="1160" t="s">
        <v>164</v>
      </c>
      <c r="E52" s="1063" t="s">
        <v>165</v>
      </c>
      <c r="F52" s="1063" t="s">
        <v>166</v>
      </c>
      <c r="G52" s="1063" t="s">
        <v>167</v>
      </c>
      <c r="H52" s="1063" t="s">
        <v>168</v>
      </c>
      <c r="I52" s="1063" t="s">
        <v>228</v>
      </c>
    </row>
    <row r="53" spans="1:9" ht="24.75" customHeight="1" thickTop="1">
      <c r="A53" s="1064" t="s">
        <v>38</v>
      </c>
      <c r="B53" s="723" t="s">
        <v>169</v>
      </c>
      <c r="C53" s="879" t="s">
        <v>312</v>
      </c>
      <c r="D53" s="1161">
        <f>'15ovi2015'!D59</f>
        <v>23</v>
      </c>
      <c r="E53" s="74">
        <f>SUM(E54:E57)</f>
        <v>105273</v>
      </c>
      <c r="F53" s="74">
        <f>SUM(F54:F57)</f>
        <v>104966</v>
      </c>
      <c r="G53" s="74">
        <f>SUM(G54:G57)</f>
        <v>105612</v>
      </c>
      <c r="H53" s="74">
        <f>SUM(H54:H57)</f>
        <v>107495</v>
      </c>
      <c r="I53" s="74">
        <f>SUM(I54:I57)</f>
        <v>108818</v>
      </c>
    </row>
    <row r="54" spans="1:9" ht="12.75" customHeight="1">
      <c r="A54" s="1065" t="s">
        <v>40</v>
      </c>
      <c r="B54" s="727"/>
      <c r="C54" s="92" t="str">
        <f>'15ovi2015'!C60</f>
        <v>Ebből: Személyi juttatás</v>
      </c>
      <c r="D54" s="1162"/>
      <c r="E54" s="168">
        <f>SUM('15ovi2015'!E60)</f>
        <v>66474</v>
      </c>
      <c r="F54" s="168">
        <f>SUM('15ovi2015'!F60)</f>
        <v>66790</v>
      </c>
      <c r="G54" s="168">
        <f>SUM('15ovi2015'!G60)</f>
        <v>67323</v>
      </c>
      <c r="H54" s="168">
        <f>SUM('15ovi2015'!H60)</f>
        <v>67533</v>
      </c>
      <c r="I54" s="168">
        <f>SUM('15ovi2015'!I60)</f>
        <v>67533</v>
      </c>
    </row>
    <row r="55" spans="1:9" ht="12.75" customHeight="1">
      <c r="A55" s="1065" t="s">
        <v>47</v>
      </c>
      <c r="B55" s="727"/>
      <c r="C55" s="92" t="str">
        <f>'15ovi2015'!C61</f>
        <v>          Járulékok</v>
      </c>
      <c r="D55" s="1162"/>
      <c r="E55" s="168">
        <f>SUM('15ovi2015'!E61)</f>
        <v>18144</v>
      </c>
      <c r="F55" s="168">
        <f>SUM('15ovi2015'!F61)</f>
        <v>17241</v>
      </c>
      <c r="G55" s="168">
        <f>SUM('15ovi2015'!G61)</f>
        <v>17354</v>
      </c>
      <c r="H55" s="168">
        <f>SUM('15ovi2015'!H61)</f>
        <v>17441</v>
      </c>
      <c r="I55" s="168">
        <f>SUM('15ovi2015'!I61)</f>
        <v>17441</v>
      </c>
    </row>
    <row r="56" spans="1:9" ht="12.75" customHeight="1">
      <c r="A56" s="1065" t="s">
        <v>49</v>
      </c>
      <c r="B56" s="727"/>
      <c r="C56" s="92" t="str">
        <f>'15ovi2015'!C62</f>
        <v>          Dologi kiadás</v>
      </c>
      <c r="D56" s="1163"/>
      <c r="E56" s="168">
        <f>SUM('15ovi2015'!E62)</f>
        <v>20189</v>
      </c>
      <c r="F56" s="168">
        <f>SUM('15ovi2015'!F62)</f>
        <v>20255</v>
      </c>
      <c r="G56" s="168">
        <f>SUM('15ovi2015'!G62)</f>
        <v>20255</v>
      </c>
      <c r="H56" s="168">
        <f>SUM('15ovi2015'!H62)</f>
        <v>21841</v>
      </c>
      <c r="I56" s="168">
        <f>SUM('15ovi2015'!I62)</f>
        <v>23164</v>
      </c>
    </row>
    <row r="57" spans="1:9" ht="12.75" customHeight="1">
      <c r="A57" s="1065" t="s">
        <v>51</v>
      </c>
      <c r="B57" s="727"/>
      <c r="C57" s="92" t="s">
        <v>376</v>
      </c>
      <c r="D57" s="1162"/>
      <c r="E57" s="168">
        <f>SUM('15ovi2015'!E63)</f>
        <v>466</v>
      </c>
      <c r="F57" s="168">
        <f>SUM('15ovi2015'!F63)</f>
        <v>680</v>
      </c>
      <c r="G57" s="168">
        <f>SUM('15ovi2015'!G63)</f>
        <v>680</v>
      </c>
      <c r="H57" s="168">
        <f>SUM('15ovi2015'!H63)</f>
        <v>680</v>
      </c>
      <c r="I57" s="168">
        <f>SUM('15ovi2015'!I63)</f>
        <v>680</v>
      </c>
    </row>
    <row r="58" spans="1:9" ht="12.75" customHeight="1">
      <c r="A58" s="1064" t="s">
        <v>53</v>
      </c>
      <c r="B58" s="729" t="s">
        <v>173</v>
      </c>
      <c r="C58" s="86" t="s">
        <v>322</v>
      </c>
      <c r="D58" s="1162">
        <f>'16művh2015'!D39</f>
        <v>3</v>
      </c>
      <c r="E58" s="165">
        <f>SUM(E59:E62)</f>
        <v>12508</v>
      </c>
      <c r="F58" s="165">
        <f>SUM(F59:F62)</f>
        <v>11554</v>
      </c>
      <c r="G58" s="165">
        <f>SUM(G59:G62)</f>
        <v>12508</v>
      </c>
      <c r="H58" s="165">
        <f>SUM(H59:H62)</f>
        <v>14658</v>
      </c>
      <c r="I58" s="165">
        <f>SUM(I59:I62)</f>
        <v>15449</v>
      </c>
    </row>
    <row r="59" spans="1:9" ht="12.75" customHeight="1">
      <c r="A59" s="1065" t="s">
        <v>55</v>
      </c>
      <c r="B59" s="729"/>
      <c r="C59" s="490" t="str">
        <f>'16művh2015'!C40</f>
        <v>Ebből: Személyi juttatás</v>
      </c>
      <c r="D59" s="1164"/>
      <c r="E59" s="168">
        <f>SUM('16művh2015'!E40)</f>
        <v>5922</v>
      </c>
      <c r="F59" s="168">
        <f>SUM('16művh2015'!F40)</f>
        <v>6552</v>
      </c>
      <c r="G59" s="168">
        <f>SUM('16művh2015'!G40)</f>
        <v>6589</v>
      </c>
      <c r="H59" s="168">
        <f>SUM('16művh2015'!H40)</f>
        <v>6589</v>
      </c>
      <c r="I59" s="168">
        <f>SUM('16művh2015'!I40)</f>
        <v>6589</v>
      </c>
    </row>
    <row r="60" spans="1:9" ht="12.75" customHeight="1">
      <c r="A60" s="1065" t="s">
        <v>57</v>
      </c>
      <c r="B60" s="729"/>
      <c r="C60" s="490" t="str">
        <f>'16művh2015'!C41</f>
        <v>          Járulékok</v>
      </c>
      <c r="D60" s="1162"/>
      <c r="E60" s="168">
        <f>SUM('16művh2015'!E41)</f>
        <v>1591</v>
      </c>
      <c r="F60" s="168">
        <f>SUM('16művh2015'!F41)</f>
        <v>1792</v>
      </c>
      <c r="G60" s="168">
        <f>SUM('16művh2015'!G41)</f>
        <v>1945</v>
      </c>
      <c r="H60" s="168">
        <f>SUM('16művh2015'!H41)</f>
        <v>1945</v>
      </c>
      <c r="I60" s="168">
        <f>SUM('16művh2015'!I41)</f>
        <v>1945</v>
      </c>
    </row>
    <row r="61" spans="1:9" ht="12.75" customHeight="1">
      <c r="A61" s="1065" t="s">
        <v>86</v>
      </c>
      <c r="B61" s="729"/>
      <c r="C61" s="490" t="str">
        <f>'16művh2015'!C42</f>
        <v>          Dologi kiadás</v>
      </c>
      <c r="D61" s="1163"/>
      <c r="E61" s="168">
        <f>SUM('16művh2015'!E42)</f>
        <v>4435</v>
      </c>
      <c r="F61" s="168">
        <f>SUM('16művh2015'!F42)</f>
        <v>3210</v>
      </c>
      <c r="G61" s="168">
        <f>SUM('16művh2015'!G42)</f>
        <v>3974</v>
      </c>
      <c r="H61" s="168">
        <f>SUM('16művh2015'!H42)</f>
        <v>6124</v>
      </c>
      <c r="I61" s="168">
        <f>SUM('16művh2015'!I42)</f>
        <v>6517</v>
      </c>
    </row>
    <row r="62" spans="1:9" ht="12.75" customHeight="1">
      <c r="A62" s="1065" t="s">
        <v>59</v>
      </c>
      <c r="B62" s="729"/>
      <c r="C62" s="490" t="s">
        <v>376</v>
      </c>
      <c r="D62" s="1163"/>
      <c r="E62" s="168">
        <f>SUM('16művh2015'!E43)</f>
        <v>560</v>
      </c>
      <c r="F62" s="168">
        <f>SUM('16művh2015'!F43)</f>
        <v>0</v>
      </c>
      <c r="G62" s="168">
        <f>SUM('16művh2015'!G43)</f>
        <v>0</v>
      </c>
      <c r="H62" s="168">
        <f>SUM('16művh2015'!H43)</f>
        <v>0</v>
      </c>
      <c r="I62" s="168">
        <f>SUM('16művh2015'!I43)</f>
        <v>398</v>
      </c>
    </row>
    <row r="63" spans="1:9" ht="12.75" customHeight="1">
      <c r="A63" s="1064" t="s">
        <v>61</v>
      </c>
      <c r="B63" s="729" t="s">
        <v>177</v>
      </c>
      <c r="C63" s="10" t="s">
        <v>307</v>
      </c>
      <c r="D63" s="1163">
        <f>'17pmh2015'!D42</f>
        <v>15</v>
      </c>
      <c r="E63" s="165">
        <f>SUM(E64:E67)</f>
        <v>76676</v>
      </c>
      <c r="F63" s="165">
        <f>SUM(F64:F67)</f>
        <v>77406</v>
      </c>
      <c r="G63" s="165">
        <f>SUM(G64:G67)</f>
        <v>77432</v>
      </c>
      <c r="H63" s="165">
        <f>SUM(H64:H67)</f>
        <v>77432</v>
      </c>
      <c r="I63" s="165">
        <f>SUM(I64:I67)</f>
        <v>76902</v>
      </c>
    </row>
    <row r="64" spans="1:9" ht="12.75" customHeight="1">
      <c r="A64" s="1065" t="s">
        <v>63</v>
      </c>
      <c r="B64" s="729"/>
      <c r="C64" s="92" t="str">
        <f>'17pmh2015'!C43</f>
        <v>Ebből: Személyi juttatás</v>
      </c>
      <c r="D64" s="1162"/>
      <c r="E64" s="168">
        <f>SUM('17pmh2015'!E43)</f>
        <v>50056</v>
      </c>
      <c r="F64" s="168">
        <f>SUM('17pmh2015'!F43)</f>
        <v>50191</v>
      </c>
      <c r="G64" s="168">
        <f>SUM('17pmh2015'!G43)</f>
        <v>50217</v>
      </c>
      <c r="H64" s="168">
        <f>SUM('17pmh2015'!H43)</f>
        <v>50217</v>
      </c>
      <c r="I64" s="168">
        <f>SUM('17pmh2015'!I43)</f>
        <v>50857</v>
      </c>
    </row>
    <row r="65" spans="1:9" ht="12.75" customHeight="1">
      <c r="A65" s="1065" t="s">
        <v>65</v>
      </c>
      <c r="B65" s="729"/>
      <c r="C65" s="92" t="str">
        <f>'17pmh2015'!C44</f>
        <v>          Járulékok</v>
      </c>
      <c r="D65" s="1163"/>
      <c r="E65" s="168">
        <f>SUM('17pmh2015'!E44)</f>
        <v>12903</v>
      </c>
      <c r="F65" s="168">
        <f>SUM('17pmh2015'!F44)</f>
        <v>13715</v>
      </c>
      <c r="G65" s="168">
        <f>SUM('17pmh2015'!G44)</f>
        <v>13715</v>
      </c>
      <c r="H65" s="168">
        <f>SUM('17pmh2015'!H44)</f>
        <v>13715</v>
      </c>
      <c r="I65" s="168">
        <f>SUM('17pmh2015'!I44)</f>
        <v>13890</v>
      </c>
    </row>
    <row r="66" spans="1:9" ht="12.75" customHeight="1">
      <c r="A66" s="1065" t="s">
        <v>92</v>
      </c>
      <c r="B66" s="729"/>
      <c r="C66" s="92" t="str">
        <f>'17pmh2015'!C45</f>
        <v>          Dologi kiadás</v>
      </c>
      <c r="D66" s="1162"/>
      <c r="E66" s="168">
        <f>SUM('17pmh2015'!E45)</f>
        <v>13543</v>
      </c>
      <c r="F66" s="168">
        <f>SUM('17pmh2015'!F45)</f>
        <v>13000</v>
      </c>
      <c r="G66" s="168">
        <f>SUM('17pmh2015'!G45)</f>
        <v>13000</v>
      </c>
      <c r="H66" s="168">
        <f>SUM('17pmh2015'!H45)</f>
        <v>13000</v>
      </c>
      <c r="I66" s="168">
        <f>SUM('17pmh2015'!I45)</f>
        <v>12155</v>
      </c>
    </row>
    <row r="67" spans="1:9" ht="12.75" customHeight="1">
      <c r="A67" s="1065" t="s">
        <v>66</v>
      </c>
      <c r="B67" s="729"/>
      <c r="C67" s="92" t="s">
        <v>376</v>
      </c>
      <c r="D67" s="1162"/>
      <c r="E67" s="168">
        <f>SUM('17pmh2015'!E46)</f>
        <v>174</v>
      </c>
      <c r="F67" s="168">
        <f>SUM('17pmh2015'!F46)</f>
        <v>500</v>
      </c>
      <c r="G67" s="168">
        <f>SUM('17pmh2015'!G46)</f>
        <v>500</v>
      </c>
      <c r="H67" s="168">
        <f>SUM('17pmh2015'!H46)</f>
        <v>500</v>
      </c>
      <c r="I67" s="168">
        <f>SUM('17pmh2015'!I46)</f>
        <v>0</v>
      </c>
    </row>
    <row r="68" spans="1:9" s="408" customFormat="1" ht="12.75" customHeight="1">
      <c r="A68" s="1064" t="s">
        <v>67</v>
      </c>
      <c r="B68" s="729" t="s">
        <v>179</v>
      </c>
      <c r="C68" s="10" t="s">
        <v>893</v>
      </c>
      <c r="D68" s="1163">
        <v>34.5</v>
      </c>
      <c r="E68" s="165">
        <f>SUM(E69:E72)</f>
        <v>96426</v>
      </c>
      <c r="F68" s="165">
        <f>SUM(F69:F72)</f>
        <v>102425</v>
      </c>
      <c r="G68" s="165">
        <f>SUM(G69:G72)</f>
        <v>104393</v>
      </c>
      <c r="H68" s="165">
        <f>SUM(H69:H72)</f>
        <v>108076</v>
      </c>
      <c r="I68" s="165">
        <f>SUM(I69:I72)</f>
        <v>108076</v>
      </c>
    </row>
    <row r="69" spans="1:9" ht="12.75" customHeight="1">
      <c r="A69" s="1065" t="s">
        <v>68</v>
      </c>
      <c r="B69" s="729"/>
      <c r="C69" s="92" t="s">
        <v>203</v>
      </c>
      <c r="D69" s="1163"/>
      <c r="E69" s="168">
        <f>SUM('18VÜKI'!E79)</f>
        <v>41422</v>
      </c>
      <c r="F69" s="168">
        <f>SUM('18VÜKI'!F79)</f>
        <v>50440</v>
      </c>
      <c r="G69" s="168">
        <f>SUM('18VÜKI'!G79)</f>
        <v>50508</v>
      </c>
      <c r="H69" s="168">
        <f>SUM('18VÜKI'!H79)</f>
        <v>50508</v>
      </c>
      <c r="I69" s="168">
        <f>SUM('18VÜKI'!I79)</f>
        <v>50508</v>
      </c>
    </row>
    <row r="70" spans="1:9" ht="12.75" customHeight="1">
      <c r="A70" s="1065" t="s">
        <v>70</v>
      </c>
      <c r="B70" s="729"/>
      <c r="C70" s="92" t="s">
        <v>894</v>
      </c>
      <c r="D70" s="1163"/>
      <c r="E70" s="168">
        <f>SUM('18VÜKI'!E80)</f>
        <v>10804</v>
      </c>
      <c r="F70" s="168">
        <f>SUM('18VÜKI'!F80)</f>
        <v>12285</v>
      </c>
      <c r="G70" s="168">
        <f>SUM('18VÜKI'!G80)</f>
        <v>12285</v>
      </c>
      <c r="H70" s="168">
        <f>SUM('18VÜKI'!H80)</f>
        <v>12285</v>
      </c>
      <c r="I70" s="168">
        <f>SUM('18VÜKI'!I80)</f>
        <v>12285</v>
      </c>
    </row>
    <row r="71" spans="1:9" ht="12.75" customHeight="1">
      <c r="A71" s="1065" t="s">
        <v>97</v>
      </c>
      <c r="B71" s="729"/>
      <c r="C71" s="92" t="s">
        <v>481</v>
      </c>
      <c r="D71" s="1163"/>
      <c r="E71" s="168">
        <f>SUM('18VÜKI'!E81)</f>
        <v>43079</v>
      </c>
      <c r="F71" s="168">
        <f>SUM('18VÜKI'!F81)</f>
        <v>39250</v>
      </c>
      <c r="G71" s="168">
        <f>SUM('18VÜKI'!G81)</f>
        <v>41150</v>
      </c>
      <c r="H71" s="168">
        <f>SUM('18VÜKI'!H81)</f>
        <v>42833</v>
      </c>
      <c r="I71" s="168">
        <f>SUM('18VÜKI'!I81)</f>
        <v>42833</v>
      </c>
    </row>
    <row r="72" spans="1:9" ht="12.75" customHeight="1">
      <c r="A72" s="1065" t="s">
        <v>99</v>
      </c>
      <c r="B72" s="729"/>
      <c r="C72" s="92" t="s">
        <v>376</v>
      </c>
      <c r="D72" s="1163"/>
      <c r="E72" s="168">
        <f>'18VÜKI'!E82</f>
        <v>1121</v>
      </c>
      <c r="F72" s="168">
        <f>'18VÜKI'!F82</f>
        <v>450</v>
      </c>
      <c r="G72" s="168">
        <f>'18VÜKI'!G82</f>
        <v>450</v>
      </c>
      <c r="H72" s="168">
        <f>'18VÜKI'!H82</f>
        <v>2450</v>
      </c>
      <c r="I72" s="168">
        <f>'18VÜKI'!I82</f>
        <v>2450</v>
      </c>
    </row>
    <row r="73" spans="1:9" ht="12.75" customHeight="1">
      <c r="A73" s="1064" t="s">
        <v>101</v>
      </c>
      <c r="B73" s="729" t="s">
        <v>180</v>
      </c>
      <c r="C73" s="10" t="s">
        <v>2</v>
      </c>
      <c r="D73" s="1162">
        <v>4</v>
      </c>
      <c r="E73" s="165">
        <f>SUM(E74:E87)</f>
        <v>798572</v>
      </c>
      <c r="F73" s="165">
        <f>SUM(F74:F87)</f>
        <v>558139</v>
      </c>
      <c r="G73" s="165">
        <f>SUM(G74:G87)</f>
        <v>663709</v>
      </c>
      <c r="H73" s="165">
        <f>SUM(H74:H88)</f>
        <v>669339</v>
      </c>
      <c r="I73" s="165">
        <f>SUM(I74:I88)</f>
        <v>657710</v>
      </c>
    </row>
    <row r="74" spans="1:9" ht="12.75" customHeight="1">
      <c r="A74" s="1065" t="s">
        <v>103</v>
      </c>
      <c r="B74" s="729"/>
      <c r="C74" s="92" t="s">
        <v>203</v>
      </c>
      <c r="D74" s="1163"/>
      <c r="E74" s="168">
        <f>SUM('19 önkormányzat'!E129)</f>
        <v>50286</v>
      </c>
      <c r="F74" s="168">
        <f>SUM('19 önkormányzat'!F129)</f>
        <v>38905</v>
      </c>
      <c r="G74" s="168">
        <f>SUM('19 önkormányzat'!G129)</f>
        <v>39062</v>
      </c>
      <c r="H74" s="168">
        <f>SUM('19 önkormányzat'!H129)</f>
        <v>40317</v>
      </c>
      <c r="I74" s="168">
        <f>SUM('19 önkormányzat'!I129)</f>
        <v>40317</v>
      </c>
    </row>
    <row r="75" spans="1:9" ht="12.75" customHeight="1">
      <c r="A75" s="1065" t="s">
        <v>105</v>
      </c>
      <c r="B75" s="729"/>
      <c r="C75" s="92" t="s">
        <v>894</v>
      </c>
      <c r="D75" s="1162"/>
      <c r="E75" s="168">
        <f>SUM('19 önkormányzat'!E130)</f>
        <v>12814</v>
      </c>
      <c r="F75" s="168">
        <f>SUM('19 önkormányzat'!F130)</f>
        <v>9959</v>
      </c>
      <c r="G75" s="168">
        <f>SUM('19 önkormányzat'!G130)</f>
        <v>9959</v>
      </c>
      <c r="H75" s="168">
        <f>SUM('19 önkormányzat'!H130)</f>
        <v>10283</v>
      </c>
      <c r="I75" s="168">
        <f>SUM('19 önkormányzat'!I130)</f>
        <v>10283</v>
      </c>
    </row>
    <row r="76" spans="1:9" ht="12.75" customHeight="1">
      <c r="A76" s="1065" t="s">
        <v>107</v>
      </c>
      <c r="B76" s="727"/>
      <c r="C76" s="92" t="s">
        <v>481</v>
      </c>
      <c r="D76" s="1162"/>
      <c r="E76" s="168">
        <f>SUM('19 önkormányzat'!E131)</f>
        <v>65098</v>
      </c>
      <c r="F76" s="168">
        <f>SUM('19 önkormányzat'!F131)</f>
        <v>43513</v>
      </c>
      <c r="G76" s="168">
        <f>SUM('19 önkormányzat'!G131)</f>
        <v>42615</v>
      </c>
      <c r="H76" s="168">
        <f>SUM('19 önkormányzat'!H131)</f>
        <v>63808</v>
      </c>
      <c r="I76" s="168">
        <f>SUM('19 önkormányzat'!I131)</f>
        <v>71129</v>
      </c>
    </row>
    <row r="77" spans="1:9" ht="12.75" customHeight="1">
      <c r="A77" s="1065" t="s">
        <v>109</v>
      </c>
      <c r="B77" s="1066"/>
      <c r="C77" s="92" t="s">
        <v>895</v>
      </c>
      <c r="D77" s="1164"/>
      <c r="E77" s="168">
        <f>SUM('19 önkormányzat'!E132)</f>
        <v>30871</v>
      </c>
      <c r="F77" s="168">
        <f>SUM('19 önkormányzat'!F132)</f>
        <v>33664</v>
      </c>
      <c r="G77" s="168">
        <f>SUM('19 önkormányzat'!G132)</f>
        <v>33612</v>
      </c>
      <c r="H77" s="168">
        <f>SUM('19 önkormányzat'!H132)</f>
        <v>35577</v>
      </c>
      <c r="I77" s="168">
        <f>SUM('19 önkormányzat'!I132)</f>
        <v>35672</v>
      </c>
    </row>
    <row r="78" spans="1:9" ht="12.75" customHeight="1">
      <c r="A78" s="1065"/>
      <c r="B78" s="1066"/>
      <c r="C78" s="92" t="s">
        <v>212</v>
      </c>
      <c r="D78" s="1164"/>
      <c r="E78" s="168">
        <v>1200</v>
      </c>
      <c r="F78" s="168">
        <v>0</v>
      </c>
      <c r="G78" s="168">
        <v>0</v>
      </c>
      <c r="H78" s="168">
        <v>0</v>
      </c>
      <c r="I78" s="168">
        <v>0</v>
      </c>
    </row>
    <row r="79" spans="1:9" ht="12.75" customHeight="1">
      <c r="A79" s="1065" t="s">
        <v>111</v>
      </c>
      <c r="B79" s="1066"/>
      <c r="C79" s="92" t="s">
        <v>896</v>
      </c>
      <c r="D79" s="1164"/>
      <c r="E79" s="168">
        <f>SUM('19 önkormányzat'!E134)</f>
        <v>5432</v>
      </c>
      <c r="F79" s="168">
        <f>SUM('19 önkormányzat'!F134)</f>
        <v>3210</v>
      </c>
      <c r="G79" s="168">
        <f>SUM('19 önkormányzat'!G134)</f>
        <v>3210</v>
      </c>
      <c r="H79" s="168">
        <f>SUM('19 önkormányzat'!H134)</f>
        <v>3210</v>
      </c>
      <c r="I79" s="168">
        <f>SUM('19 önkormányzat'!I134)</f>
        <v>3274</v>
      </c>
    </row>
    <row r="80" spans="1:9" ht="12.75" customHeight="1">
      <c r="A80" s="1065" t="s">
        <v>113</v>
      </c>
      <c r="B80" s="1066"/>
      <c r="C80" s="92" t="s">
        <v>897</v>
      </c>
      <c r="D80" s="1163"/>
      <c r="E80" s="168">
        <f>SUM('19 önkormányzat'!E135)</f>
        <v>232698</v>
      </c>
      <c r="F80" s="168">
        <f>SUM('19 önkormányzat'!F135)</f>
        <v>125442</v>
      </c>
      <c r="G80" s="168">
        <f>SUM('19 önkormányzat'!G135)</f>
        <v>143701</v>
      </c>
      <c r="H80" s="168">
        <f>SUM('19 önkormányzat'!H135)</f>
        <v>117695</v>
      </c>
      <c r="I80" s="168">
        <f>SUM('19 önkormányzat'!I135)</f>
        <v>95187</v>
      </c>
    </row>
    <row r="81" spans="1:9" ht="12.75" customHeight="1">
      <c r="A81" s="1065"/>
      <c r="B81" s="1066"/>
      <c r="C81" s="92" t="s">
        <v>930</v>
      </c>
      <c r="D81" s="1163"/>
      <c r="E81" s="168">
        <v>0</v>
      </c>
      <c r="F81" s="168">
        <v>0</v>
      </c>
      <c r="G81" s="168">
        <v>0</v>
      </c>
      <c r="H81" s="168">
        <v>0</v>
      </c>
      <c r="I81" s="168">
        <v>805</v>
      </c>
    </row>
    <row r="82" spans="1:9" ht="13.5" customHeight="1">
      <c r="A82" s="1065" t="s">
        <v>115</v>
      </c>
      <c r="B82" s="1066"/>
      <c r="C82" s="92" t="s">
        <v>898</v>
      </c>
      <c r="D82" s="1162"/>
      <c r="E82" s="168">
        <f>SUM('19 önkormányzat'!E137)</f>
        <v>255531</v>
      </c>
      <c r="F82" s="168">
        <f>SUM('19 önkormányzat'!F137)</f>
        <v>248771</v>
      </c>
      <c r="G82" s="168">
        <f>SUM('19 önkormányzat'!G137)</f>
        <v>252365</v>
      </c>
      <c r="H82" s="172">
        <f>SUM('19 önkormányzat'!H137)</f>
        <v>274349</v>
      </c>
      <c r="I82" s="172">
        <f>SUM('19 önkormányzat'!I137)</f>
        <v>276745</v>
      </c>
    </row>
    <row r="83" spans="1:9" ht="13.5" customHeight="1">
      <c r="A83" s="1065" t="s">
        <v>117</v>
      </c>
      <c r="B83" s="1066"/>
      <c r="C83" s="92" t="s">
        <v>245</v>
      </c>
      <c r="D83" s="1162"/>
      <c r="E83" s="168"/>
      <c r="F83" s="168">
        <v>12041</v>
      </c>
      <c r="G83" s="168">
        <v>80000</v>
      </c>
      <c r="H83" s="168">
        <v>80000</v>
      </c>
      <c r="I83" s="1151">
        <v>80000</v>
      </c>
    </row>
    <row r="84" spans="1:9" ht="29.25" customHeight="1">
      <c r="A84" s="1065" t="s">
        <v>118</v>
      </c>
      <c r="B84" s="1066"/>
      <c r="C84" s="594" t="s">
        <v>214</v>
      </c>
      <c r="D84" s="1162"/>
      <c r="E84" s="168">
        <f>SUM('19 önkormányzat'!E138)</f>
        <v>9737</v>
      </c>
      <c r="F84" s="168">
        <f>SUM('19 önkormányzat'!F138)</f>
        <v>6052</v>
      </c>
      <c r="G84" s="168">
        <f>SUM('19 önkormányzat'!G138)</f>
        <v>7406</v>
      </c>
      <c r="H84" s="168">
        <f>SUM('19 önkormányzat'!H138)</f>
        <v>9718</v>
      </c>
      <c r="I84" s="1151">
        <f>SUM('19 önkormányzat'!I138)</f>
        <v>10204</v>
      </c>
    </row>
    <row r="85" spans="1:9" ht="12.75" customHeight="1">
      <c r="A85" s="1065" t="s">
        <v>120</v>
      </c>
      <c r="B85" s="1066"/>
      <c r="C85" s="92" t="s">
        <v>788</v>
      </c>
      <c r="D85" s="1162"/>
      <c r="E85" s="168">
        <f>SUM('19 önkormányzat'!E141)</f>
        <v>21035</v>
      </c>
      <c r="F85" s="168">
        <f>SUM('19 önkormányzat'!F141)</f>
        <v>36582</v>
      </c>
      <c r="G85" s="168">
        <f>SUM('19 önkormányzat'!G141)</f>
        <v>51720</v>
      </c>
      <c r="H85" s="168">
        <f>SUM('19 önkormányzat'!H141)</f>
        <v>33726</v>
      </c>
      <c r="I85" s="1151">
        <f>SUM('19 önkormányzat'!I141)</f>
        <v>33438</v>
      </c>
    </row>
    <row r="86" spans="1:9" ht="12.75" customHeight="1">
      <c r="A86" s="1065" t="s">
        <v>122</v>
      </c>
      <c r="B86" s="1066"/>
      <c r="C86" s="92" t="s">
        <v>275</v>
      </c>
      <c r="D86" s="1162"/>
      <c r="E86" s="168">
        <f>SUM('19 önkormányzat'!E140)</f>
        <v>110593</v>
      </c>
      <c r="F86" s="168">
        <f>SUM('19 önkormányzat'!F140)</f>
        <v>0</v>
      </c>
      <c r="G86" s="168">
        <f>SUM('19 önkormányzat'!G140)</f>
        <v>0</v>
      </c>
      <c r="H86" s="168">
        <f>SUM('19 önkormányzat'!H140)</f>
        <v>0</v>
      </c>
      <c r="I86" s="1151">
        <f>SUM('19 önkormányzat'!I140)</f>
        <v>0</v>
      </c>
    </row>
    <row r="87" spans="1:9" ht="12.75" customHeight="1">
      <c r="A87" s="1065" t="s">
        <v>124</v>
      </c>
      <c r="B87" s="1066"/>
      <c r="C87" s="92" t="s">
        <v>240</v>
      </c>
      <c r="D87" s="1162"/>
      <c r="E87" s="168">
        <f>SUM('19 önkormányzat'!E142)</f>
        <v>3277</v>
      </c>
      <c r="F87" s="168">
        <f>SUM('19 önkormányzat'!F142)</f>
        <v>0</v>
      </c>
      <c r="G87" s="168">
        <f>SUM('19 önkormányzat'!G142)</f>
        <v>59</v>
      </c>
      <c r="H87" s="168">
        <f>SUM('19 önkormányzat'!H142)</f>
        <v>256</v>
      </c>
      <c r="I87" s="1151">
        <f>SUM('19 önkormányzat'!I142)</f>
        <v>256</v>
      </c>
    </row>
    <row r="88" spans="1:9" ht="12.75" customHeight="1">
      <c r="A88" s="1065" t="s">
        <v>126</v>
      </c>
      <c r="B88" s="492"/>
      <c r="C88" s="493" t="s">
        <v>899</v>
      </c>
      <c r="D88" s="1165"/>
      <c r="E88" s="699">
        <v>0</v>
      </c>
      <c r="F88" s="699">
        <v>0</v>
      </c>
      <c r="G88" s="699">
        <v>0</v>
      </c>
      <c r="H88" s="699">
        <v>400</v>
      </c>
      <c r="I88" s="1152">
        <v>400</v>
      </c>
    </row>
    <row r="89" spans="1:9" s="408" customFormat="1" ht="12.75" customHeight="1">
      <c r="A89" s="1067" t="s">
        <v>128</v>
      </c>
      <c r="B89" s="1068"/>
      <c r="C89" s="1069" t="s">
        <v>867</v>
      </c>
      <c r="D89" s="1166">
        <f>SUM(D53:D88)</f>
        <v>79.5</v>
      </c>
      <c r="E89" s="1070">
        <f>E53+E58+E63+E73-E82+E68</f>
        <v>833924</v>
      </c>
      <c r="F89" s="1070">
        <f>F53+F58+F63+F73-F82+F68</f>
        <v>605719</v>
      </c>
      <c r="G89" s="1070">
        <f>G53+G58+G63+G73-G82+G68</f>
        <v>711289</v>
      </c>
      <c r="H89" s="1070">
        <f>H53+H58+H63+H73-H82+H68</f>
        <v>702651</v>
      </c>
      <c r="I89" s="1070">
        <f>I53+I58+I63+I73-I82+I68</f>
        <v>690210</v>
      </c>
    </row>
    <row r="90" spans="1:9" ht="12.75" customHeight="1">
      <c r="A90" s="1067" t="s">
        <v>130</v>
      </c>
      <c r="B90" s="1071"/>
      <c r="C90" s="1072" t="s">
        <v>900</v>
      </c>
      <c r="D90" s="1167"/>
      <c r="E90" s="1074">
        <f>E89+E82</f>
        <v>1089455</v>
      </c>
      <c r="F90" s="1074">
        <f>F89+F82</f>
        <v>854490</v>
      </c>
      <c r="G90" s="1074">
        <f>G89+G82</f>
        <v>963654</v>
      </c>
      <c r="H90" s="1074">
        <f>H89+H82</f>
        <v>977000</v>
      </c>
      <c r="I90" s="1074">
        <f>I89+I82</f>
        <v>966955</v>
      </c>
    </row>
    <row r="91" spans="1:9" ht="12.75" customHeight="1">
      <c r="A91" s="1065" t="s">
        <v>131</v>
      </c>
      <c r="B91" s="618"/>
      <c r="C91" s="1075" t="s">
        <v>901</v>
      </c>
      <c r="D91" s="1162"/>
      <c r="E91" s="168"/>
      <c r="F91" s="168"/>
      <c r="G91" s="168"/>
      <c r="H91" s="168"/>
      <c r="I91" s="168"/>
    </row>
    <row r="92" spans="1:9" ht="12.75" customHeight="1">
      <c r="A92" s="1065" t="s">
        <v>133</v>
      </c>
      <c r="B92" s="618"/>
      <c r="C92" s="689" t="s">
        <v>902</v>
      </c>
      <c r="D92" s="1162"/>
      <c r="E92" s="168">
        <f>E54+E59+E64+E69+E74</f>
        <v>214160</v>
      </c>
      <c r="F92" s="168">
        <f>F54+F59+F64+F69+F74</f>
        <v>212878</v>
      </c>
      <c r="G92" s="168">
        <f>G54+G59+G64+G69+G74</f>
        <v>213699</v>
      </c>
      <c r="H92" s="168">
        <f>H54+H59+H64+H69+H74</f>
        <v>215164</v>
      </c>
      <c r="I92" s="168">
        <f>I54+I59+I64+I69+I74</f>
        <v>215804</v>
      </c>
    </row>
    <row r="93" spans="1:9" ht="12.75" customHeight="1">
      <c r="A93" s="1065" t="s">
        <v>135</v>
      </c>
      <c r="B93" s="618"/>
      <c r="C93" s="689" t="s">
        <v>903</v>
      </c>
      <c r="D93" s="1162"/>
      <c r="E93" s="168">
        <f>E75+E70+E65+E60+E55</f>
        <v>56256</v>
      </c>
      <c r="F93" s="168">
        <f>F75+F70+F65+F60+F55</f>
        <v>54992</v>
      </c>
      <c r="G93" s="168">
        <f>G75+G70+G65+G60+G55</f>
        <v>55258</v>
      </c>
      <c r="H93" s="168">
        <f>H75+H70+H65+H60+H55</f>
        <v>55669</v>
      </c>
      <c r="I93" s="168">
        <f>I75+I70+I65+I60+I55</f>
        <v>55844</v>
      </c>
    </row>
    <row r="94" spans="1:9" ht="12.75" customHeight="1">
      <c r="A94" s="1065" t="s">
        <v>137</v>
      </c>
      <c r="B94" s="618"/>
      <c r="C94" s="689" t="s">
        <v>904</v>
      </c>
      <c r="D94" s="1162"/>
      <c r="E94" s="168">
        <f>E56+E61+E66+E71+E76</f>
        <v>146344</v>
      </c>
      <c r="F94" s="168">
        <f>F56+F61+F66+F71+F76</f>
        <v>119228</v>
      </c>
      <c r="G94" s="168">
        <f>G56+G61+G66+G71+G76</f>
        <v>120994</v>
      </c>
      <c r="H94" s="168">
        <f>H56+H61+H66+H71+H76</f>
        <v>147606</v>
      </c>
      <c r="I94" s="168">
        <f>I56+I61+I66+I71+I76</f>
        <v>155798</v>
      </c>
    </row>
    <row r="95" spans="1:9" s="408" customFormat="1" ht="12.75" customHeight="1">
      <c r="A95" s="1065" t="s">
        <v>139</v>
      </c>
      <c r="B95" s="1076"/>
      <c r="C95" s="1077" t="s">
        <v>25</v>
      </c>
      <c r="D95" s="1168"/>
      <c r="E95" s="176">
        <f>SUM(E92:E94)</f>
        <v>416760</v>
      </c>
      <c r="F95" s="176">
        <f>SUM(F92:F94)</f>
        <v>387098</v>
      </c>
      <c r="G95" s="176">
        <f>SUM(G92:G94)</f>
        <v>389951</v>
      </c>
      <c r="H95" s="176">
        <f>SUM(H92:H94)</f>
        <v>418439</v>
      </c>
      <c r="I95" s="176">
        <f>SUM(I92:I94)</f>
        <v>427446</v>
      </c>
    </row>
    <row r="96" spans="1:9" s="408" customFormat="1" ht="12.75" customHeight="1">
      <c r="A96" s="1065" t="s">
        <v>141</v>
      </c>
      <c r="B96" s="1076"/>
      <c r="C96" s="688" t="s">
        <v>344</v>
      </c>
      <c r="D96" s="1163"/>
      <c r="E96" s="168">
        <f>E77</f>
        <v>30871</v>
      </c>
      <c r="F96" s="168">
        <f>F77</f>
        <v>33664</v>
      </c>
      <c r="G96" s="168">
        <f>G77</f>
        <v>33612</v>
      </c>
      <c r="H96" s="168">
        <f>H77+H88</f>
        <v>35977</v>
      </c>
      <c r="I96" s="168">
        <f>I77+I88</f>
        <v>36072</v>
      </c>
    </row>
    <row r="97" spans="1:9" s="408" customFormat="1" ht="12.75" customHeight="1">
      <c r="A97" s="1065" t="s">
        <v>143</v>
      </c>
      <c r="B97" s="1076"/>
      <c r="C97" s="688" t="s">
        <v>212</v>
      </c>
      <c r="D97" s="1163"/>
      <c r="E97" s="168">
        <v>1200</v>
      </c>
      <c r="F97" s="168">
        <v>0</v>
      </c>
      <c r="G97" s="168">
        <v>0</v>
      </c>
      <c r="H97" s="168">
        <v>0</v>
      </c>
      <c r="I97" s="168">
        <v>0</v>
      </c>
    </row>
    <row r="98" spans="1:9" s="408" customFormat="1" ht="12.75" customHeight="1">
      <c r="A98" s="1065" t="s">
        <v>145</v>
      </c>
      <c r="B98" s="1076"/>
      <c r="C98" s="688" t="s">
        <v>411</v>
      </c>
      <c r="D98" s="1163"/>
      <c r="E98" s="168">
        <f>E79</f>
        <v>5432</v>
      </c>
      <c r="F98" s="168">
        <f>F79</f>
        <v>3210</v>
      </c>
      <c r="G98" s="168">
        <f>G79</f>
        <v>3210</v>
      </c>
      <c r="H98" s="168">
        <f>H79</f>
        <v>3210</v>
      </c>
      <c r="I98" s="168">
        <f>I79</f>
        <v>3274</v>
      </c>
    </row>
    <row r="99" spans="1:9" s="408" customFormat="1" ht="12.75" customHeight="1">
      <c r="A99" s="1065" t="s">
        <v>147</v>
      </c>
      <c r="B99" s="1076"/>
      <c r="C99" s="688" t="s">
        <v>413</v>
      </c>
      <c r="D99" s="1163"/>
      <c r="E99" s="168">
        <f>E57+E62+E67+E72+E80</f>
        <v>235019</v>
      </c>
      <c r="F99" s="168">
        <f>F57+F62+F67+F72+F80</f>
        <v>127072</v>
      </c>
      <c r="G99" s="168">
        <f>G57+G62+G67+G72+G80</f>
        <v>145331</v>
      </c>
      <c r="H99" s="168">
        <f>H57+H62+H67+H72+H80</f>
        <v>121325</v>
      </c>
      <c r="I99" s="168">
        <f>I57+I62+I67+I72+I80</f>
        <v>98715</v>
      </c>
    </row>
    <row r="100" spans="1:9" s="408" customFormat="1" ht="12.75" customHeight="1">
      <c r="A100" s="1065"/>
      <c r="B100" s="1076"/>
      <c r="C100" s="688" t="s">
        <v>931</v>
      </c>
      <c r="D100" s="1163"/>
      <c r="E100" s="168">
        <v>0</v>
      </c>
      <c r="F100" s="168">
        <v>0</v>
      </c>
      <c r="G100" s="168">
        <v>0</v>
      </c>
      <c r="H100" s="168">
        <v>0</v>
      </c>
      <c r="I100" s="168">
        <v>805</v>
      </c>
    </row>
    <row r="101" spans="1:9" s="408" customFormat="1" ht="12.75" customHeight="1">
      <c r="A101" s="1065" t="s">
        <v>149</v>
      </c>
      <c r="B101" s="1076"/>
      <c r="C101" s="688" t="s">
        <v>415</v>
      </c>
      <c r="D101" s="1163"/>
      <c r="E101" s="168">
        <f>E82</f>
        <v>255531</v>
      </c>
      <c r="F101" s="168">
        <f>F82</f>
        <v>248771</v>
      </c>
      <c r="G101" s="168">
        <f>G82</f>
        <v>252365</v>
      </c>
      <c r="H101" s="168">
        <f>H82</f>
        <v>274349</v>
      </c>
      <c r="I101" s="168">
        <f>I82</f>
        <v>276745</v>
      </c>
    </row>
    <row r="102" spans="1:9" s="408" customFormat="1" ht="12.75" customHeight="1">
      <c r="A102" s="1065" t="s">
        <v>151</v>
      </c>
      <c r="B102" s="1076"/>
      <c r="C102" s="688" t="s">
        <v>788</v>
      </c>
      <c r="D102" s="1163"/>
      <c r="E102" s="168">
        <f>E85</f>
        <v>21035</v>
      </c>
      <c r="F102" s="168">
        <f>F85</f>
        <v>36582</v>
      </c>
      <c r="G102" s="168">
        <f>G85</f>
        <v>51720</v>
      </c>
      <c r="H102" s="168">
        <f>H85</f>
        <v>33726</v>
      </c>
      <c r="I102" s="168">
        <f>I85</f>
        <v>33438</v>
      </c>
    </row>
    <row r="103" spans="1:9" s="408" customFormat="1" ht="12.75" customHeight="1">
      <c r="A103" s="1065" t="s">
        <v>213</v>
      </c>
      <c r="B103" s="1076"/>
      <c r="C103" s="688" t="s">
        <v>275</v>
      </c>
      <c r="D103" s="1163"/>
      <c r="E103" s="168">
        <f aca="true" t="shared" si="0" ref="E103:I104">SUBTOTAL(9,E86)</f>
        <v>110593</v>
      </c>
      <c r="F103" s="168">
        <f t="shared" si="0"/>
        <v>0</v>
      </c>
      <c r="G103" s="168">
        <f t="shared" si="0"/>
        <v>0</v>
      </c>
      <c r="H103" s="168">
        <f t="shared" si="0"/>
        <v>0</v>
      </c>
      <c r="I103" s="168">
        <f t="shared" si="0"/>
        <v>0</v>
      </c>
    </row>
    <row r="104" spans="1:9" s="408" customFormat="1" ht="12.75" customHeight="1">
      <c r="A104" s="1065" t="s">
        <v>215</v>
      </c>
      <c r="B104" s="1076"/>
      <c r="C104" s="688" t="s">
        <v>240</v>
      </c>
      <c r="D104" s="1163"/>
      <c r="E104" s="168">
        <f t="shared" si="0"/>
        <v>3277</v>
      </c>
      <c r="F104" s="168">
        <f t="shared" si="0"/>
        <v>0</v>
      </c>
      <c r="G104" s="168">
        <f t="shared" si="0"/>
        <v>59</v>
      </c>
      <c r="H104" s="168">
        <f t="shared" si="0"/>
        <v>256</v>
      </c>
      <c r="I104" s="168">
        <f t="shared" si="0"/>
        <v>256</v>
      </c>
    </row>
    <row r="105" spans="1:9" s="408" customFormat="1" ht="12.75" customHeight="1">
      <c r="A105" s="1065" t="s">
        <v>216</v>
      </c>
      <c r="B105" s="1076"/>
      <c r="C105" s="688" t="s">
        <v>214</v>
      </c>
      <c r="D105" s="1163"/>
      <c r="E105" s="168">
        <f>E84</f>
        <v>9737</v>
      </c>
      <c r="F105" s="168">
        <f>F84</f>
        <v>6052</v>
      </c>
      <c r="G105" s="168">
        <f>G84</f>
        <v>7406</v>
      </c>
      <c r="H105" s="168">
        <f>H84</f>
        <v>9718</v>
      </c>
      <c r="I105" s="168">
        <f>I84</f>
        <v>10204</v>
      </c>
    </row>
    <row r="106" spans="1:9" s="408" customFormat="1" ht="12.75" customHeight="1">
      <c r="A106" s="1065" t="s">
        <v>218</v>
      </c>
      <c r="B106" s="1076"/>
      <c r="C106" s="688" t="s">
        <v>245</v>
      </c>
      <c r="D106" s="1163"/>
      <c r="E106" s="168"/>
      <c r="F106" s="168">
        <v>12041</v>
      </c>
      <c r="G106" s="168">
        <v>80000</v>
      </c>
      <c r="H106" s="168">
        <v>80000</v>
      </c>
      <c r="I106" s="168">
        <v>80000</v>
      </c>
    </row>
    <row r="107" spans="1:9" s="408" customFormat="1" ht="12.75" customHeight="1">
      <c r="A107" s="1065" t="s">
        <v>220</v>
      </c>
      <c r="B107" s="1073"/>
      <c r="C107" s="1078" t="s">
        <v>867</v>
      </c>
      <c r="D107" s="1167"/>
      <c r="E107" s="1074">
        <f>SUM(E95:E105)</f>
        <v>1089455</v>
      </c>
      <c r="F107" s="1074">
        <f>SUM(F95:F106)</f>
        <v>854490</v>
      </c>
      <c r="G107" s="1074">
        <f>SUM(G95:G106)</f>
        <v>963654</v>
      </c>
      <c r="H107" s="1074">
        <f>SUM(H95:H106)</f>
        <v>977000</v>
      </c>
      <c r="I107" s="1074">
        <f>SUM(I95:I106)</f>
        <v>966955</v>
      </c>
    </row>
  </sheetData>
  <sheetProtection selectLockedCells="1" selectUnlockedCells="1"/>
  <mergeCells count="10">
    <mergeCell ref="A2:I2"/>
    <mergeCell ref="A8:B9"/>
    <mergeCell ref="C8:D8"/>
    <mergeCell ref="C9:D9"/>
    <mergeCell ref="A51:B52"/>
    <mergeCell ref="A3:E3"/>
    <mergeCell ref="A6:E6"/>
    <mergeCell ref="A7:I7"/>
    <mergeCell ref="A5:I5"/>
    <mergeCell ref="A4:I4"/>
  </mergeCells>
  <printOptions/>
  <pageMargins left="0.9055555555555556" right="0.7479166666666667" top="0.19652777777777777" bottom="0.43333333333333335" header="0.5118055555555555" footer="0.15763888888888888"/>
  <pageSetup horizontalDpi="300" verticalDpi="300" orientation="portrait" paperSize="9" scale="66" r:id="rId1"/>
  <headerFooter alignWithMargins="0">
    <oddFooter>&amp;C&amp;P. oldal</oddFooter>
  </headerFooter>
  <rowBreaks count="1" manualBreakCount="1">
    <brk id="7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327" t="s">
        <v>31</v>
      </c>
      <c r="C4" s="1327"/>
      <c r="D4" s="1327"/>
      <c r="E4" s="1327"/>
      <c r="F4" s="1327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328" t="s">
        <v>32</v>
      </c>
      <c r="C6" s="1328"/>
      <c r="D6" s="1328"/>
      <c r="E6" s="1328"/>
      <c r="F6" s="1328"/>
      <c r="G6" s="1328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330" t="s">
        <v>72</v>
      </c>
      <c r="E1" s="1330"/>
    </row>
    <row r="2" spans="2:5" ht="12.75" customHeight="1">
      <c r="B2" s="1326" t="s">
        <v>1</v>
      </c>
      <c r="C2" s="1326"/>
      <c r="D2" s="1326"/>
      <c r="E2" s="1326"/>
    </row>
    <row r="3" spans="2:5" ht="12.75" customHeight="1">
      <c r="B3" s="49"/>
      <c r="C3" s="49"/>
      <c r="D3" s="49"/>
      <c r="E3" s="49"/>
    </row>
    <row r="4" spans="2:5" ht="12.75" customHeight="1">
      <c r="B4" s="1331" t="s">
        <v>73</v>
      </c>
      <c r="C4" s="1331"/>
      <c r="D4" s="1331"/>
      <c r="E4" s="1331"/>
    </row>
    <row r="5" spans="2:5" ht="12.75" customHeight="1">
      <c r="B5" s="1331" t="s">
        <v>74</v>
      </c>
      <c r="C5" s="1331"/>
      <c r="D5" s="1331"/>
      <c r="E5" s="1331"/>
    </row>
    <row r="6" spans="4:5" ht="12.75" customHeight="1">
      <c r="D6" s="1330"/>
      <c r="E6" s="1330"/>
    </row>
    <row r="7" spans="4:5" ht="12.75" customHeight="1">
      <c r="D7" s="1332" t="s">
        <v>5</v>
      </c>
      <c r="E7" s="1332"/>
    </row>
    <row r="8" spans="1:5" ht="12.75" customHeight="1">
      <c r="A8" s="1329" t="s">
        <v>24</v>
      </c>
      <c r="B8" s="1329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68"/>
  <sheetViews>
    <sheetView showGridLines="0" zoomScalePageLayoutView="0" workbookViewId="0" topLeftCell="A1">
      <selection activeCell="C4" sqref="C4:H4"/>
    </sheetView>
  </sheetViews>
  <sheetFormatPr defaultColWidth="11.7109375" defaultRowHeight="12.75" customHeight="1"/>
  <cols>
    <col min="1" max="2" width="3.8515625" style="56" customWidth="1"/>
    <col min="3" max="3" width="37.00390625" style="56" customWidth="1"/>
    <col min="4" max="4" width="17.00390625" style="57" customWidth="1"/>
    <col min="5" max="5" width="15.8515625" style="57" customWidth="1"/>
    <col min="6" max="6" width="9.7109375" style="58" customWidth="1"/>
    <col min="7" max="7" width="17.00390625" style="57" customWidth="1"/>
    <col min="8" max="8" width="16.8515625" style="57" customWidth="1"/>
    <col min="9" max="9" width="15.57421875" style="57" customWidth="1"/>
    <col min="10" max="16384" width="11.7109375" style="56" customWidth="1"/>
  </cols>
  <sheetData>
    <row r="1" spans="1:9" ht="12.75" customHeight="1">
      <c r="A1" s="1337" t="s">
        <v>153</v>
      </c>
      <c r="B1" s="1337"/>
      <c r="C1" s="1337"/>
      <c r="D1" s="1337"/>
      <c r="E1" s="1337"/>
      <c r="F1" s="1337"/>
      <c r="G1" s="1337"/>
      <c r="H1" s="1337"/>
      <c r="I1" s="1337"/>
    </row>
    <row r="2" spans="8:9" ht="12.75" customHeight="1">
      <c r="H2" s="56"/>
      <c r="I2" s="56"/>
    </row>
    <row r="3" spans="1:9" ht="12.75" customHeight="1">
      <c r="A3" s="1341" t="s">
        <v>938</v>
      </c>
      <c r="B3" s="1341"/>
      <c r="C3" s="1341"/>
      <c r="D3" s="1341"/>
      <c r="E3" s="1341"/>
      <c r="F3" s="1341"/>
      <c r="G3" s="1341"/>
      <c r="H3" s="1341"/>
      <c r="I3" s="1341"/>
    </row>
    <row r="4" spans="1:9" ht="12.75" customHeight="1">
      <c r="A4" s="1323"/>
      <c r="B4" s="1323"/>
      <c r="C4" s="1493" t="s">
        <v>939</v>
      </c>
      <c r="D4" s="1493"/>
      <c r="E4" s="1493"/>
      <c r="F4" s="1493"/>
      <c r="G4" s="1493"/>
      <c r="H4" s="1493"/>
      <c r="I4" s="1323"/>
    </row>
    <row r="5" spans="1:9" ht="26.25" customHeight="1">
      <c r="A5" s="1340" t="s">
        <v>2</v>
      </c>
      <c r="B5" s="1340"/>
      <c r="C5" s="1340"/>
      <c r="D5" s="1340"/>
      <c r="E5" s="1340"/>
      <c r="F5" s="1340"/>
      <c r="G5" s="1340"/>
      <c r="H5" s="1340"/>
      <c r="I5" s="1340"/>
    </row>
    <row r="6" spans="1:9" ht="12.75" customHeight="1">
      <c r="A6" s="1340" t="s">
        <v>154</v>
      </c>
      <c r="B6" s="1340"/>
      <c r="C6" s="1340"/>
      <c r="D6" s="1340"/>
      <c r="E6" s="1340"/>
      <c r="F6" s="1340"/>
      <c r="G6" s="1340"/>
      <c r="H6" s="1340"/>
      <c r="I6" s="1340"/>
    </row>
    <row r="7" spans="1:9" ht="12.75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ht="12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2.75" customHeight="1" thickBot="1">
      <c r="A9" s="59"/>
      <c r="B9" s="59"/>
      <c r="C9" s="59"/>
      <c r="D9" s="1339" t="s">
        <v>155</v>
      </c>
      <c r="E9" s="1339"/>
      <c r="F9" s="1339"/>
      <c r="G9" s="1339"/>
      <c r="H9" s="1339"/>
      <c r="I9" s="1339"/>
    </row>
    <row r="10" spans="1:9" ht="46.5" customHeight="1" thickBot="1">
      <c r="A10" s="1338" t="s">
        <v>156</v>
      </c>
      <c r="B10" s="1338"/>
      <c r="C10" s="60" t="s">
        <v>157</v>
      </c>
      <c r="D10" s="61" t="s">
        <v>158</v>
      </c>
      <c r="E10" s="62" t="s">
        <v>159</v>
      </c>
      <c r="F10" s="63" t="s">
        <v>160</v>
      </c>
      <c r="G10" s="64" t="s">
        <v>161</v>
      </c>
      <c r="H10" s="64" t="s">
        <v>162</v>
      </c>
      <c r="I10" s="64" t="s">
        <v>905</v>
      </c>
    </row>
    <row r="11" spans="1:9" ht="12.75" customHeight="1" thickBot="1">
      <c r="A11" s="1338"/>
      <c r="B11" s="1338"/>
      <c r="C11" s="65" t="s">
        <v>163</v>
      </c>
      <c r="D11" s="66" t="s">
        <v>164</v>
      </c>
      <c r="E11" s="67" t="s">
        <v>165</v>
      </c>
      <c r="F11" s="68" t="s">
        <v>166</v>
      </c>
      <c r="G11" s="69" t="s">
        <v>167</v>
      </c>
      <c r="H11" s="69" t="s">
        <v>168</v>
      </c>
      <c r="I11" s="69" t="s">
        <v>228</v>
      </c>
    </row>
    <row r="12" spans="1:9" ht="12.75" customHeight="1">
      <c r="A12" s="70" t="s">
        <v>38</v>
      </c>
      <c r="B12" s="71" t="s">
        <v>169</v>
      </c>
      <c r="C12" s="72" t="s">
        <v>78</v>
      </c>
      <c r="D12" s="73">
        <f>SUM(D13:D15)</f>
        <v>42735</v>
      </c>
      <c r="E12" s="74">
        <f>SUM(E13:E15)</f>
        <v>45062</v>
      </c>
      <c r="F12" s="75">
        <f>E12/D12</f>
        <v>1.0544518544518544</v>
      </c>
      <c r="G12" s="76">
        <f>SUM(G13:G15)</f>
        <v>45062</v>
      </c>
      <c r="H12" s="76">
        <f>SUM(H13:H15)</f>
        <v>49312</v>
      </c>
      <c r="I12" s="76">
        <f>SUM(I13:I15)</f>
        <v>41754</v>
      </c>
    </row>
    <row r="13" spans="1:9" ht="12.75" customHeight="1">
      <c r="A13" s="77" t="s">
        <v>40</v>
      </c>
      <c r="B13" s="78"/>
      <c r="C13" s="79" t="s">
        <v>170</v>
      </c>
      <c r="D13" s="80">
        <f>SUM('ÖNK ÖSSZESITŐ'!E11+'ÖNK ÖSSZESITŐ'!E17+'ÖNK ÖSSZESITŐ'!E22+'ÖNK ÖSSZESITŐ'!E28+'ÖNK ÖSSZESITŐ'!E34)-D14-D15</f>
        <v>39732</v>
      </c>
      <c r="E13" s="81">
        <f>SUM('ÖNK ÖSSZESITŐ'!F11+'ÖNK ÖSSZESITŐ'!F17+'ÖNK ÖSSZESITŐ'!F22+'ÖNK ÖSSZESITŐ'!F28+'ÖNK ÖSSZESITŐ'!F34)-E14-E15</f>
        <v>42002</v>
      </c>
      <c r="F13" s="82">
        <f>E13/D13</f>
        <v>1.0571327896909293</v>
      </c>
      <c r="G13" s="83">
        <f>SUM('ÖNK ÖSSZESITŐ'!G11+'ÖNK ÖSSZESITŐ'!G17+'ÖNK ÖSSZESITŐ'!G22+'ÖNK ÖSSZESITŐ'!G28+'ÖNK ÖSSZESITŐ'!G34)-G14-G15</f>
        <v>42002</v>
      </c>
      <c r="H13" s="83">
        <f>SUM('ÖNK ÖSSZESITŐ'!H11+'ÖNK ÖSSZESITŐ'!H17+'ÖNK ÖSSZESITŐ'!H22+'ÖNK ÖSSZESITŐ'!H28+'ÖNK ÖSSZESITŐ'!H34)-H14-H15</f>
        <v>46252</v>
      </c>
      <c r="I13" s="83">
        <f>SUM('ÖNK ÖSSZESITŐ'!I11+'ÖNK ÖSSZESITŐ'!I17+'ÖNK ÖSSZESITŐ'!I22+'ÖNK ÖSSZESITŐ'!I28+'ÖNK ÖSSZESITŐ'!I34)-I14-I15</f>
        <v>39354</v>
      </c>
    </row>
    <row r="14" spans="1:9" ht="12.75" customHeight="1">
      <c r="A14" s="77" t="s">
        <v>47</v>
      </c>
      <c r="B14" s="78"/>
      <c r="C14" s="79" t="s">
        <v>171</v>
      </c>
      <c r="D14" s="80">
        <v>2360</v>
      </c>
      <c r="E14" s="81">
        <v>2360</v>
      </c>
      <c r="F14" s="82">
        <f>E14/D14</f>
        <v>1</v>
      </c>
      <c r="G14" s="83">
        <v>2360</v>
      </c>
      <c r="H14" s="83">
        <v>2360</v>
      </c>
      <c r="I14" s="83">
        <v>2360</v>
      </c>
    </row>
    <row r="15" spans="1:9" ht="12.75" customHeight="1">
      <c r="A15" s="77" t="s">
        <v>49</v>
      </c>
      <c r="B15" s="78"/>
      <c r="C15" s="79" t="s">
        <v>172</v>
      </c>
      <c r="D15" s="80">
        <f>SUM('19 önkormányzat'!E15)</f>
        <v>643</v>
      </c>
      <c r="E15" s="81">
        <f>SUM('19 önkormányzat'!F15)</f>
        <v>700</v>
      </c>
      <c r="F15" s="82">
        <f>E15/D15</f>
        <v>1.088646967340591</v>
      </c>
      <c r="G15" s="83">
        <f>SUM('19 önkormányzat'!G15)</f>
        <v>700</v>
      </c>
      <c r="H15" s="83">
        <f>SUM('19 önkormányzat'!H15)</f>
        <v>700</v>
      </c>
      <c r="I15" s="83">
        <f>SUM('19 önkormányzat'!I15)</f>
        <v>40</v>
      </c>
    </row>
    <row r="16" spans="1:9" s="90" customFormat="1" ht="12.75" customHeight="1">
      <c r="A16" s="84" t="s">
        <v>51</v>
      </c>
      <c r="B16" s="85"/>
      <c r="C16" s="86"/>
      <c r="D16" s="87"/>
      <c r="E16" s="88"/>
      <c r="F16" s="82"/>
      <c r="G16" s="89"/>
      <c r="H16" s="89"/>
      <c r="I16" s="89"/>
    </row>
    <row r="17" spans="1:9" ht="23.25" customHeight="1">
      <c r="A17" s="84" t="s">
        <v>53</v>
      </c>
      <c r="B17" s="85" t="s">
        <v>173</v>
      </c>
      <c r="C17" s="86" t="s">
        <v>174</v>
      </c>
      <c r="D17" s="87">
        <f>SUM(D18:D22)</f>
        <v>168798</v>
      </c>
      <c r="E17" s="88">
        <f>SUM(E18:E22)</f>
        <v>142477</v>
      </c>
      <c r="F17" s="82">
        <f>E17/D17</f>
        <v>0.8440680576784085</v>
      </c>
      <c r="G17" s="89">
        <f>SUM(G18:G22)</f>
        <v>142477</v>
      </c>
      <c r="H17" s="89">
        <f>SUM(H18:H22)</f>
        <v>142477</v>
      </c>
      <c r="I17" s="1256">
        <f>SUM(I18:I22)</f>
        <v>149880</v>
      </c>
    </row>
    <row r="18" spans="1:9" ht="12.75" customHeight="1">
      <c r="A18" s="77" t="s">
        <v>55</v>
      </c>
      <c r="B18" s="78"/>
      <c r="C18" s="79" t="s">
        <v>39</v>
      </c>
      <c r="D18" s="80">
        <v>159411</v>
      </c>
      <c r="E18" s="81">
        <f>SUM('ÖNK ÖSSZESITŐ'!F45)-'KV 1 mell'!E19-E20-E22</f>
        <v>132784</v>
      </c>
      <c r="F18" s="82">
        <f>E18/D18</f>
        <v>0.8329663574031905</v>
      </c>
      <c r="G18" s="83">
        <f>SUM('ÖNK ÖSSZESITŐ'!G45)-'KV 1 mell'!G19-G20-G22</f>
        <v>132784</v>
      </c>
      <c r="H18" s="83">
        <f>SUM('ÖNK ÖSSZESITŐ'!H45)-'KV 1 mell'!H19-H20-H22</f>
        <v>132784</v>
      </c>
      <c r="I18" s="1257">
        <f>SUM('ÖNK ÖSSZESITŐ'!I45)-'KV 1 mell'!I19-I20-I22</f>
        <v>140187</v>
      </c>
    </row>
    <row r="19" spans="1:9" ht="12.75" customHeight="1">
      <c r="A19" s="77" t="s">
        <v>57</v>
      </c>
      <c r="B19" s="78"/>
      <c r="C19" s="79" t="s">
        <v>94</v>
      </c>
      <c r="D19" s="80">
        <v>8072</v>
      </c>
      <c r="E19" s="81">
        <v>8378</v>
      </c>
      <c r="F19" s="82">
        <f>E19/D19</f>
        <v>1.0379088206144698</v>
      </c>
      <c r="G19" s="83">
        <v>8378</v>
      </c>
      <c r="H19" s="83">
        <v>8378</v>
      </c>
      <c r="I19" s="1257">
        <v>8378</v>
      </c>
    </row>
    <row r="20" spans="1:9" ht="12.75" customHeight="1">
      <c r="A20" s="77" t="s">
        <v>86</v>
      </c>
      <c r="B20" s="78"/>
      <c r="C20" s="79" t="s">
        <v>96</v>
      </c>
      <c r="D20" s="80">
        <v>315</v>
      </c>
      <c r="E20" s="81">
        <v>315</v>
      </c>
      <c r="F20" s="82">
        <f>E20/D20</f>
        <v>1</v>
      </c>
      <c r="G20" s="83">
        <v>315</v>
      </c>
      <c r="H20" s="83">
        <v>315</v>
      </c>
      <c r="I20" s="1257">
        <v>315</v>
      </c>
    </row>
    <row r="21" spans="1:9" s="91" customFormat="1" ht="12.75" customHeight="1">
      <c r="A21" s="77" t="s">
        <v>59</v>
      </c>
      <c r="B21" s="78"/>
      <c r="C21" s="79" t="s">
        <v>175</v>
      </c>
      <c r="D21" s="80">
        <v>0</v>
      </c>
      <c r="E21" s="81">
        <v>0</v>
      </c>
      <c r="F21" s="82">
        <v>0</v>
      </c>
      <c r="G21" s="83">
        <v>0</v>
      </c>
      <c r="H21" s="83">
        <v>0</v>
      </c>
      <c r="I21" s="1257">
        <v>0</v>
      </c>
    </row>
    <row r="22" spans="1:9" ht="12.75" customHeight="1">
      <c r="A22" s="77" t="s">
        <v>61</v>
      </c>
      <c r="B22" s="78"/>
      <c r="C22" s="79" t="s">
        <v>176</v>
      </c>
      <c r="D22" s="80">
        <v>1000</v>
      </c>
      <c r="E22" s="81">
        <v>1000</v>
      </c>
      <c r="F22" s="82">
        <f>E22/D22</f>
        <v>1</v>
      </c>
      <c r="G22" s="83">
        <v>1000</v>
      </c>
      <c r="H22" s="83">
        <v>1000</v>
      </c>
      <c r="I22" s="1257">
        <v>1000</v>
      </c>
    </row>
    <row r="23" spans="1:9" ht="12.75" customHeight="1">
      <c r="A23" s="84" t="s">
        <v>63</v>
      </c>
      <c r="B23" s="78"/>
      <c r="C23" s="86"/>
      <c r="D23" s="87"/>
      <c r="E23" s="88"/>
      <c r="F23" s="82"/>
      <c r="G23" s="89"/>
      <c r="H23" s="89"/>
      <c r="I23" s="1256"/>
    </row>
    <row r="24" spans="1:9" ht="12.75" customHeight="1">
      <c r="A24" s="84" t="s">
        <v>65</v>
      </c>
      <c r="B24" s="85" t="s">
        <v>177</v>
      </c>
      <c r="C24" s="86" t="s">
        <v>178</v>
      </c>
      <c r="D24" s="87">
        <f>SUM('ÖNK ÖSSZESITŐ'!E44)</f>
        <v>175920</v>
      </c>
      <c r="E24" s="88">
        <f>SUM('ÖNK ÖSSZESITŐ'!F44)</f>
        <v>172951</v>
      </c>
      <c r="F24" s="82">
        <f>E24/D24</f>
        <v>0.9831230104592997</v>
      </c>
      <c r="G24" s="89">
        <f>SUM('ÖNK ÖSSZESITŐ'!G44)</f>
        <v>174108</v>
      </c>
      <c r="H24" s="89">
        <f>SUM('ÖNK ÖSSZESITŐ'!H44)</f>
        <v>174695</v>
      </c>
      <c r="I24" s="1256">
        <f>SUM('ÖNK ÖSSZESITŐ'!I44)</f>
        <v>185145</v>
      </c>
    </row>
    <row r="25" spans="1:9" ht="12.75" customHeight="1">
      <c r="A25" s="84" t="s">
        <v>92</v>
      </c>
      <c r="B25" s="85" t="s">
        <v>179</v>
      </c>
      <c r="C25" s="86" t="s">
        <v>106</v>
      </c>
      <c r="D25" s="87">
        <f>SUM('ÖNK ÖSSZESITŐ'!E41)</f>
        <v>9241</v>
      </c>
      <c r="E25" s="88">
        <f>SUM('ÖNK ÖSSZESITŐ'!F41)</f>
        <v>35000</v>
      </c>
      <c r="F25" s="82">
        <f>E25/D25</f>
        <v>3.7874688886484145</v>
      </c>
      <c r="G25" s="89">
        <f>SUM('ÖNK ÖSSZESITŐ'!G41)+'ÖNK ÖSSZESITŐ'!G42</f>
        <v>60313</v>
      </c>
      <c r="H25" s="89">
        <f>SUM('ÖNK ÖSSZESITŐ'!H41)+'ÖNK ÖSSZESITŐ'!H42</f>
        <v>60313</v>
      </c>
      <c r="I25" s="1256">
        <f>SUM('ÖNK ÖSSZESITŐ'!I41)+'ÖNK ÖSSZESITŐ'!I42</f>
        <v>41468</v>
      </c>
    </row>
    <row r="26" spans="1:9" ht="12.75" customHeight="1">
      <c r="A26" s="84" t="s">
        <v>66</v>
      </c>
      <c r="B26" s="85" t="s">
        <v>180</v>
      </c>
      <c r="C26" s="86" t="s">
        <v>181</v>
      </c>
      <c r="D26" s="87">
        <f>SUM('ÖNK ÖSSZESITŐ'!E39)</f>
        <v>189812</v>
      </c>
      <c r="E26" s="88">
        <f>SUM('ÖNK ÖSSZESITŐ'!F39)</f>
        <v>0</v>
      </c>
      <c r="F26" s="82">
        <f>E26/D26</f>
        <v>0</v>
      </c>
      <c r="G26" s="89">
        <f>SUM('ÖNK ÖSSZESITŐ'!G39)</f>
        <v>80000</v>
      </c>
      <c r="H26" s="89">
        <f>SUM('ÖNK ÖSSZESITŐ'!H39)</f>
        <v>80000</v>
      </c>
      <c r="I26" s="1256">
        <f>SUM('ÖNK ÖSSZESITŐ'!I39)</f>
        <v>80000</v>
      </c>
    </row>
    <row r="27" spans="1:9" ht="12.75" customHeight="1">
      <c r="A27" s="84" t="s">
        <v>67</v>
      </c>
      <c r="B27" s="85" t="s">
        <v>182</v>
      </c>
      <c r="C27" s="86" t="s">
        <v>183</v>
      </c>
      <c r="D27" s="87">
        <v>295</v>
      </c>
      <c r="E27" s="88">
        <v>1205</v>
      </c>
      <c r="F27" s="82">
        <f>E27/D27</f>
        <v>4.084745762711864</v>
      </c>
      <c r="G27" s="89">
        <v>1205</v>
      </c>
      <c r="H27" s="89">
        <v>1605</v>
      </c>
      <c r="I27" s="1256">
        <f>SUM('19 önkormányzat'!I21)</f>
        <v>468</v>
      </c>
    </row>
    <row r="28" spans="1:9" ht="12.75" customHeight="1">
      <c r="A28" s="84" t="s">
        <v>68</v>
      </c>
      <c r="B28" s="85" t="s">
        <v>184</v>
      </c>
      <c r="C28" s="86" t="s">
        <v>185</v>
      </c>
      <c r="D28" s="80">
        <v>0</v>
      </c>
      <c r="E28" s="81">
        <v>0</v>
      </c>
      <c r="F28" s="82">
        <v>0</v>
      </c>
      <c r="G28" s="83">
        <v>0</v>
      </c>
      <c r="H28" s="83">
        <v>0</v>
      </c>
      <c r="I28" s="1257">
        <v>0</v>
      </c>
    </row>
    <row r="29" spans="1:9" ht="12.75" customHeight="1">
      <c r="A29" s="84" t="s">
        <v>70</v>
      </c>
      <c r="B29" s="85" t="s">
        <v>186</v>
      </c>
      <c r="C29" s="86" t="s">
        <v>187</v>
      </c>
      <c r="D29" s="87">
        <f>SUM(D30:D31)</f>
        <v>52691</v>
      </c>
      <c r="E29" s="88">
        <f>SUM(E30:E31)</f>
        <v>51913</v>
      </c>
      <c r="F29" s="82">
        <f>E29/D29</f>
        <v>0.9852346700575051</v>
      </c>
      <c r="G29" s="89">
        <f>SUM(G30:G31)</f>
        <v>51913</v>
      </c>
      <c r="H29" s="89">
        <f>SUM(H30:H31)</f>
        <v>48038</v>
      </c>
      <c r="I29" s="1256">
        <f>SUM(I30:I31)</f>
        <v>46378</v>
      </c>
    </row>
    <row r="30" spans="1:9" ht="12.75" customHeight="1">
      <c r="A30" s="77" t="s">
        <v>97</v>
      </c>
      <c r="B30" s="92"/>
      <c r="C30" s="79" t="s">
        <v>188</v>
      </c>
      <c r="D30" s="80">
        <f>SUM('ÖNK ÖSSZESITŐ'!E12+'ÖNK ÖSSZESITŐ'!E23+'ÖNK ÖSSZESITŐ'!E29+'ÖNK ÖSSZESITŐ'!E35)</f>
        <v>43477</v>
      </c>
      <c r="E30" s="81">
        <f>SUM('ÖNK ÖSSZESITŐ'!F23+'ÖNK ÖSSZESITŐ'!F29+'ÖNK ÖSSZESITŐ'!F35)</f>
        <v>51913</v>
      </c>
      <c r="F30" s="82">
        <f>E30/D30</f>
        <v>1.1940336269751823</v>
      </c>
      <c r="G30" s="83">
        <f>SUM('ÖNK ÖSSZESITŐ'!G23+'ÖNK ÖSSZESITŐ'!G29+'ÖNK ÖSSZESITŐ'!G35)</f>
        <v>51913</v>
      </c>
      <c r="H30" s="83">
        <f>SUM('ÖNK ÖSSZESITŐ'!H23+'ÖNK ÖSSZESITŐ'!H29+'ÖNK ÖSSZESITŐ'!H35)</f>
        <v>47018</v>
      </c>
      <c r="I30" s="1257">
        <v>45407</v>
      </c>
    </row>
    <row r="31" spans="1:9" ht="12.75" customHeight="1">
      <c r="A31" s="77" t="s">
        <v>99</v>
      </c>
      <c r="B31" s="78"/>
      <c r="C31" s="79" t="s">
        <v>189</v>
      </c>
      <c r="D31" s="80">
        <f>SUM('ÖNK ÖSSZESITŐ'!E38)</f>
        <v>9214</v>
      </c>
      <c r="E31" s="81">
        <f>SUM('ÖNK ÖSSZESITŐ'!F38)</f>
        <v>0</v>
      </c>
      <c r="F31" s="82">
        <f>E31/D31</f>
        <v>0</v>
      </c>
      <c r="G31" s="83">
        <f>SUM('ÖNK ÖSSZESITŐ'!G38)</f>
        <v>0</v>
      </c>
      <c r="H31" s="83">
        <v>1020</v>
      </c>
      <c r="I31" s="1257">
        <v>971</v>
      </c>
    </row>
    <row r="32" spans="1:9" ht="12.75" customHeight="1" thickBot="1">
      <c r="A32" s="93" t="s">
        <v>101</v>
      </c>
      <c r="B32" s="199" t="s">
        <v>191</v>
      </c>
      <c r="C32" s="95" t="s">
        <v>927</v>
      </c>
      <c r="D32" s="96"/>
      <c r="E32" s="97"/>
      <c r="F32" s="98"/>
      <c r="G32" s="99"/>
      <c r="H32" s="99"/>
      <c r="I32" s="1258">
        <v>805</v>
      </c>
    </row>
    <row r="33" spans="1:9" s="107" customFormat="1" ht="19.5" customHeight="1" thickBot="1">
      <c r="A33" s="100" t="s">
        <v>103</v>
      </c>
      <c r="B33" s="101"/>
      <c r="C33" s="102" t="s">
        <v>190</v>
      </c>
      <c r="D33" s="103">
        <f>SUM(D12+D17+D24+D25+D26+D29)+D27</f>
        <v>639492</v>
      </c>
      <c r="E33" s="104">
        <f>SUM(E12+E17+E24+E25+E26+E29)+E27</f>
        <v>448608</v>
      </c>
      <c r="F33" s="105">
        <f>E33/D33</f>
        <v>0.7015068210391998</v>
      </c>
      <c r="G33" s="106">
        <f>SUM(G12+G17+G24+G25+G26+G29)+G27</f>
        <v>555078</v>
      </c>
      <c r="H33" s="106">
        <f>SUM(H12+H17+H24+H25+H26+H29)+H27</f>
        <v>556440</v>
      </c>
      <c r="I33" s="1259">
        <f>SUM(I12+I17+I24+I25+I26+I29)+I27+I32</f>
        <v>545898</v>
      </c>
    </row>
    <row r="34" spans="1:9" ht="12.75" customHeight="1" thickBot="1">
      <c r="A34" s="108" t="s">
        <v>105</v>
      </c>
      <c r="B34" s="109"/>
      <c r="C34" s="110"/>
      <c r="D34" s="111"/>
      <c r="E34" s="112"/>
      <c r="F34" s="113"/>
      <c r="G34" s="114"/>
      <c r="H34" s="114"/>
      <c r="I34" s="1260"/>
    </row>
    <row r="35" spans="1:9" ht="12.75" customHeight="1" thickBot="1">
      <c r="A35" s="115" t="s">
        <v>107</v>
      </c>
      <c r="B35" s="116" t="s">
        <v>196</v>
      </c>
      <c r="C35" s="117" t="s">
        <v>192</v>
      </c>
      <c r="D35" s="118">
        <f>SUM(D36:D38)</f>
        <v>120166</v>
      </c>
      <c r="E35" s="119">
        <f>SUM(E36:E38)</f>
        <v>96052</v>
      </c>
      <c r="F35" s="120">
        <f>E35/D35</f>
        <v>0.7993275968243929</v>
      </c>
      <c r="G35" s="121">
        <f>SUM(G36:G38)</f>
        <v>96052</v>
      </c>
      <c r="H35" s="121">
        <f>SUM(H36:H38)</f>
        <v>86052</v>
      </c>
      <c r="I35" s="1261">
        <f>SUM(I36:I38)</f>
        <v>84153</v>
      </c>
    </row>
    <row r="36" spans="1:9" ht="12.75" customHeight="1">
      <c r="A36" s="122" t="s">
        <v>109</v>
      </c>
      <c r="B36" s="123"/>
      <c r="C36" s="124" t="s">
        <v>193</v>
      </c>
      <c r="D36" s="125">
        <f>SUM('ÖNK ÖSSZESITŐ'!E43)</f>
        <v>0</v>
      </c>
      <c r="E36" s="126">
        <f>SUM('ÖNK ÖSSZESITŐ'!F43)</f>
        <v>90000</v>
      </c>
      <c r="F36" s="75">
        <v>0</v>
      </c>
      <c r="G36" s="127">
        <f>SUM('ÖNK ÖSSZESITŐ'!G43)</f>
        <v>90000</v>
      </c>
      <c r="H36" s="127">
        <f>SUM('ÖNK ÖSSZESITŐ'!H43)</f>
        <v>80000</v>
      </c>
      <c r="I36" s="1262">
        <f>SUM('ÖNK ÖSSZESITŐ'!I43)</f>
        <v>80000</v>
      </c>
    </row>
    <row r="37" spans="1:9" ht="12.75" customHeight="1">
      <c r="A37" s="77" t="s">
        <v>111</v>
      </c>
      <c r="B37" s="78"/>
      <c r="C37" s="79" t="s">
        <v>194</v>
      </c>
      <c r="D37" s="80">
        <f>SUM('ÖNK ÖSSZESITŐ'!E37)</f>
        <v>10166</v>
      </c>
      <c r="E37" s="81">
        <f>SUM('ÖNK ÖSSZESITŐ'!F37)</f>
        <v>6052</v>
      </c>
      <c r="F37" s="82">
        <f>E37/D37</f>
        <v>0.5953177257525084</v>
      </c>
      <c r="G37" s="128">
        <f>SUM('ÖNK ÖSSZESITŐ'!G37)</f>
        <v>6052</v>
      </c>
      <c r="H37" s="128">
        <f>SUM('ÖNK ÖSSZESITŐ'!H37)</f>
        <v>6052</v>
      </c>
      <c r="I37" s="1263">
        <f>SUM('ÖNK ÖSSZESITŐ'!I37)</f>
        <v>4153</v>
      </c>
    </row>
    <row r="38" spans="1:9" ht="12.75" customHeight="1" thickBot="1">
      <c r="A38" s="129" t="s">
        <v>113</v>
      </c>
      <c r="B38" s="94"/>
      <c r="C38" s="130" t="s">
        <v>195</v>
      </c>
      <c r="D38" s="131">
        <f>SUM('ÖNK ÖSSZESITŐ'!E47)</f>
        <v>110000</v>
      </c>
      <c r="E38" s="132">
        <f>SUM('ÖNK ÖSSZESITŐ'!F47)</f>
        <v>0</v>
      </c>
      <c r="F38" s="133">
        <f>E38/D38</f>
        <v>0</v>
      </c>
      <c r="G38" s="134">
        <f>SUM('ÖNK ÖSSZESITŐ'!G47)</f>
        <v>0</v>
      </c>
      <c r="H38" s="134">
        <f>SUM('ÖNK ÖSSZESITŐ'!H47)</f>
        <v>0</v>
      </c>
      <c r="I38" s="1264">
        <f>SUM('ÖNK ÖSSZESITŐ'!I47)</f>
        <v>0</v>
      </c>
    </row>
    <row r="39" spans="1:9" s="90" customFormat="1" ht="12.75" customHeight="1" thickBot="1">
      <c r="A39" s="115" t="s">
        <v>115</v>
      </c>
      <c r="B39" s="116" t="s">
        <v>933</v>
      </c>
      <c r="C39" s="117" t="s">
        <v>197</v>
      </c>
      <c r="D39" s="135">
        <f>SUM(D40:D41)</f>
        <v>74266</v>
      </c>
      <c r="E39" s="119">
        <f>SUM('ÖNK ÖSSZESITŐ'!F14+'ÖNK ÖSSZESITŐ'!F19+'ÖNK ÖSSZESITŐ'!F25+'ÖNK ÖSSZESITŐ'!F31+'ÖNK ÖSSZESITŐ'!F46)</f>
        <v>60159</v>
      </c>
      <c r="F39" s="120">
        <f>E39/D39</f>
        <v>0.8100476664961086</v>
      </c>
      <c r="G39" s="121">
        <f>SUM('ÖNK ÖSSZESITŐ'!G14+'ÖNK ÖSSZESITŐ'!G19+'ÖNK ÖSSZESITŐ'!G25+'ÖNK ÖSSZESITŐ'!G31+'ÖNK ÖSSZESITŐ'!G46)</f>
        <v>60159</v>
      </c>
      <c r="H39" s="121">
        <f>SUM('ÖNK ÖSSZESITŐ'!H14+'ÖNK ÖSSZESITŐ'!H19+'ÖNK ÖSSZESITŐ'!H25+'ÖNK ÖSSZESITŐ'!H31+'ÖNK ÖSSZESITŐ'!H46)</f>
        <v>60159</v>
      </c>
      <c r="I39" s="1261">
        <f>SUM('ÖNK ÖSSZESITŐ'!I14+'ÖNK ÖSSZESITŐ'!I19+'ÖNK ÖSSZESITŐ'!I25+'ÖNK ÖSSZESITŐ'!I31+'ÖNK ÖSSZESITŐ'!I46)</f>
        <v>60159</v>
      </c>
    </row>
    <row r="40" spans="1:9" s="142" customFormat="1" ht="12.75" customHeight="1">
      <c r="A40" s="122" t="s">
        <v>117</v>
      </c>
      <c r="B40" s="136"/>
      <c r="C40" s="137" t="s">
        <v>198</v>
      </c>
      <c r="D40" s="138">
        <f>SUM('ÖNK ÖSSZESITŐ'!E14+'ÖNK ÖSSZESITŐ'!E19+'ÖNK ÖSSZESITŐ'!E25+'ÖNK ÖSSZESITŐ'!E46)</f>
        <v>74266</v>
      </c>
      <c r="E40" s="139">
        <v>49490</v>
      </c>
      <c r="F40" s="140">
        <f>E40/D40</f>
        <v>0.6663883876875016</v>
      </c>
      <c r="G40" s="141">
        <v>45533</v>
      </c>
      <c r="H40" s="141">
        <v>13133</v>
      </c>
      <c r="I40" s="1265">
        <v>10217</v>
      </c>
    </row>
    <row r="41" spans="1:9" s="142" customFormat="1" ht="12.75" customHeight="1" thickBot="1">
      <c r="A41" s="129" t="s">
        <v>118</v>
      </c>
      <c r="B41" s="143"/>
      <c r="C41" s="144" t="s">
        <v>199</v>
      </c>
      <c r="D41" s="145"/>
      <c r="E41" s="146">
        <v>10669</v>
      </c>
      <c r="F41" s="147">
        <v>0</v>
      </c>
      <c r="G41" s="148">
        <v>14626</v>
      </c>
      <c r="H41" s="148">
        <v>47026</v>
      </c>
      <c r="I41" s="1266">
        <v>49942</v>
      </c>
    </row>
    <row r="42" spans="1:9" s="156" customFormat="1" ht="21.75" customHeight="1" thickBot="1">
      <c r="A42" s="149" t="s">
        <v>120</v>
      </c>
      <c r="B42" s="150"/>
      <c r="C42" s="151" t="s">
        <v>200</v>
      </c>
      <c r="D42" s="152">
        <f>D33+D36+D39+D37+D38</f>
        <v>833924</v>
      </c>
      <c r="E42" s="153">
        <f>E33+E36+E39+E37+E38</f>
        <v>604819</v>
      </c>
      <c r="F42" s="154">
        <f>E42/D42</f>
        <v>0.725268729524513</v>
      </c>
      <c r="G42" s="155">
        <f>G33+G36+G39+G37+G38</f>
        <v>711289</v>
      </c>
      <c r="H42" s="155">
        <f>H33+H36+H39+H37+H38</f>
        <v>702651</v>
      </c>
      <c r="I42" s="155">
        <f>I33+I36+I39+I37+I38</f>
        <v>690210</v>
      </c>
    </row>
    <row r="43" spans="1:3" ht="12.75" customHeight="1">
      <c r="A43" s="157"/>
      <c r="B43" s="158"/>
      <c r="C43" s="159"/>
    </row>
    <row r="44" spans="1:3" ht="12.75" customHeight="1">
      <c r="A44" s="157"/>
      <c r="B44" s="158"/>
      <c r="C44" s="159"/>
    </row>
    <row r="45" spans="1:3" ht="1.5" customHeight="1" thickBot="1">
      <c r="A45" s="157"/>
      <c r="B45" s="158"/>
      <c r="C45" s="159"/>
    </row>
    <row r="46" spans="1:9" ht="53.25" customHeight="1" thickBot="1">
      <c r="A46" s="1333" t="s">
        <v>156</v>
      </c>
      <c r="B46" s="1333"/>
      <c r="C46" s="60" t="s">
        <v>119</v>
      </c>
      <c r="D46" s="61" t="s">
        <v>158</v>
      </c>
      <c r="E46" s="62" t="s">
        <v>159</v>
      </c>
      <c r="F46" s="63" t="s">
        <v>160</v>
      </c>
      <c r="G46" s="64" t="s">
        <v>201</v>
      </c>
      <c r="H46" s="64" t="s">
        <v>162</v>
      </c>
      <c r="I46" s="64" t="s">
        <v>905</v>
      </c>
    </row>
    <row r="47" spans="1:9" ht="12.75" customHeight="1">
      <c r="A47" s="1333"/>
      <c r="B47" s="1333"/>
      <c r="C47" s="160" t="s">
        <v>163</v>
      </c>
      <c r="D47" s="161" t="s">
        <v>164</v>
      </c>
      <c r="E47" s="162" t="s">
        <v>165</v>
      </c>
      <c r="F47" s="163" t="s">
        <v>166</v>
      </c>
      <c r="G47" s="164" t="s">
        <v>167</v>
      </c>
      <c r="H47" s="164" t="s">
        <v>168</v>
      </c>
      <c r="I47" s="164" t="s">
        <v>228</v>
      </c>
    </row>
    <row r="48" spans="1:9" s="90" customFormat="1" ht="12.75" customHeight="1">
      <c r="A48" s="84" t="s">
        <v>122</v>
      </c>
      <c r="B48" s="85" t="s">
        <v>169</v>
      </c>
      <c r="C48" s="86" t="s">
        <v>202</v>
      </c>
      <c r="D48" s="87">
        <f>SUM(D49:D51)</f>
        <v>416760</v>
      </c>
      <c r="E48" s="165">
        <f>SUM(E49:E51)</f>
        <v>387098</v>
      </c>
      <c r="F48" s="166">
        <f aca="true" t="shared" si="0" ref="F48:F58">E48/D48</f>
        <v>0.9288271427200308</v>
      </c>
      <c r="G48" s="167">
        <f>SUM(G49:G51)</f>
        <v>389951</v>
      </c>
      <c r="H48" s="167">
        <f>SUM(H49:H51)</f>
        <v>418439</v>
      </c>
      <c r="I48" s="167">
        <f>SUM(I49:I51)</f>
        <v>427446</v>
      </c>
    </row>
    <row r="49" spans="1:9" ht="12.75" customHeight="1">
      <c r="A49" s="77" t="s">
        <v>124</v>
      </c>
      <c r="B49" s="78"/>
      <c r="C49" s="79" t="s">
        <v>203</v>
      </c>
      <c r="D49" s="80">
        <f>SUM('ÖNK ÖSSZESITŐ'!E92)</f>
        <v>214160</v>
      </c>
      <c r="E49" s="168">
        <f>SUM('ÖNK ÖSSZESITŐ'!F92)</f>
        <v>212878</v>
      </c>
      <c r="F49" s="82">
        <f t="shared" si="0"/>
        <v>0.9940138214419126</v>
      </c>
      <c r="G49" s="169">
        <f>SUM('ÖNK ÖSSZESITŐ'!G92)</f>
        <v>213699</v>
      </c>
      <c r="H49" s="169">
        <f>SUM('ÖNK ÖSSZESITŐ'!H92)</f>
        <v>215164</v>
      </c>
      <c r="I49" s="1268">
        <f>SUM('ÖNK ÖSSZESITŐ'!I92)</f>
        <v>215804</v>
      </c>
    </row>
    <row r="50" spans="1:9" ht="12.75" customHeight="1">
      <c r="A50" s="77" t="s">
        <v>126</v>
      </c>
      <c r="B50" s="78"/>
      <c r="C50" s="79" t="s">
        <v>204</v>
      </c>
      <c r="D50" s="80">
        <f>SUM('ÖNK ÖSSZESITŐ'!E93)</f>
        <v>56256</v>
      </c>
      <c r="E50" s="168">
        <f>SUM('ÖNK ÖSSZESITŐ'!F93)</f>
        <v>54992</v>
      </c>
      <c r="F50" s="82">
        <f t="shared" si="0"/>
        <v>0.9775312855517634</v>
      </c>
      <c r="G50" s="169">
        <f>SUM('ÖNK ÖSSZESITŐ'!G93)</f>
        <v>55258</v>
      </c>
      <c r="H50" s="169">
        <f>SUM('ÖNK ÖSSZESITŐ'!H93)</f>
        <v>55669</v>
      </c>
      <c r="I50" s="1268">
        <f>SUM('ÖNK ÖSSZESITŐ'!I93)</f>
        <v>55844</v>
      </c>
    </row>
    <row r="51" spans="1:9" ht="12.75" customHeight="1">
      <c r="A51" s="77" t="s">
        <v>128</v>
      </c>
      <c r="B51" s="78"/>
      <c r="C51" s="79" t="s">
        <v>205</v>
      </c>
      <c r="D51" s="80">
        <f>SUM('ÖNK ÖSSZESITŐ'!E94)</f>
        <v>146344</v>
      </c>
      <c r="E51" s="168">
        <f>SUM('ÖNK ÖSSZESITŐ'!F94)</f>
        <v>119228</v>
      </c>
      <c r="F51" s="82">
        <f t="shared" si="0"/>
        <v>0.8147105450172197</v>
      </c>
      <c r="G51" s="169">
        <f>SUM('ÖNK ÖSSZESITŐ'!G94)</f>
        <v>120994</v>
      </c>
      <c r="H51" s="169">
        <f>SUM('ÖNK ÖSSZESITŐ'!H94)</f>
        <v>147606</v>
      </c>
      <c r="I51" s="1268">
        <f>SUM('ÖNK ÖSSZESITŐ'!I94)</f>
        <v>155798</v>
      </c>
    </row>
    <row r="52" spans="1:9" s="90" customFormat="1" ht="12.75" customHeight="1">
      <c r="A52" s="84" t="s">
        <v>130</v>
      </c>
      <c r="B52" s="85" t="s">
        <v>173</v>
      </c>
      <c r="C52" s="86" t="s">
        <v>206</v>
      </c>
      <c r="D52" s="87">
        <f>SUM(D53:D55)</f>
        <v>36303</v>
      </c>
      <c r="E52" s="165">
        <f>SUM(E53:E55)</f>
        <v>36874</v>
      </c>
      <c r="F52" s="166">
        <f t="shared" si="0"/>
        <v>1.015728727653362</v>
      </c>
      <c r="G52" s="167">
        <f>SUM(G53:G55)</f>
        <v>36822</v>
      </c>
      <c r="H52" s="167">
        <f>SUM(H53:H55)</f>
        <v>39187</v>
      </c>
      <c r="I52" s="167">
        <f>SUM(I53:I55)</f>
        <v>39346</v>
      </c>
    </row>
    <row r="53" spans="1:9" ht="12.75" customHeight="1">
      <c r="A53" s="77" t="s">
        <v>131</v>
      </c>
      <c r="B53" s="78"/>
      <c r="C53" s="79" t="s">
        <v>207</v>
      </c>
      <c r="D53" s="170">
        <f>SUM('ÖNK ÖSSZESITŐ'!E96)-D54</f>
        <v>26400</v>
      </c>
      <c r="E53" s="81">
        <f>SUM('ÖNK ÖSSZESITŐ'!F96)-E54</f>
        <v>30664</v>
      </c>
      <c r="F53" s="82">
        <f t="shared" si="0"/>
        <v>1.1615151515151516</v>
      </c>
      <c r="G53" s="83">
        <f>SUM('ÖNK ÖSSZESITŐ'!G96)-G54</f>
        <v>30612</v>
      </c>
      <c r="H53" s="83">
        <f>SUM('ÖNK ÖSSZESITŐ'!H96)-H54</f>
        <v>32977</v>
      </c>
      <c r="I53" s="1269">
        <f>SUM('ÖNK ÖSSZESITŐ'!I96)-I54</f>
        <v>33072</v>
      </c>
    </row>
    <row r="54" spans="1:9" ht="12.75" customHeight="1">
      <c r="A54" s="77" t="s">
        <v>133</v>
      </c>
      <c r="B54" s="78"/>
      <c r="C54" s="79" t="s">
        <v>208</v>
      </c>
      <c r="D54" s="171">
        <v>4471</v>
      </c>
      <c r="E54" s="172">
        <f>SUM('6. melléklet'!E51)</f>
        <v>3000</v>
      </c>
      <c r="F54" s="82">
        <f t="shared" si="0"/>
        <v>0.6709908297919929</v>
      </c>
      <c r="G54" s="173">
        <f>SUM('6. melléklet'!F51)</f>
        <v>3000</v>
      </c>
      <c r="H54" s="173">
        <f>SUM('6. melléklet'!G51)</f>
        <v>3000</v>
      </c>
      <c r="I54" s="1269">
        <f>SUM('6. melléklet'!H51)</f>
        <v>3000</v>
      </c>
    </row>
    <row r="55" spans="1:9" ht="12.75" customHeight="1">
      <c r="A55" s="77" t="s">
        <v>135</v>
      </c>
      <c r="B55" s="78"/>
      <c r="C55" s="79" t="s">
        <v>209</v>
      </c>
      <c r="D55" s="170">
        <f>SUM('ÖNK ÖSSZESITŐ'!E98)</f>
        <v>5432</v>
      </c>
      <c r="E55" s="81">
        <f>SUM('ÖNK ÖSSZESITŐ'!F98)</f>
        <v>3210</v>
      </c>
      <c r="F55" s="82">
        <f t="shared" si="0"/>
        <v>0.5909425625920471</v>
      </c>
      <c r="G55" s="83">
        <f>SUM('ÖNK ÖSSZESITŐ'!G98)</f>
        <v>3210</v>
      </c>
      <c r="H55" s="83">
        <f>SUM('ÖNK ÖSSZESITŐ'!H98)</f>
        <v>3210</v>
      </c>
      <c r="I55" s="1269">
        <f>SUM('ÖNK ÖSSZESITŐ'!I98)</f>
        <v>3274</v>
      </c>
    </row>
    <row r="56" spans="1:9" s="90" customFormat="1" ht="12.75" customHeight="1">
      <c r="A56" s="93" t="s">
        <v>137</v>
      </c>
      <c r="B56" s="174" t="s">
        <v>177</v>
      </c>
      <c r="C56" s="95" t="s">
        <v>210</v>
      </c>
      <c r="D56" s="175">
        <f>SUM('19 önkormányzat'!E142)</f>
        <v>3277</v>
      </c>
      <c r="E56" s="176">
        <f>SUM('19 önkormányzat'!F142)</f>
        <v>0</v>
      </c>
      <c r="F56" s="133">
        <f t="shared" si="0"/>
        <v>0</v>
      </c>
      <c r="G56" s="177">
        <f>SUM('19 önkormányzat'!G142)</f>
        <v>59</v>
      </c>
      <c r="H56" s="177">
        <f>SUM('19 önkormányzat'!H142)</f>
        <v>256</v>
      </c>
      <c r="I56" s="177">
        <f>SUM('19 önkormányzat'!I142)</f>
        <v>256</v>
      </c>
    </row>
    <row r="57" spans="1:9" s="90" customFormat="1" ht="12.75" customHeight="1">
      <c r="A57" s="178" t="s">
        <v>139</v>
      </c>
      <c r="B57" s="179" t="s">
        <v>179</v>
      </c>
      <c r="C57" s="180" t="s">
        <v>150</v>
      </c>
      <c r="D57" s="181">
        <v>21035</v>
      </c>
      <c r="E57" s="88">
        <f>SUM(E58+E59)</f>
        <v>36582</v>
      </c>
      <c r="F57" s="82">
        <f t="shared" si="0"/>
        <v>1.7391014975041597</v>
      </c>
      <c r="G57" s="89">
        <f>SUM(G58+G59)</f>
        <v>51720</v>
      </c>
      <c r="H57" s="89">
        <f>SUM(H58+H59)</f>
        <v>33726</v>
      </c>
      <c r="I57" s="89">
        <f>SUM(I58+I59)</f>
        <v>33438</v>
      </c>
    </row>
    <row r="58" spans="1:9" s="184" customFormat="1" ht="12.75" customHeight="1">
      <c r="A58" s="84" t="s">
        <v>141</v>
      </c>
      <c r="B58" s="182"/>
      <c r="C58" s="183" t="s">
        <v>198</v>
      </c>
      <c r="D58" s="171">
        <v>21035</v>
      </c>
      <c r="E58" s="172">
        <f>SUM('21 céltartalék'!C38)</f>
        <v>36582</v>
      </c>
      <c r="F58" s="82">
        <f t="shared" si="0"/>
        <v>1.7391014975041597</v>
      </c>
      <c r="G58" s="173">
        <f>SUM('21 céltartalék'!D38)</f>
        <v>51720</v>
      </c>
      <c r="H58" s="173">
        <f>SUM('21 céltartalék'!E38)</f>
        <v>33726</v>
      </c>
      <c r="I58" s="1269">
        <f>SUM('21 céltartalék'!F38)</f>
        <v>33438</v>
      </c>
    </row>
    <row r="59" spans="1:9" s="142" customFormat="1" ht="12" customHeight="1" thickBot="1">
      <c r="A59" s="129" t="s">
        <v>143</v>
      </c>
      <c r="B59" s="143"/>
      <c r="C59" s="144" t="s">
        <v>199</v>
      </c>
      <c r="D59" s="185"/>
      <c r="E59" s="186"/>
      <c r="F59" s="133">
        <v>0</v>
      </c>
      <c r="G59" s="187"/>
      <c r="H59" s="187"/>
      <c r="I59" s="187"/>
    </row>
    <row r="60" spans="1:9" s="193" customFormat="1" ht="27" customHeight="1" thickBot="1">
      <c r="A60" s="1334" t="s">
        <v>145</v>
      </c>
      <c r="B60" s="1334"/>
      <c r="C60" s="188" t="s">
        <v>211</v>
      </c>
      <c r="D60" s="189">
        <f>SUM(D48+D52+D56+D57)</f>
        <v>477375</v>
      </c>
      <c r="E60" s="190">
        <f>SUM(E48+E52+E56+E57)</f>
        <v>460554</v>
      </c>
      <c r="F60" s="191">
        <f>E60/D60</f>
        <v>0.964763550667714</v>
      </c>
      <c r="G60" s="192">
        <f>SUM(G48+G52+G56+G57)</f>
        <v>478552</v>
      </c>
      <c r="H60" s="192">
        <f>SUM(H48+H52+H56+H57)</f>
        <v>491608</v>
      </c>
      <c r="I60" s="192">
        <f>SUM(I48+I52+I56+I57)</f>
        <v>500486</v>
      </c>
    </row>
    <row r="61" spans="1:9" s="90" customFormat="1" ht="12.75" customHeight="1">
      <c r="A61" s="70" t="s">
        <v>147</v>
      </c>
      <c r="B61" s="194" t="s">
        <v>180</v>
      </c>
      <c r="C61" s="195" t="s">
        <v>212</v>
      </c>
      <c r="D61" s="196">
        <v>1200</v>
      </c>
      <c r="E61" s="197">
        <v>0</v>
      </c>
      <c r="F61" s="75">
        <v>0</v>
      </c>
      <c r="G61" s="198">
        <v>0</v>
      </c>
      <c r="H61" s="198">
        <v>0</v>
      </c>
      <c r="I61" s="198">
        <v>805</v>
      </c>
    </row>
    <row r="62" spans="1:9" s="90" customFormat="1" ht="12.75" customHeight="1" thickBot="1">
      <c r="A62" s="93" t="s">
        <v>149</v>
      </c>
      <c r="B62" s="199" t="s">
        <v>182</v>
      </c>
      <c r="C62" s="95" t="s">
        <v>15</v>
      </c>
      <c r="D62" s="200">
        <f>SUM('ÖNK ÖSSZESITŐ'!E99)</f>
        <v>235019</v>
      </c>
      <c r="E62" s="201">
        <f>SUM('6. melléklet'!D32)</f>
        <v>127072</v>
      </c>
      <c r="F62" s="133">
        <f>E62/D62</f>
        <v>0.5406881996774728</v>
      </c>
      <c r="G62" s="99">
        <f>SUM('6. melléklet'!E32)</f>
        <v>145331</v>
      </c>
      <c r="H62" s="99">
        <f>SUM('6. melléklet'!F32)</f>
        <v>121325</v>
      </c>
      <c r="I62" s="99">
        <f>SUM('6. melléklet'!G32)</f>
        <v>98715</v>
      </c>
    </row>
    <row r="63" spans="1:9" s="202" customFormat="1" ht="27" customHeight="1" thickBot="1">
      <c r="A63" s="1334" t="s">
        <v>151</v>
      </c>
      <c r="B63" s="1334"/>
      <c r="C63" s="188" t="s">
        <v>15</v>
      </c>
      <c r="D63" s="189">
        <f>SUM(D61:D62)</f>
        <v>236219</v>
      </c>
      <c r="E63" s="190">
        <f>SUM(E61:E62)</f>
        <v>127072</v>
      </c>
      <c r="F63" s="191">
        <f>E63/D63</f>
        <v>0.5379414865019325</v>
      </c>
      <c r="G63" s="192">
        <f>SUM(G61:G62)</f>
        <v>145331</v>
      </c>
      <c r="H63" s="192">
        <f>SUM(H61:H62)</f>
        <v>121325</v>
      </c>
      <c r="I63" s="192">
        <f>SUM(I61:I62)</f>
        <v>99520</v>
      </c>
    </row>
    <row r="64" spans="1:9" s="90" customFormat="1" ht="25.5" customHeight="1">
      <c r="A64" s="70" t="s">
        <v>213</v>
      </c>
      <c r="B64" s="194" t="s">
        <v>182</v>
      </c>
      <c r="C64" s="203" t="s">
        <v>214</v>
      </c>
      <c r="D64" s="196">
        <f>SUM('ÖNK ÖSSZESITŐ'!E105)</f>
        <v>9737</v>
      </c>
      <c r="E64" s="197">
        <f>SUM('ÖNK ÖSSZESITŐ'!F105)</f>
        <v>6052</v>
      </c>
      <c r="F64" s="75">
        <f>E64/D64</f>
        <v>0.621546677621444</v>
      </c>
      <c r="G64" s="198">
        <f>SUM('ÖNK ÖSSZESITŐ'!G105)</f>
        <v>7406</v>
      </c>
      <c r="H64" s="198">
        <f>SUM('ÖNK ÖSSZESITŐ'!H105)</f>
        <v>9718</v>
      </c>
      <c r="I64" s="198">
        <f>SUM('ÖNK ÖSSZESITŐ'!I105)</f>
        <v>10204</v>
      </c>
    </row>
    <row r="65" spans="1:9" s="90" customFormat="1" ht="12.75" customHeight="1">
      <c r="A65" s="93" t="s">
        <v>215</v>
      </c>
      <c r="B65" s="174" t="s">
        <v>184</v>
      </c>
      <c r="C65" s="95" t="s">
        <v>195</v>
      </c>
      <c r="D65" s="175">
        <f>SUM('ÖNK ÖSSZESITŐ'!E103)</f>
        <v>110593</v>
      </c>
      <c r="E65" s="176">
        <f>SUM('ÖNK ÖSSZESITŐ'!F103)</f>
        <v>0</v>
      </c>
      <c r="F65" s="133">
        <f>E65/D65</f>
        <v>0</v>
      </c>
      <c r="G65" s="177">
        <f>SUM('ÖNK ÖSSZESITŐ'!G103)</f>
        <v>0</v>
      </c>
      <c r="H65" s="177">
        <f>SUM('ÖNK ÖSSZESITŐ'!H103)</f>
        <v>0</v>
      </c>
      <c r="I65" s="177">
        <f>SUM('ÖNK ÖSSZESITŐ'!I103)</f>
        <v>0</v>
      </c>
    </row>
    <row r="66" spans="1:9" s="90" customFormat="1" ht="12.75" customHeight="1">
      <c r="A66" s="84" t="s">
        <v>216</v>
      </c>
      <c r="B66" s="10"/>
      <c r="C66" s="86" t="s">
        <v>217</v>
      </c>
      <c r="D66" s="87">
        <v>0</v>
      </c>
      <c r="E66" s="165">
        <v>12041</v>
      </c>
      <c r="F66" s="82">
        <v>0</v>
      </c>
      <c r="G66" s="167">
        <f>SUM('19 önkormányzat'!G107)</f>
        <v>80000</v>
      </c>
      <c r="H66" s="167">
        <f>SUM('19 önkormányzat'!H107)</f>
        <v>80000</v>
      </c>
      <c r="I66" s="167">
        <f>SUM('19 önkormányzat'!I107)</f>
        <v>80000</v>
      </c>
    </row>
    <row r="67" spans="1:9" s="202" customFormat="1" ht="22.5" customHeight="1" thickBot="1">
      <c r="A67" s="1335" t="s">
        <v>218</v>
      </c>
      <c r="B67" s="1335"/>
      <c r="C67" s="204" t="s">
        <v>219</v>
      </c>
      <c r="D67" s="205">
        <f>SUM(D64:D65)</f>
        <v>120330</v>
      </c>
      <c r="E67" s="206">
        <f>SUM(E64:E66)</f>
        <v>18093</v>
      </c>
      <c r="F67" s="207">
        <f>E67/D67</f>
        <v>0.15036150585888805</v>
      </c>
      <c r="G67" s="208">
        <f>SUM(G64:G66)</f>
        <v>87406</v>
      </c>
      <c r="H67" s="208">
        <f>SUM(H64:H66)</f>
        <v>89718</v>
      </c>
      <c r="I67" s="208">
        <f>SUM(I64:I66)</f>
        <v>90204</v>
      </c>
    </row>
    <row r="68" spans="1:9" s="214" customFormat="1" ht="22.5" customHeight="1" thickBot="1">
      <c r="A68" s="1336" t="s">
        <v>220</v>
      </c>
      <c r="B68" s="1336"/>
      <c r="C68" s="209" t="s">
        <v>221</v>
      </c>
      <c r="D68" s="210">
        <f>SUM(D60+D63+D67)</f>
        <v>833924</v>
      </c>
      <c r="E68" s="211">
        <f>SUM(E60+E63+E67)</f>
        <v>605719</v>
      </c>
      <c r="F68" s="212">
        <f>E68/D68</f>
        <v>0.726347964562718</v>
      </c>
      <c r="G68" s="213">
        <f>SUM(G60+G63+G67)</f>
        <v>711289</v>
      </c>
      <c r="H68" s="213">
        <f>SUM(H60+H63+H67)</f>
        <v>702651</v>
      </c>
      <c r="I68" s="213">
        <f>SUM(I60+I63+I67)</f>
        <v>690210</v>
      </c>
    </row>
    <row r="70" ht="4.5" customHeight="1"/>
    <row r="65530" ht="12.75" customHeight="1"/>
    <row r="65531" ht="12.75" customHeight="1"/>
    <row r="65532" ht="12.75" customHeight="1"/>
  </sheetData>
  <sheetProtection selectLockedCells="1" selectUnlockedCells="1"/>
  <mergeCells count="12">
    <mergeCell ref="A3:I3"/>
    <mergeCell ref="C4:H4"/>
    <mergeCell ref="A46:B47"/>
    <mergeCell ref="A60:B60"/>
    <mergeCell ref="A63:B63"/>
    <mergeCell ref="A67:B67"/>
    <mergeCell ref="A68:B68"/>
    <mergeCell ref="A1:I1"/>
    <mergeCell ref="A10:B11"/>
    <mergeCell ref="D9:I9"/>
    <mergeCell ref="A6:I6"/>
    <mergeCell ref="A5:I5"/>
  </mergeCells>
  <printOptions/>
  <pageMargins left="0.8659722222222223" right="0.2361111111111111" top="0.15763888888888888" bottom="0.15763888888888888" header="0.5118055555555555" footer="0.5118055555555555"/>
  <pageSetup firstPageNumber="1" useFirstPageNumber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48"/>
  <sheetViews>
    <sheetView zoomScalePageLayoutView="0" workbookViewId="0" topLeftCell="A1">
      <selection activeCell="D9" sqref="D9"/>
    </sheetView>
  </sheetViews>
  <sheetFormatPr defaultColWidth="11.7109375" defaultRowHeight="12.75" customHeight="1"/>
  <cols>
    <col min="1" max="1" width="3.8515625" style="56" customWidth="1"/>
    <col min="2" max="2" width="4.57421875" style="215" customWidth="1"/>
    <col min="3" max="3" width="32.7109375" style="56" customWidth="1"/>
    <col min="4" max="4" width="13.57421875" style="56" customWidth="1"/>
    <col min="5" max="5" width="12.140625" style="56" customWidth="1"/>
    <col min="6" max="6" width="10.28125" style="216" customWidth="1"/>
    <col min="7" max="7" width="13.421875" style="56" customWidth="1"/>
    <col min="8" max="8" width="16.7109375" style="56" customWidth="1"/>
    <col min="9" max="9" width="15.28125" style="1270" customWidth="1"/>
    <col min="10" max="16384" width="11.7109375" style="56" customWidth="1"/>
  </cols>
  <sheetData>
    <row r="1" spans="1:9" s="217" customFormat="1" ht="18" customHeight="1">
      <c r="A1" s="1343" t="s">
        <v>222</v>
      </c>
      <c r="B1" s="1343"/>
      <c r="C1" s="1343"/>
      <c r="D1" s="1343"/>
      <c r="E1" s="1343"/>
      <c r="F1" s="1343"/>
      <c r="G1" s="1343"/>
      <c r="H1" s="1343"/>
      <c r="I1" s="1343"/>
    </row>
    <row r="2" spans="1:9" ht="19.5" customHeight="1">
      <c r="A2" s="1341" t="s">
        <v>938</v>
      </c>
      <c r="B2" s="1341"/>
      <c r="C2" s="1341"/>
      <c r="D2" s="1341"/>
      <c r="E2" s="1341"/>
      <c r="F2" s="1341"/>
      <c r="G2" s="1341"/>
      <c r="H2" s="1341"/>
      <c r="I2" s="1341"/>
    </row>
    <row r="3" spans="1:9" ht="15" customHeight="1">
      <c r="A3" s="1347" t="s">
        <v>940</v>
      </c>
      <c r="B3" s="1347"/>
      <c r="C3" s="1347"/>
      <c r="D3" s="1347"/>
      <c r="E3" s="1347"/>
      <c r="F3" s="1347"/>
      <c r="G3" s="1347"/>
      <c r="H3" s="1347"/>
      <c r="I3" s="1347"/>
    </row>
    <row r="4" spans="1:9" s="1" customFormat="1" ht="44.25" customHeight="1">
      <c r="A4" s="1344" t="s">
        <v>223</v>
      </c>
      <c r="B4" s="1344"/>
      <c r="C4" s="1344"/>
      <c r="D4" s="1344"/>
      <c r="E4" s="1344"/>
      <c r="F4" s="1344"/>
      <c r="G4" s="1344"/>
      <c r="H4" s="1344"/>
      <c r="I4" s="1344"/>
    </row>
    <row r="5" spans="1:9" s="1" customFormat="1" ht="9" customHeight="1">
      <c r="A5" s="6"/>
      <c r="B5" s="218" t="s">
        <v>224</v>
      </c>
      <c r="F5" s="219"/>
      <c r="I5" s="1271"/>
    </row>
    <row r="6" spans="1:9" s="1" customFormat="1" ht="19.5" customHeight="1" thickBot="1">
      <c r="A6" s="220"/>
      <c r="B6" s="221"/>
      <c r="C6" s="222"/>
      <c r="D6" s="1345" t="s">
        <v>155</v>
      </c>
      <c r="E6" s="1345"/>
      <c r="F6" s="1345"/>
      <c r="G6" s="1345"/>
      <c r="H6" s="1345"/>
      <c r="I6" s="1345"/>
    </row>
    <row r="7" spans="1:9" s="1" customFormat="1" ht="12.75" customHeight="1" thickBot="1">
      <c r="A7" s="1348" t="s">
        <v>156</v>
      </c>
      <c r="B7" s="1348"/>
      <c r="C7" s="1349" t="s">
        <v>225</v>
      </c>
      <c r="D7" s="1348" t="s">
        <v>158</v>
      </c>
      <c r="E7" s="1350" t="s">
        <v>159</v>
      </c>
      <c r="F7" s="1351" t="s">
        <v>226</v>
      </c>
      <c r="G7" s="1342" t="s">
        <v>201</v>
      </c>
      <c r="H7" s="1342" t="s">
        <v>162</v>
      </c>
      <c r="I7" s="1342" t="s">
        <v>905</v>
      </c>
    </row>
    <row r="8" spans="1:9" s="223" customFormat="1" ht="33" customHeight="1">
      <c r="A8" s="1348"/>
      <c r="B8" s="1348"/>
      <c r="C8" s="1349"/>
      <c r="D8" s="1348"/>
      <c r="E8" s="1350"/>
      <c r="F8" s="1351"/>
      <c r="G8" s="1342"/>
      <c r="H8" s="1342"/>
      <c r="I8" s="1342"/>
    </row>
    <row r="9" spans="1:9" s="1" customFormat="1" ht="12.75" customHeight="1" thickBot="1">
      <c r="A9" s="1346" t="s">
        <v>163</v>
      </c>
      <c r="B9" s="1346"/>
      <c r="C9" s="224" t="s">
        <v>164</v>
      </c>
      <c r="D9" s="225" t="s">
        <v>165</v>
      </c>
      <c r="E9" s="226" t="s">
        <v>166</v>
      </c>
      <c r="F9" s="227" t="s">
        <v>227</v>
      </c>
      <c r="G9" s="228" t="s">
        <v>168</v>
      </c>
      <c r="H9" s="228" t="s">
        <v>228</v>
      </c>
      <c r="I9" s="228" t="s">
        <v>688</v>
      </c>
    </row>
    <row r="10" spans="1:9" s="1" customFormat="1" ht="12.75" customHeight="1">
      <c r="A10" s="122" t="s">
        <v>38</v>
      </c>
      <c r="B10" s="229"/>
      <c r="C10" s="230" t="s">
        <v>229</v>
      </c>
      <c r="D10" s="231">
        <f>SUM('KV 1 mell'!D12)</f>
        <v>42735</v>
      </c>
      <c r="E10" s="139">
        <f>SUM('KV 1 mell'!E12)</f>
        <v>45062</v>
      </c>
      <c r="F10" s="232">
        <f>E10/D10</f>
        <v>1.0544518544518544</v>
      </c>
      <c r="G10" s="233">
        <f>SUM('KV 1 mell'!G12)</f>
        <v>45062</v>
      </c>
      <c r="H10" s="233">
        <f>SUM('KV 1 mell'!H12)</f>
        <v>49312</v>
      </c>
      <c r="I10" s="233">
        <f>SUM('KV 1 mell'!I12)</f>
        <v>41754</v>
      </c>
    </row>
    <row r="11" spans="1:9" s="1" customFormat="1" ht="21" customHeight="1">
      <c r="A11" s="77" t="s">
        <v>40</v>
      </c>
      <c r="B11" s="234"/>
      <c r="C11" s="235" t="s">
        <v>230</v>
      </c>
      <c r="D11" s="236">
        <f>SUM('KV 1 mell'!D17)</f>
        <v>168798</v>
      </c>
      <c r="E11" s="237">
        <f>SUM('KV 1 mell'!E17)</f>
        <v>142477</v>
      </c>
      <c r="F11" s="238">
        <f>E11/D11</f>
        <v>0.8440680576784085</v>
      </c>
      <c r="G11" s="239">
        <f>SUM('KV 1 mell'!G17)</f>
        <v>142477</v>
      </c>
      <c r="H11" s="239">
        <f>SUM('KV 1 mell'!H17)</f>
        <v>142477</v>
      </c>
      <c r="I11" s="239">
        <f>SUM('KV 1 mell'!I17)</f>
        <v>149880</v>
      </c>
    </row>
    <row r="12" spans="1:9" s="1" customFormat="1" ht="12.75" customHeight="1">
      <c r="A12" s="77" t="s">
        <v>47</v>
      </c>
      <c r="B12" s="234"/>
      <c r="C12" s="235" t="s">
        <v>231</v>
      </c>
      <c r="D12" s="236">
        <f>SUM('KV 1 mell'!D24)</f>
        <v>175920</v>
      </c>
      <c r="E12" s="237">
        <f>SUM('KV 1 mell'!E24)</f>
        <v>172951</v>
      </c>
      <c r="F12" s="238">
        <f>E12/D12</f>
        <v>0.9831230104592997</v>
      </c>
      <c r="G12" s="239">
        <f>SUM('KV 1 mell'!G24)</f>
        <v>174108</v>
      </c>
      <c r="H12" s="239">
        <f>SUM('KV 1 mell'!H24)</f>
        <v>174695</v>
      </c>
      <c r="I12" s="239">
        <f>SUM('KV 1 mell'!I24)</f>
        <v>185145</v>
      </c>
    </row>
    <row r="13" spans="1:9" s="1" customFormat="1" ht="12.75" customHeight="1">
      <c r="A13" s="77" t="s">
        <v>49</v>
      </c>
      <c r="B13" s="234"/>
      <c r="C13" s="235" t="s">
        <v>187</v>
      </c>
      <c r="D13" s="236">
        <f>SUM('KV 1 mell'!D29)</f>
        <v>52691</v>
      </c>
      <c r="E13" s="237">
        <f>SUM('KV 1 mell'!E29)</f>
        <v>51913</v>
      </c>
      <c r="F13" s="238">
        <f>E13/D13</f>
        <v>0.9852346700575051</v>
      </c>
      <c r="G13" s="239">
        <f>SUM('KV 1 mell'!G29)</f>
        <v>51913</v>
      </c>
      <c r="H13" s="239">
        <f>SUM('KV 1 mell'!H29)</f>
        <v>48038</v>
      </c>
      <c r="I13" s="239">
        <f>SUM('KV 1 mell'!I29)</f>
        <v>46378</v>
      </c>
    </row>
    <row r="14" spans="1:9" s="241" customFormat="1" ht="12.75" customHeight="1">
      <c r="A14" s="77" t="s">
        <v>51</v>
      </c>
      <c r="B14" s="234"/>
      <c r="C14" s="240" t="s">
        <v>232</v>
      </c>
      <c r="D14" s="236">
        <f>SUM('KV 1 mell'!D39)-30071</f>
        <v>44195</v>
      </c>
      <c r="E14" s="237">
        <v>10669</v>
      </c>
      <c r="F14" s="238">
        <f>E14/D14</f>
        <v>0.24140739902703925</v>
      </c>
      <c r="G14" s="239">
        <v>14626</v>
      </c>
      <c r="H14" s="239">
        <v>47026</v>
      </c>
      <c r="I14" s="239">
        <v>49942</v>
      </c>
    </row>
    <row r="15" spans="1:9" s="1" customFormat="1" ht="12.75" customHeight="1">
      <c r="A15" s="77" t="s">
        <v>53</v>
      </c>
      <c r="B15" s="234"/>
      <c r="C15" s="240" t="s">
        <v>233</v>
      </c>
      <c r="D15" s="236">
        <v>0</v>
      </c>
      <c r="E15" s="237">
        <v>0</v>
      </c>
      <c r="F15" s="238">
        <v>0</v>
      </c>
      <c r="G15" s="239">
        <v>0</v>
      </c>
      <c r="H15" s="239">
        <v>0</v>
      </c>
      <c r="I15" s="239">
        <v>0</v>
      </c>
    </row>
    <row r="16" spans="1:9" s="1" customFormat="1" ht="12.75" customHeight="1">
      <c r="A16" s="77" t="s">
        <v>55</v>
      </c>
      <c r="B16" s="234" t="s">
        <v>169</v>
      </c>
      <c r="C16" s="242" t="s">
        <v>234</v>
      </c>
      <c r="D16" s="243">
        <f>SUM(D10:D15)</f>
        <v>484339</v>
      </c>
      <c r="E16" s="244">
        <f>SUM(E10:E15)</f>
        <v>423072</v>
      </c>
      <c r="F16" s="238">
        <f aca="true" t="shared" si="0" ref="F16:F22">E16/D16</f>
        <v>0.8735038888051551</v>
      </c>
      <c r="G16" s="245">
        <f>SUM(G10:G15)</f>
        <v>428186</v>
      </c>
      <c r="H16" s="245">
        <f>SUM(H10:H15)</f>
        <v>461548</v>
      </c>
      <c r="I16" s="245">
        <f>SUM(I10:I15)</f>
        <v>473099</v>
      </c>
    </row>
    <row r="17" spans="1:9" s="1" customFormat="1" ht="12.75" customHeight="1">
      <c r="A17" s="77" t="s">
        <v>57</v>
      </c>
      <c r="B17" s="234"/>
      <c r="C17" s="246" t="s">
        <v>121</v>
      </c>
      <c r="D17" s="171">
        <f>SUM('ÖNK ÖSSZESITŐ'!E92)</f>
        <v>214160</v>
      </c>
      <c r="E17" s="172">
        <f>SUM('ÖNK ÖSSZESITŐ'!F92)</f>
        <v>212878</v>
      </c>
      <c r="F17" s="238">
        <f t="shared" si="0"/>
        <v>0.9940138214419126</v>
      </c>
      <c r="G17" s="173">
        <f>SUM('ÖNK ÖSSZESITŐ'!G92)</f>
        <v>213699</v>
      </c>
      <c r="H17" s="173">
        <f>SUM('ÖNK ÖSSZESITŐ'!H92)</f>
        <v>215164</v>
      </c>
      <c r="I17" s="1269">
        <f>SUM('ÖNK ÖSSZESITŐ'!I92)</f>
        <v>215804</v>
      </c>
    </row>
    <row r="18" spans="1:9" s="1" customFormat="1" ht="12.75" customHeight="1">
      <c r="A18" s="77" t="s">
        <v>86</v>
      </c>
      <c r="B18" s="234"/>
      <c r="C18" s="246" t="s">
        <v>235</v>
      </c>
      <c r="D18" s="171">
        <f>SUM('ÖNK ÖSSZESITŐ'!E93)</f>
        <v>56256</v>
      </c>
      <c r="E18" s="172">
        <f>SUM('ÖNK ÖSSZESITŐ'!F93)</f>
        <v>54992</v>
      </c>
      <c r="F18" s="238">
        <f t="shared" si="0"/>
        <v>0.9775312855517634</v>
      </c>
      <c r="G18" s="173">
        <f>SUM('ÖNK ÖSSZESITŐ'!G93)</f>
        <v>55258</v>
      </c>
      <c r="H18" s="173">
        <f>SUM('ÖNK ÖSSZESITŐ'!H93)</f>
        <v>55669</v>
      </c>
      <c r="I18" s="1269">
        <f>SUM('ÖNK ÖSSZESITŐ'!I93)</f>
        <v>55844</v>
      </c>
    </row>
    <row r="19" spans="1:9" s="1" customFormat="1" ht="12.75" customHeight="1">
      <c r="A19" s="77" t="s">
        <v>59</v>
      </c>
      <c r="B19" s="234"/>
      <c r="C19" s="246" t="s">
        <v>236</v>
      </c>
      <c r="D19" s="171">
        <f>SUM('ÖNK ÖSSZESITŐ'!E94)</f>
        <v>146344</v>
      </c>
      <c r="E19" s="172">
        <f>SUM('ÖNK ÖSSZESITŐ'!F94)</f>
        <v>119228</v>
      </c>
      <c r="F19" s="238">
        <f t="shared" si="0"/>
        <v>0.8147105450172197</v>
      </c>
      <c r="G19" s="173">
        <f>SUM('ÖNK ÖSSZESITŐ'!G94)</f>
        <v>120994</v>
      </c>
      <c r="H19" s="173">
        <f>SUM('ÖNK ÖSSZESITŐ'!H94)</f>
        <v>147606</v>
      </c>
      <c r="I19" s="1269">
        <f>SUM('ÖNK ÖSSZESITŐ'!I94)</f>
        <v>155798</v>
      </c>
    </row>
    <row r="20" spans="1:9" s="1" customFormat="1" ht="12.75" customHeight="1">
      <c r="A20" s="77" t="s">
        <v>61</v>
      </c>
      <c r="B20" s="234"/>
      <c r="C20" s="247" t="s">
        <v>237</v>
      </c>
      <c r="D20" s="236">
        <f>SUM('KV 1 mell'!D53)</f>
        <v>26400</v>
      </c>
      <c r="E20" s="237">
        <f>SUM('KV 1 mell'!E53)</f>
        <v>30664</v>
      </c>
      <c r="F20" s="238">
        <f t="shared" si="0"/>
        <v>1.1615151515151516</v>
      </c>
      <c r="G20" s="239">
        <f>SUM('KV 1 mell'!G53)</f>
        <v>30612</v>
      </c>
      <c r="H20" s="239">
        <f>SUM('KV 1 mell'!H53)</f>
        <v>32977</v>
      </c>
      <c r="I20" s="239">
        <f>SUM('KV 1 mell'!I53)</f>
        <v>33072</v>
      </c>
    </row>
    <row r="21" spans="1:9" s="1" customFormat="1" ht="12.75" customHeight="1">
      <c r="A21" s="77" t="s">
        <v>63</v>
      </c>
      <c r="B21" s="234"/>
      <c r="C21" s="248" t="s">
        <v>238</v>
      </c>
      <c r="D21" s="236">
        <f>SUM('KV 1 mell'!D54)</f>
        <v>4471</v>
      </c>
      <c r="E21" s="237">
        <f>SUM('KV 1 mell'!E54)</f>
        <v>3000</v>
      </c>
      <c r="F21" s="238">
        <f t="shared" si="0"/>
        <v>0.6709908297919929</v>
      </c>
      <c r="G21" s="239">
        <f>SUM('KV 1 mell'!G54)</f>
        <v>3000</v>
      </c>
      <c r="H21" s="239">
        <f>SUM('KV 1 mell'!H54)</f>
        <v>3000</v>
      </c>
      <c r="I21" s="239">
        <f>SUM('KV 1 mell'!I54)</f>
        <v>3000</v>
      </c>
    </row>
    <row r="22" spans="1:9" s="1" customFormat="1" ht="12.75" customHeight="1">
      <c r="A22" s="77" t="s">
        <v>65</v>
      </c>
      <c r="B22" s="234"/>
      <c r="C22" s="248" t="s">
        <v>239</v>
      </c>
      <c r="D22" s="171">
        <f>SUM('KV 1 mell'!D55)</f>
        <v>5432</v>
      </c>
      <c r="E22" s="172">
        <f>SUM('KV 1 mell'!E55)</f>
        <v>3210</v>
      </c>
      <c r="F22" s="249">
        <f t="shared" si="0"/>
        <v>0.5909425625920471</v>
      </c>
      <c r="G22" s="173">
        <f>SUM('KV 1 mell'!G55)</f>
        <v>3210</v>
      </c>
      <c r="H22" s="173">
        <f>SUM('KV 1 mell'!H55)</f>
        <v>3210</v>
      </c>
      <c r="I22" s="1269">
        <f>SUM('KV 1 mell'!I55)</f>
        <v>3274</v>
      </c>
    </row>
    <row r="23" spans="1:9" s="1" customFormat="1" ht="12.75" customHeight="1">
      <c r="A23" s="77" t="s">
        <v>92</v>
      </c>
      <c r="B23" s="234"/>
      <c r="C23" s="240" t="s">
        <v>150</v>
      </c>
      <c r="D23" s="236">
        <v>0</v>
      </c>
      <c r="E23" s="237">
        <v>0</v>
      </c>
      <c r="F23" s="249">
        <v>0</v>
      </c>
      <c r="G23" s="239">
        <v>0</v>
      </c>
      <c r="H23" s="239">
        <v>0</v>
      </c>
      <c r="I23" s="239">
        <v>0</v>
      </c>
    </row>
    <row r="24" spans="1:9" s="1" customFormat="1" ht="12.75" customHeight="1">
      <c r="A24" s="77" t="s">
        <v>99</v>
      </c>
      <c r="B24" s="234"/>
      <c r="C24" s="250" t="s">
        <v>240</v>
      </c>
      <c r="D24" s="251">
        <v>0</v>
      </c>
      <c r="E24" s="252">
        <v>0</v>
      </c>
      <c r="F24" s="249">
        <v>0</v>
      </c>
      <c r="G24" s="253">
        <v>59</v>
      </c>
      <c r="H24" s="253">
        <v>256</v>
      </c>
      <c r="I24" s="253">
        <v>256</v>
      </c>
    </row>
    <row r="25" spans="1:9" s="1" customFormat="1" ht="12.75" customHeight="1">
      <c r="A25" s="77" t="s">
        <v>66</v>
      </c>
      <c r="B25" s="234" t="s">
        <v>173</v>
      </c>
      <c r="C25" s="242" t="s">
        <v>241</v>
      </c>
      <c r="D25" s="181">
        <f>SUM(D17:D23)</f>
        <v>453063</v>
      </c>
      <c r="E25" s="88">
        <f>SUM(E17:E23)</f>
        <v>423972</v>
      </c>
      <c r="F25" s="249">
        <f aca="true" t="shared" si="1" ref="F25:F31">E25/D25</f>
        <v>0.9357903867674032</v>
      </c>
      <c r="G25" s="89">
        <f>SUM(G17:G24)</f>
        <v>426832</v>
      </c>
      <c r="H25" s="89">
        <f>SUM(H17:H24)</f>
        <v>457882</v>
      </c>
      <c r="I25" s="89">
        <f>SUM(I17:I24)</f>
        <v>467048</v>
      </c>
    </row>
    <row r="26" spans="1:9" s="1" customFormat="1" ht="12.75" customHeight="1">
      <c r="A26" s="77" t="s">
        <v>67</v>
      </c>
      <c r="B26" s="234"/>
      <c r="C26" s="240" t="s">
        <v>194</v>
      </c>
      <c r="D26" s="236">
        <f>SUM('KV 1 mell'!D37)</f>
        <v>10166</v>
      </c>
      <c r="E26" s="237">
        <f>SUM('KV 1 mell'!E37)</f>
        <v>6052</v>
      </c>
      <c r="F26" s="249">
        <f t="shared" si="1"/>
        <v>0.5953177257525084</v>
      </c>
      <c r="G26" s="239">
        <f>SUM('KV 1 mell'!G37)</f>
        <v>6052</v>
      </c>
      <c r="H26" s="239">
        <f>SUM('KV 1 mell'!H37)</f>
        <v>6052</v>
      </c>
      <c r="I26" s="239">
        <f>SUM('KV 1 mell'!I37)</f>
        <v>4153</v>
      </c>
    </row>
    <row r="27" spans="1:9" s="1" customFormat="1" ht="12.75" customHeight="1">
      <c r="A27" s="77" t="s">
        <v>68</v>
      </c>
      <c r="B27" s="234"/>
      <c r="C27" s="240" t="s">
        <v>195</v>
      </c>
      <c r="D27" s="236">
        <f>SUM('KV 1 mell'!D38)</f>
        <v>110000</v>
      </c>
      <c r="E27" s="237">
        <f>SUM('KV 1 mell'!E38)</f>
        <v>0</v>
      </c>
      <c r="F27" s="249">
        <f t="shared" si="1"/>
        <v>0</v>
      </c>
      <c r="G27" s="239">
        <f>SUM('KV 1 mell'!G38)</f>
        <v>0</v>
      </c>
      <c r="H27" s="239">
        <f>SUM('KV 1 mell'!H38)</f>
        <v>0</v>
      </c>
      <c r="I27" s="239">
        <f>SUM('KV 1 mell'!I38)</f>
        <v>0</v>
      </c>
    </row>
    <row r="28" spans="1:9" s="1" customFormat="1" ht="12.75" customHeight="1">
      <c r="A28" s="77" t="s">
        <v>70</v>
      </c>
      <c r="B28" s="234" t="s">
        <v>177</v>
      </c>
      <c r="C28" s="254" t="s">
        <v>242</v>
      </c>
      <c r="D28" s="181">
        <f>SUM(D26:D27)</f>
        <v>120166</v>
      </c>
      <c r="E28" s="88">
        <f>SUM(E26:E27)</f>
        <v>6052</v>
      </c>
      <c r="F28" s="249">
        <f t="shared" si="1"/>
        <v>0.050363663598688484</v>
      </c>
      <c r="G28" s="89">
        <f>SUM(G26:G27)</f>
        <v>6052</v>
      </c>
      <c r="H28" s="89">
        <f>SUM(H26:H27)</f>
        <v>6052</v>
      </c>
      <c r="I28" s="89">
        <f>SUM(I26:I27)</f>
        <v>4153</v>
      </c>
    </row>
    <row r="29" spans="1:9" s="1" customFormat="1" ht="27.75" customHeight="1">
      <c r="A29" s="77" t="s">
        <v>97</v>
      </c>
      <c r="B29" s="234"/>
      <c r="C29" s="255" t="s">
        <v>243</v>
      </c>
      <c r="D29" s="236">
        <f>SUM('KV 1 mell'!D64)</f>
        <v>9737</v>
      </c>
      <c r="E29" s="237">
        <f>SUM('KV 1 mell'!E64)</f>
        <v>6052</v>
      </c>
      <c r="F29" s="249">
        <f t="shared" si="1"/>
        <v>0.621546677621444</v>
      </c>
      <c r="G29" s="239">
        <f>SUM('KV 1 mell'!G64)</f>
        <v>7406</v>
      </c>
      <c r="H29" s="239">
        <f>SUM('KV 1 mell'!H64)</f>
        <v>9718</v>
      </c>
      <c r="I29" s="239">
        <f>SUM('KV 1 mell'!I64)</f>
        <v>10204</v>
      </c>
    </row>
    <row r="30" spans="1:9" s="1" customFormat="1" ht="12.75" customHeight="1">
      <c r="A30" s="77" t="s">
        <v>99</v>
      </c>
      <c r="B30" s="234"/>
      <c r="C30" s="250" t="s">
        <v>240</v>
      </c>
      <c r="D30" s="251">
        <f>SUM('KV 1 mell'!D56)</f>
        <v>3277</v>
      </c>
      <c r="E30" s="252">
        <f>SUM('KV 1 mell'!E56)</f>
        <v>0</v>
      </c>
      <c r="F30" s="249">
        <f t="shared" si="1"/>
        <v>0</v>
      </c>
      <c r="G30" s="253">
        <v>0</v>
      </c>
      <c r="H30" s="253">
        <v>0</v>
      </c>
      <c r="I30" s="253">
        <v>0</v>
      </c>
    </row>
    <row r="31" spans="1:9" s="1" customFormat="1" ht="12.75" customHeight="1">
      <c r="A31" s="77" t="s">
        <v>101</v>
      </c>
      <c r="B31" s="234"/>
      <c r="C31" s="246" t="s">
        <v>244</v>
      </c>
      <c r="D31" s="171">
        <f>SUM('KV 1 mell'!D65)</f>
        <v>110593</v>
      </c>
      <c r="E31" s="172">
        <f>SUM('KV 1 mell'!E65)</f>
        <v>0</v>
      </c>
      <c r="F31" s="249">
        <f t="shared" si="1"/>
        <v>0</v>
      </c>
      <c r="G31" s="173">
        <f>SUM('KV 1 mell'!G65)</f>
        <v>0</v>
      </c>
      <c r="H31" s="173">
        <f>SUM('KV 1 mell'!H65)</f>
        <v>0</v>
      </c>
      <c r="I31" s="1269">
        <f>SUM('KV 1 mell'!I65)</f>
        <v>0</v>
      </c>
    </row>
    <row r="32" spans="1:9" s="1" customFormat="1" ht="12.75" customHeight="1">
      <c r="A32" s="77" t="s">
        <v>103</v>
      </c>
      <c r="B32" s="234"/>
      <c r="C32" s="246" t="s">
        <v>245</v>
      </c>
      <c r="D32" s="171">
        <v>0</v>
      </c>
      <c r="E32" s="172">
        <v>12041</v>
      </c>
      <c r="F32" s="249">
        <v>0</v>
      </c>
      <c r="G32" s="173">
        <v>80000</v>
      </c>
      <c r="H32" s="173">
        <v>80000</v>
      </c>
      <c r="I32" s="1269">
        <v>80000</v>
      </c>
    </row>
    <row r="33" spans="1:9" s="1" customFormat="1" ht="12.75" customHeight="1">
      <c r="A33" s="77" t="s">
        <v>105</v>
      </c>
      <c r="B33" s="234" t="s">
        <v>179</v>
      </c>
      <c r="C33" s="86" t="s">
        <v>219</v>
      </c>
      <c r="D33" s="181">
        <f>SUM(D29:D31)</f>
        <v>123607</v>
      </c>
      <c r="E33" s="88">
        <f>SUM(E29:E32)</f>
        <v>18093</v>
      </c>
      <c r="F33" s="249">
        <f>E33/D33</f>
        <v>0.14637520528772643</v>
      </c>
      <c r="G33" s="89">
        <f>SUM(G29:G32)</f>
        <v>87406</v>
      </c>
      <c r="H33" s="89">
        <f>SUM(H29:H32)</f>
        <v>89718</v>
      </c>
      <c r="I33" s="89">
        <f>SUM(I29:I32)</f>
        <v>90204</v>
      </c>
    </row>
    <row r="34" spans="1:9" s="1" customFormat="1" ht="12.75" customHeight="1">
      <c r="A34" s="77" t="s">
        <v>107</v>
      </c>
      <c r="B34" s="234"/>
      <c r="C34" s="256" t="s">
        <v>106</v>
      </c>
      <c r="D34" s="257">
        <f>SUM('KV 1 mell'!D25)</f>
        <v>9241</v>
      </c>
      <c r="E34" s="258">
        <f>SUM('KV 1 mell'!E25)</f>
        <v>35000</v>
      </c>
      <c r="F34" s="249">
        <f>E34/D34</f>
        <v>3.7874688886484145</v>
      </c>
      <c r="G34" s="259">
        <f>SUM('KV 1 mell'!G25)</f>
        <v>60313</v>
      </c>
      <c r="H34" s="259">
        <f>SUM('KV 1 mell'!H25)</f>
        <v>60313</v>
      </c>
      <c r="I34" s="1272">
        <f>SUM('KV 1 mell'!I25)</f>
        <v>41468</v>
      </c>
    </row>
    <row r="35" spans="1:9" s="1" customFormat="1" ht="12.75" customHeight="1">
      <c r="A35" s="77" t="s">
        <v>109</v>
      </c>
      <c r="B35" s="234"/>
      <c r="C35" s="246" t="s">
        <v>246</v>
      </c>
      <c r="D35" s="171">
        <v>0</v>
      </c>
      <c r="E35" s="172"/>
      <c r="F35" s="249">
        <v>0</v>
      </c>
      <c r="G35" s="173"/>
      <c r="H35" s="173"/>
      <c r="I35" s="1269"/>
    </row>
    <row r="36" spans="1:9" s="1" customFormat="1" ht="12.75" customHeight="1">
      <c r="A36" s="77" t="s">
        <v>111</v>
      </c>
      <c r="B36" s="234"/>
      <c r="C36" s="246" t="s">
        <v>183</v>
      </c>
      <c r="D36" s="171">
        <v>295</v>
      </c>
      <c r="E36" s="172">
        <v>1205</v>
      </c>
      <c r="F36" s="249">
        <f>E36/D36</f>
        <v>4.084745762711864</v>
      </c>
      <c r="G36" s="173">
        <v>1205</v>
      </c>
      <c r="H36" s="173">
        <v>1605</v>
      </c>
      <c r="I36" s="1269">
        <v>68</v>
      </c>
    </row>
    <row r="37" spans="1:9" s="1" customFormat="1" ht="12.75" customHeight="1">
      <c r="A37" s="77" t="s">
        <v>113</v>
      </c>
      <c r="B37" s="234"/>
      <c r="C37" s="260" t="s">
        <v>247</v>
      </c>
      <c r="D37" s="171">
        <f>SUM('KV 1 mell'!D36)</f>
        <v>0</v>
      </c>
      <c r="E37" s="172">
        <f>SUM('KV 1 mell'!E36)</f>
        <v>90000</v>
      </c>
      <c r="F37" s="249">
        <v>0</v>
      </c>
      <c r="G37" s="173">
        <f>SUM('KV 1 mell'!G36)</f>
        <v>90000</v>
      </c>
      <c r="H37" s="173">
        <f>SUM('KV 1 mell'!H36)</f>
        <v>80000</v>
      </c>
      <c r="I37" s="1269">
        <f>SUM('KV 1 mell'!I36)</f>
        <v>80000</v>
      </c>
    </row>
    <row r="38" spans="1:9" s="1" customFormat="1" ht="12.75" customHeight="1">
      <c r="A38" s="77" t="s">
        <v>115</v>
      </c>
      <c r="B38" s="234"/>
      <c r="C38" s="246" t="s">
        <v>248</v>
      </c>
      <c r="D38" s="171">
        <v>0</v>
      </c>
      <c r="E38" s="172">
        <v>0</v>
      </c>
      <c r="F38" s="249">
        <v>0</v>
      </c>
      <c r="G38" s="173">
        <v>0</v>
      </c>
      <c r="H38" s="173">
        <v>0</v>
      </c>
      <c r="I38" s="1269">
        <v>0</v>
      </c>
    </row>
    <row r="39" spans="1:9" s="1" customFormat="1" ht="12.75" customHeight="1">
      <c r="A39" s="77" t="s">
        <v>117</v>
      </c>
      <c r="B39" s="234"/>
      <c r="C39" s="246" t="s">
        <v>181</v>
      </c>
      <c r="D39" s="171">
        <f>SUM('KV 1 mell'!D26)</f>
        <v>189812</v>
      </c>
      <c r="E39" s="172">
        <f>SUM('KV 1 mell'!E26)</f>
        <v>0</v>
      </c>
      <c r="F39" s="249">
        <f>E39/D39</f>
        <v>0</v>
      </c>
      <c r="G39" s="173">
        <f>SUM('KV 1 mell'!G26)</f>
        <v>80000</v>
      </c>
      <c r="H39" s="173">
        <f>SUM('KV 1 mell'!H26)</f>
        <v>80000</v>
      </c>
      <c r="I39" s="1269">
        <f>SUM('KV 1 mell'!I26)+805</f>
        <v>80805</v>
      </c>
    </row>
    <row r="40" spans="1:9" s="1" customFormat="1" ht="12.75" customHeight="1">
      <c r="A40" s="77" t="s">
        <v>118</v>
      </c>
      <c r="B40" s="261"/>
      <c r="C40" s="262" t="s">
        <v>249</v>
      </c>
      <c r="D40" s="263">
        <v>30071</v>
      </c>
      <c r="E40" s="264">
        <v>49490</v>
      </c>
      <c r="F40" s="249">
        <f>E40/D40</f>
        <v>1.6457716737055634</v>
      </c>
      <c r="G40" s="265">
        <v>45533</v>
      </c>
      <c r="H40" s="265">
        <v>13133</v>
      </c>
      <c r="I40" s="1273">
        <v>10617</v>
      </c>
    </row>
    <row r="41" spans="1:9" s="1" customFormat="1" ht="12.75" customHeight="1">
      <c r="A41" s="266" t="s">
        <v>120</v>
      </c>
      <c r="B41" s="85" t="s">
        <v>180</v>
      </c>
      <c r="C41" s="242" t="s">
        <v>250</v>
      </c>
      <c r="D41" s="181">
        <f>SUM(D34:D40)</f>
        <v>229419</v>
      </c>
      <c r="E41" s="88">
        <f>SUM(E34:E40)</f>
        <v>175695</v>
      </c>
      <c r="F41" s="249">
        <f>E41/D41</f>
        <v>0.7658258470309782</v>
      </c>
      <c r="G41" s="89">
        <f>SUM(G34:G40)</f>
        <v>277051</v>
      </c>
      <c r="H41" s="89">
        <f>SUM(H34:H40)</f>
        <v>235051</v>
      </c>
      <c r="I41" s="89">
        <f>SUM(I34:I40)</f>
        <v>212958</v>
      </c>
    </row>
    <row r="42" spans="1:9" s="1" customFormat="1" ht="12.75" customHeight="1">
      <c r="A42" s="77" t="s">
        <v>122</v>
      </c>
      <c r="B42" s="229"/>
      <c r="C42" s="267" t="s">
        <v>251</v>
      </c>
      <c r="D42" s="257">
        <f>SUM('KV 1 mell'!D62)</f>
        <v>235019</v>
      </c>
      <c r="E42" s="258">
        <f>SUM('KV 1 mell'!E62)</f>
        <v>127072</v>
      </c>
      <c r="F42" s="249">
        <f>E42/D42</f>
        <v>0.5406881996774728</v>
      </c>
      <c r="G42" s="259">
        <f>SUM('KV 1 mell'!G62)</f>
        <v>145331</v>
      </c>
      <c r="H42" s="259">
        <f>SUM('KV 1 mell'!H62)</f>
        <v>121325</v>
      </c>
      <c r="I42" s="1272">
        <f>SUM('KV 1 mell'!I62)</f>
        <v>98715</v>
      </c>
    </row>
    <row r="43" spans="1:9" s="1" customFormat="1" ht="12.75" customHeight="1">
      <c r="A43" s="77" t="s">
        <v>124</v>
      </c>
      <c r="B43" s="234"/>
      <c r="C43" s="246" t="s">
        <v>16</v>
      </c>
      <c r="D43" s="171">
        <v>21035</v>
      </c>
      <c r="E43" s="172">
        <f>SUM('21 céltartalék'!C38)</f>
        <v>36582</v>
      </c>
      <c r="F43" s="249">
        <f>E43/D43</f>
        <v>1.7391014975041597</v>
      </c>
      <c r="G43" s="173">
        <v>51720</v>
      </c>
      <c r="H43" s="173">
        <v>33726</v>
      </c>
      <c r="I43" s="1269">
        <v>33438</v>
      </c>
    </row>
    <row r="44" spans="1:9" s="1" customFormat="1" ht="12.75" customHeight="1">
      <c r="A44" s="129" t="s">
        <v>126</v>
      </c>
      <c r="B44" s="261"/>
      <c r="C44" s="268" t="s">
        <v>212</v>
      </c>
      <c r="D44" s="263">
        <v>1200</v>
      </c>
      <c r="E44" s="264">
        <v>0</v>
      </c>
      <c r="F44" s="269">
        <v>0</v>
      </c>
      <c r="G44" s="265">
        <v>0</v>
      </c>
      <c r="H44" s="265">
        <v>0</v>
      </c>
      <c r="I44" s="1273">
        <v>805</v>
      </c>
    </row>
    <row r="45" spans="1:9" s="1" customFormat="1" ht="12.75" customHeight="1" thickBot="1">
      <c r="A45" s="270" t="s">
        <v>128</v>
      </c>
      <c r="B45" s="271" t="s">
        <v>182</v>
      </c>
      <c r="C45" s="272" t="s">
        <v>252</v>
      </c>
      <c r="D45" s="273">
        <f>SUM(D42:D44)</f>
        <v>257254</v>
      </c>
      <c r="E45" s="97">
        <f>SUM(E42:E43)</f>
        <v>163654</v>
      </c>
      <c r="F45" s="274">
        <f>E45/D45</f>
        <v>0.6361572609172258</v>
      </c>
      <c r="G45" s="275">
        <f>SUM(G42:G43)</f>
        <v>197051</v>
      </c>
      <c r="H45" s="275">
        <f>SUM(H42:H43)</f>
        <v>155051</v>
      </c>
      <c r="I45" s="275">
        <f>SUM(I42:I44)</f>
        <v>132958</v>
      </c>
    </row>
    <row r="46" ht="12.75" customHeight="1">
      <c r="F46" s="276"/>
    </row>
    <row r="47" spans="1:9" s="1" customFormat="1" ht="12.75" customHeight="1">
      <c r="A47" s="277"/>
      <c r="B47" s="277"/>
      <c r="C47" s="277" t="s">
        <v>253</v>
      </c>
      <c r="D47" s="278">
        <f>SUM(D16+D28+D41)</f>
        <v>833924</v>
      </c>
      <c r="E47" s="278">
        <f>SUM(E16+E28+E41)</f>
        <v>604819</v>
      </c>
      <c r="F47" s="278">
        <v>0</v>
      </c>
      <c r="G47" s="278">
        <f>SUM(G16+G28+G41)</f>
        <v>711289</v>
      </c>
      <c r="H47" s="278">
        <f>SUM(H16+H28+H41)</f>
        <v>702651</v>
      </c>
      <c r="I47" s="278">
        <f>SUM(I16+I28+I41)</f>
        <v>690210</v>
      </c>
    </row>
    <row r="48" spans="1:9" s="1" customFormat="1" ht="12.75" customHeight="1">
      <c r="A48" s="277"/>
      <c r="B48" s="277"/>
      <c r="C48" s="277" t="s">
        <v>254</v>
      </c>
      <c r="D48" s="278">
        <f>SUM(D25+D33+D45)</f>
        <v>833924</v>
      </c>
      <c r="E48" s="278">
        <f>SUM(E25+E33+E45)</f>
        <v>605719</v>
      </c>
      <c r="F48" s="279">
        <v>0</v>
      </c>
      <c r="G48" s="278">
        <f>SUM(G25+G33+G45)</f>
        <v>711289</v>
      </c>
      <c r="H48" s="278">
        <f>SUM(H25+H33+H45)</f>
        <v>702651</v>
      </c>
      <c r="I48" s="278">
        <f>SUM(I25+I33+I45)</f>
        <v>690210</v>
      </c>
    </row>
  </sheetData>
  <sheetProtection selectLockedCells="1" selectUnlockedCells="1"/>
  <mergeCells count="14">
    <mergeCell ref="A9:B9"/>
    <mergeCell ref="A7:B8"/>
    <mergeCell ref="C7:C8"/>
    <mergeCell ref="D7:D8"/>
    <mergeCell ref="E7:E8"/>
    <mergeCell ref="F7:F8"/>
    <mergeCell ref="A3:I3"/>
    <mergeCell ref="I7:I8"/>
    <mergeCell ref="A1:I1"/>
    <mergeCell ref="A2:I2"/>
    <mergeCell ref="A4:I4"/>
    <mergeCell ref="D6:I6"/>
    <mergeCell ref="G7:G8"/>
    <mergeCell ref="H7:H8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46"/>
  <sheetViews>
    <sheetView showGridLines="0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D30" sqref="D30"/>
    </sheetView>
  </sheetViews>
  <sheetFormatPr defaultColWidth="11.7109375" defaultRowHeight="12.75" customHeight="1"/>
  <cols>
    <col min="1" max="2" width="3.8515625" style="56" customWidth="1"/>
    <col min="3" max="3" width="31.57421875" style="56" customWidth="1"/>
    <col min="4" max="5" width="11.7109375" style="56" customWidth="1"/>
    <col min="6" max="6" width="13.7109375" style="216" customWidth="1"/>
    <col min="7" max="7" width="11.7109375" style="56" customWidth="1"/>
    <col min="8" max="8" width="12.140625" style="56" customWidth="1"/>
    <col min="9" max="9" width="11.140625" style="1274" customWidth="1"/>
    <col min="10" max="16384" width="11.7109375" style="56" customWidth="1"/>
  </cols>
  <sheetData>
    <row r="1" spans="1:9" s="217" customFormat="1" ht="18" customHeight="1">
      <c r="A1" s="1343" t="s">
        <v>255</v>
      </c>
      <c r="B1" s="1343"/>
      <c r="C1" s="1343"/>
      <c r="D1" s="1343"/>
      <c r="E1" s="1343"/>
      <c r="F1" s="1343"/>
      <c r="G1" s="1343"/>
      <c r="H1" s="1343"/>
      <c r="I1" s="1343"/>
    </row>
    <row r="2" spans="1:9" ht="19.5" customHeight="1">
      <c r="A2" s="1357" t="s">
        <v>938</v>
      </c>
      <c r="B2" s="1357"/>
      <c r="C2" s="1357"/>
      <c r="D2" s="1357"/>
      <c r="E2" s="1357"/>
      <c r="F2" s="1357"/>
      <c r="G2" s="1357"/>
      <c r="H2" s="1357"/>
      <c r="I2" s="1357"/>
    </row>
    <row r="3" spans="1:9" ht="15" customHeight="1">
      <c r="A3" s="1353" t="s">
        <v>941</v>
      </c>
      <c r="B3" s="1353"/>
      <c r="C3" s="1353"/>
      <c r="D3" s="1353"/>
      <c r="E3" s="1353"/>
      <c r="F3" s="1353"/>
      <c r="G3" s="1353"/>
      <c r="H3" s="1353"/>
      <c r="I3" s="1353"/>
    </row>
    <row r="4" spans="1:6" ht="6.75" customHeight="1">
      <c r="A4" s="1354"/>
      <c r="B4" s="1354"/>
      <c r="C4" s="1354"/>
      <c r="D4" s="1354"/>
      <c r="E4" s="1354"/>
      <c r="F4" s="1354"/>
    </row>
    <row r="5" spans="1:9" s="280" customFormat="1" ht="12.75" customHeight="1">
      <c r="A5" s="1356" t="s">
        <v>256</v>
      </c>
      <c r="B5" s="1356"/>
      <c r="C5" s="1356"/>
      <c r="D5" s="1356"/>
      <c r="E5" s="1356"/>
      <c r="F5" s="1356"/>
      <c r="G5" s="1356"/>
      <c r="H5" s="1356"/>
      <c r="I5" s="1356"/>
    </row>
    <row r="6" spans="1:9" s="280" customFormat="1" ht="12.75" customHeight="1">
      <c r="A6" s="1356"/>
      <c r="B6" s="1356"/>
      <c r="C6" s="1356"/>
      <c r="D6" s="1356"/>
      <c r="E6" s="1356"/>
      <c r="F6" s="1356"/>
      <c r="G6" s="1356"/>
      <c r="H6" s="1356"/>
      <c r="I6" s="1356"/>
    </row>
    <row r="7" spans="2:9" s="280" customFormat="1" ht="21.75" customHeight="1">
      <c r="B7" s="281"/>
      <c r="D7" s="282"/>
      <c r="E7" s="282"/>
      <c r="G7" s="282"/>
      <c r="H7" s="282"/>
      <c r="I7" s="1275"/>
    </row>
    <row r="8" spans="1:9" s="280" customFormat="1" ht="13.5" customHeight="1" thickBot="1">
      <c r="A8" s="283"/>
      <c r="B8" s="284"/>
      <c r="C8" s="1355" t="s">
        <v>155</v>
      </c>
      <c r="D8" s="1355"/>
      <c r="E8" s="1355"/>
      <c r="F8" s="1355"/>
      <c r="G8" s="1355"/>
      <c r="H8" s="1355"/>
      <c r="I8" s="1355"/>
    </row>
    <row r="9" spans="1:9" s="280" customFormat="1" ht="63.75" customHeight="1" thickBot="1">
      <c r="A9" s="1352" t="s">
        <v>156</v>
      </c>
      <c r="B9" s="1352"/>
      <c r="C9" s="285" t="s">
        <v>157</v>
      </c>
      <c r="D9" s="286" t="s">
        <v>158</v>
      </c>
      <c r="E9" s="287" t="s">
        <v>159</v>
      </c>
      <c r="F9" s="288" t="s">
        <v>257</v>
      </c>
      <c r="G9" s="289" t="s">
        <v>201</v>
      </c>
      <c r="H9" s="289" t="s">
        <v>162</v>
      </c>
      <c r="I9" s="1276" t="s">
        <v>905</v>
      </c>
    </row>
    <row r="10" spans="1:9" s="280" customFormat="1" ht="12.75" customHeight="1" thickBot="1">
      <c r="A10" s="1352"/>
      <c r="B10" s="1352"/>
      <c r="C10" s="290" t="s">
        <v>163</v>
      </c>
      <c r="D10" s="291" t="s">
        <v>164</v>
      </c>
      <c r="E10" s="292" t="s">
        <v>165</v>
      </c>
      <c r="F10" s="293" t="s">
        <v>166</v>
      </c>
      <c r="G10" s="294" t="s">
        <v>167</v>
      </c>
      <c r="H10" s="294" t="s">
        <v>168</v>
      </c>
      <c r="I10" s="1277" t="s">
        <v>228</v>
      </c>
    </row>
    <row r="11" spans="1:9" s="280" customFormat="1" ht="12.75" customHeight="1">
      <c r="A11" s="295" t="s">
        <v>38</v>
      </c>
      <c r="B11" s="296"/>
      <c r="C11" s="297" t="s">
        <v>170</v>
      </c>
      <c r="D11" s="298">
        <v>39732</v>
      </c>
      <c r="E11" s="299">
        <v>42002</v>
      </c>
      <c r="F11" s="300">
        <f aca="true" t="shared" si="0" ref="F11:F17">E11/D11</f>
        <v>1.0571327896909293</v>
      </c>
      <c r="G11" s="301">
        <v>42002</v>
      </c>
      <c r="H11" s="301">
        <v>46252</v>
      </c>
      <c r="I11" s="1278">
        <v>39354</v>
      </c>
    </row>
    <row r="12" spans="1:9" s="280" customFormat="1" ht="12.75" customHeight="1">
      <c r="A12" s="302" t="s">
        <v>40</v>
      </c>
      <c r="B12" s="303"/>
      <c r="C12" s="304" t="s">
        <v>171</v>
      </c>
      <c r="D12" s="305">
        <v>2360</v>
      </c>
      <c r="E12" s="20">
        <v>2360</v>
      </c>
      <c r="F12" s="306">
        <f t="shared" si="0"/>
        <v>1</v>
      </c>
      <c r="G12" s="307">
        <v>2360</v>
      </c>
      <c r="H12" s="307">
        <v>2360</v>
      </c>
      <c r="I12" s="1279">
        <v>2360</v>
      </c>
    </row>
    <row r="13" spans="1:9" s="280" customFormat="1" ht="12.75" customHeight="1">
      <c r="A13" s="302" t="s">
        <v>47</v>
      </c>
      <c r="B13" s="303"/>
      <c r="C13" s="304" t="s">
        <v>172</v>
      </c>
      <c r="D13" s="305">
        <v>643</v>
      </c>
      <c r="E13" s="20">
        <v>700</v>
      </c>
      <c r="F13" s="306">
        <f t="shared" si="0"/>
        <v>1.088646967340591</v>
      </c>
      <c r="G13" s="307">
        <v>700</v>
      </c>
      <c r="H13" s="307">
        <v>700</v>
      </c>
      <c r="I13" s="1279">
        <v>40</v>
      </c>
    </row>
    <row r="14" spans="1:9" s="280" customFormat="1" ht="12.75" customHeight="1">
      <c r="A14" s="308" t="s">
        <v>49</v>
      </c>
      <c r="B14" s="309"/>
      <c r="C14" s="310" t="s">
        <v>234</v>
      </c>
      <c r="D14" s="311">
        <f>SUM(D11:D13)</f>
        <v>42735</v>
      </c>
      <c r="E14" s="312">
        <f>SUM(E11:E13)</f>
        <v>45062</v>
      </c>
      <c r="F14" s="313">
        <f t="shared" si="0"/>
        <v>1.0544518544518544</v>
      </c>
      <c r="G14" s="314">
        <f>SUM(G11:G13)</f>
        <v>45062</v>
      </c>
      <c r="H14" s="314">
        <f>SUM(H11:H13)</f>
        <v>49312</v>
      </c>
      <c r="I14" s="1280">
        <f>SUM(I11:I13)</f>
        <v>41754</v>
      </c>
    </row>
    <row r="15" spans="1:9" s="6" customFormat="1" ht="12.75" customHeight="1">
      <c r="A15" s="302" t="s">
        <v>51</v>
      </c>
      <c r="B15" s="303" t="s">
        <v>38</v>
      </c>
      <c r="C15" s="304" t="s">
        <v>39</v>
      </c>
      <c r="D15" s="315">
        <v>159411</v>
      </c>
      <c r="E15" s="316">
        <v>132784</v>
      </c>
      <c r="F15" s="317">
        <f t="shared" si="0"/>
        <v>0.8329663574031905</v>
      </c>
      <c r="G15" s="318">
        <v>132784</v>
      </c>
      <c r="H15" s="318">
        <v>132784</v>
      </c>
      <c r="I15" s="1279">
        <v>140187</v>
      </c>
    </row>
    <row r="16" spans="1:9" s="280" customFormat="1" ht="12.75" customHeight="1">
      <c r="A16" s="302" t="s">
        <v>53</v>
      </c>
      <c r="B16" s="303"/>
      <c r="C16" s="304" t="s">
        <v>258</v>
      </c>
      <c r="D16" s="305">
        <v>8072</v>
      </c>
      <c r="E16" s="20">
        <v>8378</v>
      </c>
      <c r="F16" s="317">
        <f t="shared" si="0"/>
        <v>1.0379088206144698</v>
      </c>
      <c r="G16" s="307">
        <v>8378</v>
      </c>
      <c r="H16" s="307">
        <v>8378</v>
      </c>
      <c r="I16" s="1279">
        <v>8378</v>
      </c>
    </row>
    <row r="17" spans="1:9" s="280" customFormat="1" ht="12.75" customHeight="1">
      <c r="A17" s="302" t="s">
        <v>55</v>
      </c>
      <c r="B17" s="303"/>
      <c r="C17" s="304" t="s">
        <v>96</v>
      </c>
      <c r="D17" s="305">
        <v>315</v>
      </c>
      <c r="E17" s="20">
        <v>315</v>
      </c>
      <c r="F17" s="317">
        <f t="shared" si="0"/>
        <v>1</v>
      </c>
      <c r="G17" s="307">
        <v>315</v>
      </c>
      <c r="H17" s="307">
        <v>315</v>
      </c>
      <c r="I17" s="1279">
        <v>315</v>
      </c>
    </row>
    <row r="18" spans="1:9" s="280" customFormat="1" ht="12.75" customHeight="1">
      <c r="A18" s="319" t="s">
        <v>57</v>
      </c>
      <c r="B18" s="303"/>
      <c r="C18" s="304" t="s">
        <v>175</v>
      </c>
      <c r="D18" s="305">
        <v>0</v>
      </c>
      <c r="E18" s="20">
        <v>0</v>
      </c>
      <c r="F18" s="317">
        <v>0</v>
      </c>
      <c r="G18" s="307">
        <v>0</v>
      </c>
      <c r="H18" s="307">
        <v>0</v>
      </c>
      <c r="I18" s="1279">
        <v>0</v>
      </c>
    </row>
    <row r="19" spans="1:9" s="280" customFormat="1" ht="12.75" customHeight="1">
      <c r="A19" s="319" t="s">
        <v>86</v>
      </c>
      <c r="B19" s="303"/>
      <c r="C19" s="304" t="s">
        <v>176</v>
      </c>
      <c r="D19" s="305">
        <v>1000</v>
      </c>
      <c r="E19" s="20">
        <v>1000</v>
      </c>
      <c r="F19" s="306">
        <f>E19/D19</f>
        <v>1</v>
      </c>
      <c r="G19" s="307">
        <v>1000</v>
      </c>
      <c r="H19" s="307">
        <v>1000</v>
      </c>
      <c r="I19" s="1279">
        <v>1000</v>
      </c>
    </row>
    <row r="20" spans="1:9" s="280" customFormat="1" ht="24" customHeight="1">
      <c r="A20" s="308" t="s">
        <v>59</v>
      </c>
      <c r="B20" s="309"/>
      <c r="C20" s="320" t="s">
        <v>259</v>
      </c>
      <c r="D20" s="311">
        <f>SUM(D15:D19)</f>
        <v>168798</v>
      </c>
      <c r="E20" s="312">
        <f>SUM(E15:E19)</f>
        <v>142477</v>
      </c>
      <c r="F20" s="313">
        <f>E20/D20</f>
        <v>0.8440680576784085</v>
      </c>
      <c r="G20" s="314">
        <f>SUM(G15:G19)</f>
        <v>142477</v>
      </c>
      <c r="H20" s="314">
        <f>SUM(H15:H19)</f>
        <v>142477</v>
      </c>
      <c r="I20" s="1280">
        <f>SUM(I15:I19)</f>
        <v>149880</v>
      </c>
    </row>
    <row r="21" spans="1:9" s="280" customFormat="1" ht="12.75" customHeight="1">
      <c r="A21" s="302" t="s">
        <v>61</v>
      </c>
      <c r="B21" s="303"/>
      <c r="C21" s="304" t="s">
        <v>260</v>
      </c>
      <c r="D21" s="305">
        <v>175920</v>
      </c>
      <c r="E21" s="20">
        <v>172951</v>
      </c>
      <c r="F21" s="306">
        <f>E21/D21</f>
        <v>0.9831230104592997</v>
      </c>
      <c r="G21" s="307">
        <v>174108</v>
      </c>
      <c r="H21" s="307">
        <v>174695</v>
      </c>
      <c r="I21" s="1279">
        <v>185145</v>
      </c>
    </row>
    <row r="22" spans="1:9" s="280" customFormat="1" ht="12.75" customHeight="1">
      <c r="A22" s="302" t="s">
        <v>63</v>
      </c>
      <c r="B22" s="303"/>
      <c r="C22" s="304" t="s">
        <v>261</v>
      </c>
      <c r="D22" s="305"/>
      <c r="E22" s="20"/>
      <c r="F22" s="306"/>
      <c r="G22" s="307"/>
      <c r="H22" s="307"/>
      <c r="I22" s="1279"/>
    </row>
    <row r="23" spans="1:9" s="280" customFormat="1" ht="12.75" customHeight="1">
      <c r="A23" s="302" t="s">
        <v>65</v>
      </c>
      <c r="B23" s="303"/>
      <c r="C23" s="304" t="s">
        <v>262</v>
      </c>
      <c r="D23" s="305"/>
      <c r="E23" s="20"/>
      <c r="F23" s="306"/>
      <c r="G23" s="307"/>
      <c r="H23" s="307"/>
      <c r="I23" s="1279"/>
    </row>
    <row r="24" spans="1:9" s="280" customFormat="1" ht="12.75" customHeight="1">
      <c r="A24" s="302" t="s">
        <v>92</v>
      </c>
      <c r="B24" s="303"/>
      <c r="C24" s="304" t="s">
        <v>263</v>
      </c>
      <c r="D24" s="305"/>
      <c r="E24" s="20"/>
      <c r="F24" s="306"/>
      <c r="G24" s="307"/>
      <c r="H24" s="307"/>
      <c r="I24" s="1279"/>
    </row>
    <row r="25" spans="1:9" s="280" customFormat="1" ht="12.75" customHeight="1">
      <c r="A25" s="321" t="s">
        <v>66</v>
      </c>
      <c r="B25" s="322"/>
      <c r="C25" s="323" t="s">
        <v>264</v>
      </c>
      <c r="D25" s="324">
        <f>SUM(D21:D24)</f>
        <v>175920</v>
      </c>
      <c r="E25" s="15">
        <f>SUM(E21:E24)</f>
        <v>172951</v>
      </c>
      <c r="F25" s="313">
        <f>E25/D25</f>
        <v>0.9831230104592997</v>
      </c>
      <c r="G25" s="325">
        <f>SUM(G21:G24)</f>
        <v>174108</v>
      </c>
      <c r="H25" s="325">
        <f>SUM(H21:H24)</f>
        <v>174695</v>
      </c>
      <c r="I25" s="1281">
        <f>SUM(I21:I24)</f>
        <v>185145</v>
      </c>
    </row>
    <row r="26" spans="1:9" s="280" customFormat="1" ht="12.75" customHeight="1">
      <c r="A26" s="326" t="s">
        <v>67</v>
      </c>
      <c r="B26" s="327" t="s">
        <v>179</v>
      </c>
      <c r="C26" s="328" t="s">
        <v>106</v>
      </c>
      <c r="D26" s="305"/>
      <c r="E26" s="20"/>
      <c r="F26" s="306"/>
      <c r="G26" s="307"/>
      <c r="H26" s="307"/>
      <c r="I26" s="1279"/>
    </row>
    <row r="27" spans="1:9" s="280" customFormat="1" ht="12.75" customHeight="1">
      <c r="A27" s="302" t="s">
        <v>68</v>
      </c>
      <c r="B27" s="303"/>
      <c r="C27" s="304" t="s">
        <v>265</v>
      </c>
      <c r="D27" s="305">
        <v>9241</v>
      </c>
      <c r="E27" s="20">
        <v>35000</v>
      </c>
      <c r="F27" s="306">
        <f aca="true" t="shared" si="1" ref="F27:F36">E27/D27</f>
        <v>3.7874688886484145</v>
      </c>
      <c r="G27" s="307">
        <v>60313</v>
      </c>
      <c r="H27" s="307">
        <v>60313</v>
      </c>
      <c r="I27" s="1279">
        <v>41468</v>
      </c>
    </row>
    <row r="28" spans="1:9" s="280" customFormat="1" ht="12.75" customHeight="1">
      <c r="A28" s="302" t="s">
        <v>70</v>
      </c>
      <c r="B28" s="303"/>
      <c r="C28" s="304" t="s">
        <v>266</v>
      </c>
      <c r="D28" s="305">
        <v>189812</v>
      </c>
      <c r="E28" s="20">
        <v>0</v>
      </c>
      <c r="F28" s="306">
        <f t="shared" si="1"/>
        <v>0</v>
      </c>
      <c r="G28" s="307">
        <v>0</v>
      </c>
      <c r="H28" s="307">
        <v>0</v>
      </c>
      <c r="I28" s="1279">
        <v>0</v>
      </c>
    </row>
    <row r="29" spans="1:9" s="280" customFormat="1" ht="12.75" customHeight="1">
      <c r="A29" s="319" t="s">
        <v>97</v>
      </c>
      <c r="B29" s="303"/>
      <c r="C29" s="304" t="s">
        <v>267</v>
      </c>
      <c r="D29" s="305">
        <v>30288</v>
      </c>
      <c r="E29" s="20">
        <v>49490</v>
      </c>
      <c r="F29" s="306">
        <f t="shared" si="1"/>
        <v>1.6339804543053353</v>
      </c>
      <c r="G29" s="307">
        <v>45533</v>
      </c>
      <c r="H29" s="307">
        <v>13133</v>
      </c>
      <c r="I29" s="1279">
        <v>10217</v>
      </c>
    </row>
    <row r="30" spans="1:9" s="280" customFormat="1" ht="12.75" customHeight="1">
      <c r="A30" s="321" t="s">
        <v>99</v>
      </c>
      <c r="B30" s="322"/>
      <c r="C30" s="323" t="s">
        <v>25</v>
      </c>
      <c r="D30" s="324">
        <f>SUM(D27:D29)</f>
        <v>229341</v>
      </c>
      <c r="E30" s="15">
        <f>SUM(E27:E29)</f>
        <v>84490</v>
      </c>
      <c r="F30" s="313">
        <f t="shared" si="1"/>
        <v>0.3684033818636877</v>
      </c>
      <c r="G30" s="325">
        <f>SUM(G27:G29)</f>
        <v>105846</v>
      </c>
      <c r="H30" s="325">
        <f>SUM(H27:H29)</f>
        <v>73446</v>
      </c>
      <c r="I30" s="1281">
        <f>SUM(I27:I29)</f>
        <v>51685</v>
      </c>
    </row>
    <row r="31" spans="1:9" s="280" customFormat="1" ht="12.75" customHeight="1">
      <c r="A31" s="329" t="s">
        <v>101</v>
      </c>
      <c r="B31" s="322" t="s">
        <v>180</v>
      </c>
      <c r="C31" s="330" t="s">
        <v>183</v>
      </c>
      <c r="D31" s="324">
        <v>295</v>
      </c>
      <c r="E31" s="15">
        <v>1205</v>
      </c>
      <c r="F31" s="313">
        <f t="shared" si="1"/>
        <v>4.084745762711864</v>
      </c>
      <c r="G31" s="325">
        <v>1205</v>
      </c>
      <c r="H31" s="325">
        <v>1605</v>
      </c>
      <c r="I31" s="1281">
        <v>468</v>
      </c>
    </row>
    <row r="32" spans="1:9" s="280" customFormat="1" ht="12.75" customHeight="1">
      <c r="A32" s="326" t="s">
        <v>103</v>
      </c>
      <c r="B32" s="327" t="s">
        <v>182</v>
      </c>
      <c r="C32" s="331" t="s">
        <v>187</v>
      </c>
      <c r="D32" s="332">
        <f>SUM(D33:D37)</f>
        <v>52538</v>
      </c>
      <c r="E32" s="13">
        <f>SUM(E33:E37)</f>
        <v>47788</v>
      </c>
      <c r="F32" s="333">
        <f t="shared" si="1"/>
        <v>0.9095892496859416</v>
      </c>
      <c r="G32" s="334">
        <f>SUM(G33:G38)</f>
        <v>127788</v>
      </c>
      <c r="H32" s="334">
        <f>SUM(H33:H38)</f>
        <v>127018</v>
      </c>
      <c r="I32" s="1282">
        <f>SUM(I33:I39)</f>
        <v>126212</v>
      </c>
    </row>
    <row r="33" spans="1:9" s="280" customFormat="1" ht="12.75" customHeight="1">
      <c r="A33" s="302" t="s">
        <v>105</v>
      </c>
      <c r="B33" s="335"/>
      <c r="C33" s="304" t="s">
        <v>268</v>
      </c>
      <c r="D33" s="305">
        <v>34550</v>
      </c>
      <c r="E33" s="20">
        <v>33500</v>
      </c>
      <c r="F33" s="306">
        <f t="shared" si="1"/>
        <v>0.9696092619392185</v>
      </c>
      <c r="G33" s="307">
        <v>33500</v>
      </c>
      <c r="H33" s="307">
        <v>32730</v>
      </c>
      <c r="I33" s="1279">
        <v>31199</v>
      </c>
    </row>
    <row r="34" spans="1:9" s="280" customFormat="1" ht="12.75" customHeight="1">
      <c r="A34" s="302" t="s">
        <v>107</v>
      </c>
      <c r="B34" s="335"/>
      <c r="C34" s="304" t="s">
        <v>269</v>
      </c>
      <c r="D34" s="305">
        <v>14071</v>
      </c>
      <c r="E34" s="20">
        <v>14288</v>
      </c>
      <c r="F34" s="306">
        <f t="shared" si="1"/>
        <v>1.0154217894961268</v>
      </c>
      <c r="G34" s="307">
        <v>14288</v>
      </c>
      <c r="H34" s="307">
        <v>14288</v>
      </c>
      <c r="I34" s="1279">
        <v>13237</v>
      </c>
    </row>
    <row r="35" spans="1:9" s="280" customFormat="1" ht="12.75" customHeight="1">
      <c r="A35" s="302" t="s">
        <v>109</v>
      </c>
      <c r="B35" s="335"/>
      <c r="C35" s="304" t="s">
        <v>270</v>
      </c>
      <c r="D35" s="305">
        <v>3040</v>
      </c>
      <c r="E35" s="20"/>
      <c r="F35" s="306">
        <f t="shared" si="1"/>
        <v>0</v>
      </c>
      <c r="G35" s="307"/>
      <c r="H35" s="307"/>
      <c r="I35" s="1279">
        <v>20</v>
      </c>
    </row>
    <row r="36" spans="1:9" s="280" customFormat="1" ht="12.75" customHeight="1">
      <c r="A36" s="302" t="s">
        <v>111</v>
      </c>
      <c r="B36" s="335"/>
      <c r="C36" s="304" t="s">
        <v>271</v>
      </c>
      <c r="D36" s="305">
        <v>877</v>
      </c>
      <c r="E36" s="20"/>
      <c r="F36" s="306">
        <f t="shared" si="1"/>
        <v>0</v>
      </c>
      <c r="G36" s="307"/>
      <c r="H36" s="307"/>
      <c r="I36" s="1279">
        <v>951</v>
      </c>
    </row>
    <row r="37" spans="1:9" s="280" customFormat="1" ht="12.75" customHeight="1">
      <c r="A37" s="302" t="s">
        <v>113</v>
      </c>
      <c r="B37" s="335"/>
      <c r="C37" s="304" t="s">
        <v>272</v>
      </c>
      <c r="D37" s="305"/>
      <c r="E37" s="20"/>
      <c r="F37" s="306"/>
      <c r="G37" s="307"/>
      <c r="H37" s="307"/>
      <c r="I37" s="1279"/>
    </row>
    <row r="38" spans="1:9" s="280" customFormat="1" ht="12.75" customHeight="1">
      <c r="A38" s="302" t="s">
        <v>115</v>
      </c>
      <c r="B38" s="335"/>
      <c r="C38" s="304" t="s">
        <v>266</v>
      </c>
      <c r="D38" s="305"/>
      <c r="E38" s="20"/>
      <c r="F38" s="306"/>
      <c r="G38" s="307">
        <v>80000</v>
      </c>
      <c r="H38" s="307">
        <v>80000</v>
      </c>
      <c r="I38" s="1279">
        <v>80000</v>
      </c>
    </row>
    <row r="39" spans="1:9" s="280" customFormat="1" ht="12.75" customHeight="1">
      <c r="A39" s="302"/>
      <c r="B39" s="335"/>
      <c r="C39" s="304" t="s">
        <v>934</v>
      </c>
      <c r="D39" s="305">
        <v>0</v>
      </c>
      <c r="E39" s="20">
        <v>0</v>
      </c>
      <c r="F39" s="306">
        <v>0</v>
      </c>
      <c r="G39" s="307">
        <v>0</v>
      </c>
      <c r="H39" s="307">
        <v>0</v>
      </c>
      <c r="I39" s="1279">
        <v>805</v>
      </c>
    </row>
    <row r="40" spans="1:9" s="337" customFormat="1" ht="12.75" customHeight="1">
      <c r="A40" s="326" t="s">
        <v>117</v>
      </c>
      <c r="B40" s="336"/>
      <c r="C40" s="328" t="s">
        <v>273</v>
      </c>
      <c r="D40" s="332">
        <f>SUM(153)</f>
        <v>153</v>
      </c>
      <c r="E40" s="13">
        <v>4125</v>
      </c>
      <c r="F40" s="333">
        <f>E40/D40</f>
        <v>26.96078431372549</v>
      </c>
      <c r="G40" s="334">
        <v>4125</v>
      </c>
      <c r="H40" s="334">
        <v>1020</v>
      </c>
      <c r="I40" s="1282">
        <v>971</v>
      </c>
    </row>
    <row r="41" spans="1:9" s="280" customFormat="1" ht="12.75" customHeight="1">
      <c r="A41" s="321" t="s">
        <v>122</v>
      </c>
      <c r="B41" s="322"/>
      <c r="C41" s="323" t="s">
        <v>274</v>
      </c>
      <c r="D41" s="324">
        <f>SUM(D33:D40)</f>
        <v>52691</v>
      </c>
      <c r="E41" s="15">
        <f>SUM(E33:E40)</f>
        <v>51913</v>
      </c>
      <c r="F41" s="313">
        <f>E41/D41</f>
        <v>0.9852346700575051</v>
      </c>
      <c r="G41" s="325">
        <f>SUM(G33:G40)</f>
        <v>131913</v>
      </c>
      <c r="H41" s="325">
        <f>SUM(H33:H40)</f>
        <v>128038</v>
      </c>
      <c r="I41" s="1281">
        <f>SUM(I32+I40)</f>
        <v>127183</v>
      </c>
    </row>
    <row r="42" spans="1:9" s="337" customFormat="1" ht="12.75" customHeight="1">
      <c r="A42" s="326" t="s">
        <v>118</v>
      </c>
      <c r="B42" s="336" t="s">
        <v>186</v>
      </c>
      <c r="C42" s="328" t="s">
        <v>194</v>
      </c>
      <c r="D42" s="332">
        <v>10166</v>
      </c>
      <c r="E42" s="13">
        <v>6052</v>
      </c>
      <c r="F42" s="306">
        <f>E42/D42</f>
        <v>0.5953177257525084</v>
      </c>
      <c r="G42" s="334">
        <v>6052</v>
      </c>
      <c r="H42" s="334">
        <v>6052</v>
      </c>
      <c r="I42" s="1282">
        <v>4153</v>
      </c>
    </row>
    <row r="43" spans="1:9" s="337" customFormat="1" ht="12.75" customHeight="1">
      <c r="A43" s="326" t="s">
        <v>120</v>
      </c>
      <c r="B43" s="336" t="s">
        <v>191</v>
      </c>
      <c r="C43" s="328" t="s">
        <v>275</v>
      </c>
      <c r="D43" s="332">
        <v>110000</v>
      </c>
      <c r="E43" s="13">
        <v>0</v>
      </c>
      <c r="F43" s="306">
        <f>E43/D43</f>
        <v>0</v>
      </c>
      <c r="G43" s="334">
        <v>0</v>
      </c>
      <c r="H43" s="334">
        <v>0</v>
      </c>
      <c r="I43" s="1282">
        <v>0</v>
      </c>
    </row>
    <row r="44" spans="1:9" s="280" customFormat="1" ht="12.75" customHeight="1">
      <c r="A44" s="326" t="s">
        <v>124</v>
      </c>
      <c r="B44" s="336" t="s">
        <v>196</v>
      </c>
      <c r="C44" s="328" t="s">
        <v>276</v>
      </c>
      <c r="D44" s="305">
        <v>43978</v>
      </c>
      <c r="E44" s="20">
        <v>10669</v>
      </c>
      <c r="F44" s="306">
        <f>E44/D44</f>
        <v>0.24259857201327936</v>
      </c>
      <c r="G44" s="307">
        <v>14626</v>
      </c>
      <c r="H44" s="307">
        <v>47026</v>
      </c>
      <c r="I44" s="1279">
        <v>49942</v>
      </c>
    </row>
    <row r="45" spans="1:9" s="280" customFormat="1" ht="12.75" customHeight="1">
      <c r="A45" s="326" t="s">
        <v>126</v>
      </c>
      <c r="B45" s="327" t="s">
        <v>277</v>
      </c>
      <c r="C45" s="328" t="s">
        <v>278</v>
      </c>
      <c r="D45" s="305">
        <v>0</v>
      </c>
      <c r="E45" s="20">
        <v>90000</v>
      </c>
      <c r="F45" s="306">
        <v>0</v>
      </c>
      <c r="G45" s="307">
        <v>90000</v>
      </c>
      <c r="H45" s="307">
        <v>80000</v>
      </c>
      <c r="I45" s="1279">
        <v>80000</v>
      </c>
    </row>
    <row r="46" spans="1:9" s="280" customFormat="1" ht="12.75" customHeight="1" thickBot="1">
      <c r="A46" s="338" t="s">
        <v>128</v>
      </c>
      <c r="B46" s="339"/>
      <c r="C46" s="340" t="s">
        <v>116</v>
      </c>
      <c r="D46" s="341">
        <f>D45+D41+D30+D25+D14+D44+D42+D43+D31+D20</f>
        <v>833924</v>
      </c>
      <c r="E46" s="342">
        <f>E45+E41+E30+E25+E14+E44+E42+E43+E31+E20</f>
        <v>604819</v>
      </c>
      <c r="F46" s="343">
        <f>E46/D46</f>
        <v>0.725268729524513</v>
      </c>
      <c r="G46" s="344">
        <f>G45+G41+G30+G25+G14+G44+G42+G43+G31+G20</f>
        <v>711289</v>
      </c>
      <c r="H46" s="344">
        <f>H45+H41+H30+H25+H14+H44+H42+H43+H31+H20</f>
        <v>702651</v>
      </c>
      <c r="I46" s="1283">
        <f>I45+I41+I30+I25+I14+I44+I42+I43+I31+I20</f>
        <v>690210</v>
      </c>
    </row>
    <row r="57" ht="14.25" customHeight="1"/>
  </sheetData>
  <sheetProtection selectLockedCells="1" selectUnlockedCells="1"/>
  <mergeCells count="7">
    <mergeCell ref="A1:I1"/>
    <mergeCell ref="A9:B10"/>
    <mergeCell ref="A4:F4"/>
    <mergeCell ref="C8:I8"/>
    <mergeCell ref="A5:I6"/>
    <mergeCell ref="A2:I2"/>
    <mergeCell ref="A3:I3"/>
  </mergeCells>
  <printOptions/>
  <pageMargins left="0.9840277777777777" right="0.2361111111111111" top="0.5118055555555555" bottom="0.15763888888888888" header="0.5118055555555555" footer="0.5118055555555555"/>
  <pageSetup firstPageNumber="1" useFirstPageNumber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IV80"/>
  <sheetViews>
    <sheetView zoomScalePageLayoutView="0" workbookViewId="0" topLeftCell="A1">
      <selection activeCell="A3" sqref="A3:H3"/>
    </sheetView>
  </sheetViews>
  <sheetFormatPr defaultColWidth="11.7109375" defaultRowHeight="12.75" customHeight="1"/>
  <cols>
    <col min="1" max="2" width="3.8515625" style="56" customWidth="1"/>
    <col min="3" max="3" width="35.140625" style="56" customWidth="1"/>
    <col min="4" max="4" width="12.140625" style="57" customWidth="1"/>
    <col min="5" max="5" width="13.421875" style="57" customWidth="1"/>
    <col min="6" max="8" width="14.7109375" style="57" customWidth="1"/>
    <col min="9" max="16384" width="11.7109375" style="56" customWidth="1"/>
  </cols>
  <sheetData>
    <row r="1" spans="1:8" s="217" customFormat="1" ht="18" customHeight="1">
      <c r="A1" s="1343" t="s">
        <v>279</v>
      </c>
      <c r="B1" s="1343"/>
      <c r="C1" s="1343"/>
      <c r="D1" s="1343"/>
      <c r="E1" s="1343"/>
      <c r="F1" s="1343"/>
      <c r="G1" s="1343"/>
      <c r="H1" s="1343"/>
    </row>
    <row r="2" spans="1:8" ht="19.5" customHeight="1">
      <c r="A2" s="1362" t="s">
        <v>938</v>
      </c>
      <c r="B2" s="1362"/>
      <c r="C2" s="1362"/>
      <c r="D2" s="1362"/>
      <c r="E2" s="1362"/>
      <c r="F2" s="1362"/>
      <c r="G2" s="1362"/>
      <c r="H2" s="1362"/>
    </row>
    <row r="3" spans="1:8" ht="19.5" customHeight="1">
      <c r="A3" s="1494" t="s">
        <v>942</v>
      </c>
      <c r="B3" s="1494"/>
      <c r="C3" s="1494"/>
      <c r="D3" s="1494"/>
      <c r="E3" s="1494"/>
      <c r="F3" s="1494"/>
      <c r="G3" s="1494"/>
      <c r="H3" s="1494"/>
    </row>
    <row r="4" spans="1:252" ht="45.75" customHeight="1">
      <c r="A4" s="1363" t="s">
        <v>280</v>
      </c>
      <c r="B4" s="1363"/>
      <c r="C4" s="1363"/>
      <c r="D4" s="1363"/>
      <c r="E4" s="1363"/>
      <c r="F4" s="1363"/>
      <c r="G4" s="1363"/>
      <c r="H4" s="136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1361"/>
      <c r="B5" s="1361"/>
      <c r="C5" s="1361"/>
      <c r="D5" s="1361"/>
      <c r="E5" s="136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thickBot="1">
      <c r="A6" s="1360" t="s">
        <v>281</v>
      </c>
      <c r="B6" s="1360"/>
      <c r="C6" s="1360"/>
      <c r="D6" s="1355" t="s">
        <v>155</v>
      </c>
      <c r="E6" s="1355"/>
      <c r="F6" s="1355"/>
      <c r="G6" s="1355"/>
      <c r="H6" s="135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7" customHeight="1" thickBot="1">
      <c r="A7" s="1359" t="s">
        <v>156</v>
      </c>
      <c r="B7" s="1359"/>
      <c r="C7" s="345" t="s">
        <v>157</v>
      </c>
      <c r="D7" s="346" t="s">
        <v>282</v>
      </c>
      <c r="E7" s="347" t="s">
        <v>159</v>
      </c>
      <c r="F7" s="348" t="s">
        <v>201</v>
      </c>
      <c r="G7" s="348" t="s">
        <v>162</v>
      </c>
      <c r="H7" s="348" t="s">
        <v>905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.75" customHeight="1" thickBot="1">
      <c r="A8" s="1359"/>
      <c r="B8" s="1359"/>
      <c r="C8" s="65" t="s">
        <v>163</v>
      </c>
      <c r="D8" s="66" t="s">
        <v>164</v>
      </c>
      <c r="E8" s="349" t="s">
        <v>165</v>
      </c>
      <c r="F8" s="350" t="s">
        <v>166</v>
      </c>
      <c r="G8" s="350" t="s">
        <v>167</v>
      </c>
      <c r="H8" s="350" t="s">
        <v>168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>
      <c r="A9" s="351" t="s">
        <v>38</v>
      </c>
      <c r="B9" s="352"/>
      <c r="C9" s="353" t="s">
        <v>283</v>
      </c>
      <c r="D9" s="125">
        <v>14456</v>
      </c>
      <c r="E9" s="354">
        <f>SUM(20343)-180</f>
        <v>20163</v>
      </c>
      <c r="F9" s="355">
        <v>20163</v>
      </c>
      <c r="G9" s="355">
        <v>24413</v>
      </c>
      <c r="H9" s="355">
        <v>19278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2.75" customHeight="1">
      <c r="A10" s="356" t="s">
        <v>40</v>
      </c>
      <c r="B10" s="357"/>
      <c r="C10" s="358" t="s">
        <v>284</v>
      </c>
      <c r="D10" s="80"/>
      <c r="E10" s="359"/>
      <c r="F10" s="360"/>
      <c r="G10" s="360"/>
      <c r="H10" s="36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2.75" customHeight="1">
      <c r="A11" s="356" t="s">
        <v>47</v>
      </c>
      <c r="B11" s="78"/>
      <c r="C11" s="79" t="s">
        <v>285</v>
      </c>
      <c r="D11" s="80"/>
      <c r="E11" s="359"/>
      <c r="F11" s="360"/>
      <c r="G11" s="360"/>
      <c r="H11" s="36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8" s="362" customFormat="1" ht="12.75" customHeight="1">
      <c r="A12" s="356" t="s">
        <v>49</v>
      </c>
      <c r="B12" s="361"/>
      <c r="C12" s="79" t="s">
        <v>286</v>
      </c>
      <c r="D12" s="80"/>
      <c r="E12" s="359"/>
      <c r="F12" s="360"/>
      <c r="G12" s="360"/>
      <c r="H12" s="360"/>
    </row>
    <row r="13" spans="1:252" ht="12.75" customHeight="1">
      <c r="A13" s="356" t="s">
        <v>51</v>
      </c>
      <c r="B13" s="363"/>
      <c r="C13" s="79" t="s">
        <v>287</v>
      </c>
      <c r="D13" s="80"/>
      <c r="E13" s="359"/>
      <c r="F13" s="360"/>
      <c r="G13" s="360"/>
      <c r="H13" s="36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2.75" customHeight="1">
      <c r="A14" s="356" t="s">
        <v>53</v>
      </c>
      <c r="B14" s="363"/>
      <c r="C14" s="79" t="s">
        <v>288</v>
      </c>
      <c r="D14" s="80"/>
      <c r="E14" s="359"/>
      <c r="F14" s="360"/>
      <c r="G14" s="360"/>
      <c r="H14" s="36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2.75" customHeight="1">
      <c r="A15" s="356" t="s">
        <v>55</v>
      </c>
      <c r="B15" s="363"/>
      <c r="C15" s="79" t="s">
        <v>289</v>
      </c>
      <c r="D15" s="80">
        <v>168798</v>
      </c>
      <c r="E15" s="359">
        <v>142477</v>
      </c>
      <c r="F15" s="360">
        <v>142477</v>
      </c>
      <c r="G15" s="360">
        <v>142477</v>
      </c>
      <c r="H15" s="360">
        <v>149880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2.75" customHeight="1">
      <c r="A16" s="356" t="s">
        <v>57</v>
      </c>
      <c r="B16" s="363"/>
      <c r="C16" s="79" t="s">
        <v>231</v>
      </c>
      <c r="D16" s="80">
        <v>175920</v>
      </c>
      <c r="E16" s="359">
        <v>172951</v>
      </c>
      <c r="F16" s="360">
        <v>174108</v>
      </c>
      <c r="G16" s="360">
        <v>174695</v>
      </c>
      <c r="H16" s="360">
        <v>185145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2.75" customHeight="1">
      <c r="A17" s="356" t="s">
        <v>86</v>
      </c>
      <c r="B17" s="363"/>
      <c r="C17" s="364" t="s">
        <v>290</v>
      </c>
      <c r="D17" s="80"/>
      <c r="E17" s="359"/>
      <c r="F17" s="360"/>
      <c r="G17" s="360"/>
      <c r="H17" s="36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 customHeight="1">
      <c r="A18" s="356" t="s">
        <v>59</v>
      </c>
      <c r="B18" s="363"/>
      <c r="C18" s="364" t="s">
        <v>291</v>
      </c>
      <c r="D18" s="80"/>
      <c r="E18" s="359"/>
      <c r="F18" s="360"/>
      <c r="G18" s="360"/>
      <c r="H18" s="36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2.75" customHeight="1">
      <c r="A19" s="356" t="s">
        <v>61</v>
      </c>
      <c r="B19" s="363"/>
      <c r="C19" s="364" t="s">
        <v>292</v>
      </c>
      <c r="D19" s="80"/>
      <c r="E19" s="359"/>
      <c r="F19" s="360"/>
      <c r="G19" s="360"/>
      <c r="H19" s="36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3.5" customHeight="1">
      <c r="A20" s="356" t="s">
        <v>63</v>
      </c>
      <c r="B20" s="363"/>
      <c r="C20" s="364" t="s">
        <v>293</v>
      </c>
      <c r="D20" s="80"/>
      <c r="E20" s="359"/>
      <c r="F20" s="360"/>
      <c r="G20" s="360"/>
      <c r="H20" s="36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2.75" customHeight="1">
      <c r="A21" s="356" t="s">
        <v>65</v>
      </c>
      <c r="B21" s="363"/>
      <c r="C21" s="364" t="s">
        <v>294</v>
      </c>
      <c r="D21" s="80"/>
      <c r="E21" s="359"/>
      <c r="F21" s="360"/>
      <c r="G21" s="360"/>
      <c r="H21" s="36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2.75" customHeight="1">
      <c r="A22" s="356" t="s">
        <v>92</v>
      </c>
      <c r="B22" s="363"/>
      <c r="C22" s="79" t="s">
        <v>295</v>
      </c>
      <c r="D22" s="80"/>
      <c r="E22" s="359"/>
      <c r="F22" s="360"/>
      <c r="G22" s="360"/>
      <c r="H22" s="36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 customHeight="1">
      <c r="A23" s="356" t="s">
        <v>66</v>
      </c>
      <c r="B23" s="363"/>
      <c r="C23" s="364" t="s">
        <v>296</v>
      </c>
      <c r="D23" s="80"/>
      <c r="E23" s="359"/>
      <c r="F23" s="360"/>
      <c r="G23" s="360"/>
      <c r="H23" s="36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6" s="1" customFormat="1" ht="12.75" customHeight="1">
      <c r="A24" s="365" t="s">
        <v>67</v>
      </c>
      <c r="B24" s="363"/>
      <c r="C24" s="366" t="s">
        <v>297</v>
      </c>
      <c r="D24" s="367">
        <v>11464</v>
      </c>
      <c r="E24" s="368">
        <v>4125</v>
      </c>
      <c r="F24" s="369">
        <v>4125</v>
      </c>
      <c r="G24" s="369">
        <v>15288</v>
      </c>
      <c r="H24" s="369">
        <v>14208</v>
      </c>
      <c r="IS24" s="91"/>
      <c r="IT24" s="91"/>
      <c r="IU24" s="91"/>
      <c r="IV24" s="91"/>
    </row>
    <row r="25" spans="1:252" ht="12.75" customHeight="1">
      <c r="A25" s="356" t="s">
        <v>68</v>
      </c>
      <c r="B25" s="363"/>
      <c r="C25" s="79" t="s">
        <v>298</v>
      </c>
      <c r="D25" s="80">
        <v>34550</v>
      </c>
      <c r="E25" s="359">
        <v>33500</v>
      </c>
      <c r="F25" s="360">
        <v>33500</v>
      </c>
      <c r="G25" s="360">
        <v>32730</v>
      </c>
      <c r="H25" s="360">
        <v>31199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>
      <c r="A26" s="356" t="s">
        <v>70</v>
      </c>
      <c r="B26" s="363"/>
      <c r="C26" s="79" t="s">
        <v>299</v>
      </c>
      <c r="D26" s="80">
        <v>643</v>
      </c>
      <c r="E26" s="359">
        <v>700</v>
      </c>
      <c r="F26" s="360">
        <v>700</v>
      </c>
      <c r="G26" s="360">
        <v>700</v>
      </c>
      <c r="H26" s="360">
        <v>40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6" s="1" customFormat="1" ht="12.75" customHeight="1">
      <c r="A27" s="365" t="s">
        <v>97</v>
      </c>
      <c r="B27" s="363"/>
      <c r="C27" s="366" t="s">
        <v>194</v>
      </c>
      <c r="D27" s="367">
        <v>10166</v>
      </c>
      <c r="E27" s="368">
        <v>6052</v>
      </c>
      <c r="F27" s="369">
        <v>6052</v>
      </c>
      <c r="G27" s="369">
        <v>6052</v>
      </c>
      <c r="H27" s="369">
        <v>4153</v>
      </c>
      <c r="IS27" s="91"/>
      <c r="IT27" s="91"/>
      <c r="IU27" s="91"/>
      <c r="IV27" s="91"/>
    </row>
    <row r="28" spans="1:252" ht="12.75" customHeight="1">
      <c r="A28" s="356" t="s">
        <v>99</v>
      </c>
      <c r="B28" s="363"/>
      <c r="C28" s="79" t="s">
        <v>300</v>
      </c>
      <c r="D28" s="80">
        <v>9241</v>
      </c>
      <c r="E28" s="359">
        <v>35000</v>
      </c>
      <c r="F28" s="360">
        <v>47903</v>
      </c>
      <c r="G28" s="360">
        <v>47903</v>
      </c>
      <c r="H28" s="360">
        <v>39695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>
      <c r="A29" s="356" t="s">
        <v>101</v>
      </c>
      <c r="B29" s="363"/>
      <c r="C29" s="79" t="s">
        <v>301</v>
      </c>
      <c r="D29" s="80"/>
      <c r="E29" s="359"/>
      <c r="F29" s="360">
        <v>12410</v>
      </c>
      <c r="G29" s="360">
        <v>12410</v>
      </c>
      <c r="H29" s="360">
        <v>1773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.75" customHeight="1">
      <c r="A30" s="356" t="s">
        <v>103</v>
      </c>
      <c r="B30" s="363"/>
      <c r="C30" s="79" t="s">
        <v>302</v>
      </c>
      <c r="D30" s="80">
        <v>189812</v>
      </c>
      <c r="E30" s="359">
        <v>0</v>
      </c>
      <c r="F30" s="360">
        <v>0</v>
      </c>
      <c r="G30" s="360">
        <v>0</v>
      </c>
      <c r="H30" s="360">
        <v>805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2.75" customHeight="1">
      <c r="A31" s="356" t="s">
        <v>105</v>
      </c>
      <c r="B31" s="363"/>
      <c r="C31" s="79" t="s">
        <v>303</v>
      </c>
      <c r="D31" s="80"/>
      <c r="E31" s="359"/>
      <c r="F31" s="360">
        <v>80000</v>
      </c>
      <c r="G31" s="360">
        <v>80000</v>
      </c>
      <c r="H31" s="360">
        <v>80000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2.75" customHeight="1">
      <c r="A32" s="356" t="s">
        <v>107</v>
      </c>
      <c r="B32" s="363"/>
      <c r="C32" s="79" t="s">
        <v>304</v>
      </c>
      <c r="D32" s="80">
        <v>0</v>
      </c>
      <c r="E32" s="359">
        <v>90000</v>
      </c>
      <c r="F32" s="360">
        <v>90000</v>
      </c>
      <c r="G32" s="360">
        <v>80000</v>
      </c>
      <c r="H32" s="360">
        <v>80000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2.75" customHeight="1">
      <c r="A33" s="356" t="s">
        <v>109</v>
      </c>
      <c r="B33" s="363"/>
      <c r="C33" s="79" t="s">
        <v>305</v>
      </c>
      <c r="D33" s="80">
        <v>295</v>
      </c>
      <c r="E33" s="359">
        <v>1205</v>
      </c>
      <c r="F33" s="360">
        <v>1205</v>
      </c>
      <c r="G33" s="360">
        <v>1605</v>
      </c>
      <c r="H33" s="360">
        <v>468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2.75" customHeight="1">
      <c r="A34" s="356" t="s">
        <v>111</v>
      </c>
      <c r="B34" s="363"/>
      <c r="C34" s="79" t="s">
        <v>275</v>
      </c>
      <c r="D34" s="80">
        <v>110000</v>
      </c>
      <c r="E34" s="359">
        <v>0</v>
      </c>
      <c r="F34" s="360">
        <v>0</v>
      </c>
      <c r="G34" s="360">
        <v>0</v>
      </c>
      <c r="H34" s="360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2.75" customHeight="1">
      <c r="A35" s="356" t="s">
        <v>113</v>
      </c>
      <c r="B35" s="363"/>
      <c r="C35" s="79" t="s">
        <v>232</v>
      </c>
      <c r="D35" s="80">
        <v>73227</v>
      </c>
      <c r="E35" s="359">
        <v>51066</v>
      </c>
      <c r="F35" s="360">
        <v>51066</v>
      </c>
      <c r="G35" s="360">
        <v>51066</v>
      </c>
      <c r="H35" s="360">
        <v>51066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.75" customHeight="1" thickBot="1">
      <c r="A36" s="370" t="s">
        <v>115</v>
      </c>
      <c r="B36" s="371"/>
      <c r="C36" s="372" t="s">
        <v>306</v>
      </c>
      <c r="D36" s="373">
        <f>SUM(D9:D35)-D17-D18-D19-D20-D21-D23</f>
        <v>798572</v>
      </c>
      <c r="E36" s="374">
        <f>SUM(E9:E35)-E17-E18-E19-E20-E21-E23</f>
        <v>557239</v>
      </c>
      <c r="F36" s="375">
        <f>SUM(F9:F35)-F17-F18-F19-F20-F21-F23</f>
        <v>663709</v>
      </c>
      <c r="G36" s="375">
        <f>SUM(G9:G35)-G17-G18-G19-G20-G21-G23</f>
        <v>669339</v>
      </c>
      <c r="H36" s="375">
        <f>SUM(H9:H35)-H17-H18-H19-H20-H21-H23</f>
        <v>657710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 customHeight="1" thickBot="1">
      <c r="A37" s="1360" t="s">
        <v>307</v>
      </c>
      <c r="B37" s="1360"/>
      <c r="C37" s="1360"/>
      <c r="D37" s="37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5.5" customHeight="1" thickBot="1">
      <c r="A38" s="1358" t="s">
        <v>156</v>
      </c>
      <c r="B38" s="1358"/>
      <c r="C38" s="285" t="s">
        <v>157</v>
      </c>
      <c r="D38" s="346" t="s">
        <v>282</v>
      </c>
      <c r="E38" s="347" t="s">
        <v>159</v>
      </c>
      <c r="F38" s="348" t="s">
        <v>201</v>
      </c>
      <c r="G38" s="348" t="s">
        <v>162</v>
      </c>
      <c r="H38" s="348" t="s">
        <v>905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 customHeight="1">
      <c r="A39" s="1358"/>
      <c r="B39" s="1358"/>
      <c r="C39" s="377" t="s">
        <v>163</v>
      </c>
      <c r="D39" s="378" t="s">
        <v>164</v>
      </c>
      <c r="E39" s="379" t="s">
        <v>165</v>
      </c>
      <c r="F39" s="380" t="s">
        <v>166</v>
      </c>
      <c r="G39" s="380" t="s">
        <v>167</v>
      </c>
      <c r="H39" s="380" t="s">
        <v>168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 customHeight="1">
      <c r="A40" s="381" t="s">
        <v>38</v>
      </c>
      <c r="B40" s="363"/>
      <c r="C40" s="358" t="s">
        <v>283</v>
      </c>
      <c r="D40" s="80">
        <v>790</v>
      </c>
      <c r="E40" s="359">
        <v>799</v>
      </c>
      <c r="F40" s="360">
        <v>799</v>
      </c>
      <c r="G40" s="360">
        <v>799</v>
      </c>
      <c r="H40" s="360">
        <v>796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2.75" customHeight="1">
      <c r="A41" s="381" t="s">
        <v>40</v>
      </c>
      <c r="B41" s="363"/>
      <c r="C41" s="79" t="s">
        <v>308</v>
      </c>
      <c r="D41" s="80">
        <v>877</v>
      </c>
      <c r="E41" s="359">
        <v>0</v>
      </c>
      <c r="F41" s="360">
        <v>0</v>
      </c>
      <c r="G41" s="360">
        <v>0</v>
      </c>
      <c r="H41" s="360">
        <v>951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>
      <c r="A42" s="381" t="s">
        <v>47</v>
      </c>
      <c r="B42" s="363"/>
      <c r="C42" s="79" t="s">
        <v>232</v>
      </c>
      <c r="D42" s="80">
        <v>188</v>
      </c>
      <c r="E42" s="359">
        <v>2407</v>
      </c>
      <c r="F42" s="360">
        <v>2407</v>
      </c>
      <c r="G42" s="360">
        <v>2407</v>
      </c>
      <c r="H42" s="360">
        <v>2407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 customHeight="1">
      <c r="A43" s="381" t="s">
        <v>49</v>
      </c>
      <c r="B43" s="363"/>
      <c r="C43" s="79" t="s">
        <v>309</v>
      </c>
      <c r="D43" s="80">
        <v>60946</v>
      </c>
      <c r="E43" s="359">
        <v>57793</v>
      </c>
      <c r="F43" s="360">
        <v>57819</v>
      </c>
      <c r="G43" s="360">
        <v>57819</v>
      </c>
      <c r="H43" s="360">
        <v>57819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2.75" customHeight="1">
      <c r="A44" s="381" t="s">
        <v>51</v>
      </c>
      <c r="B44" s="363"/>
      <c r="C44" s="358" t="s">
        <v>310</v>
      </c>
      <c r="D44" s="80">
        <v>13875</v>
      </c>
      <c r="E44" s="359">
        <v>16407</v>
      </c>
      <c r="F44" s="360">
        <v>16407</v>
      </c>
      <c r="G44" s="360">
        <v>16407</v>
      </c>
      <c r="H44" s="360">
        <v>14929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2.75" customHeight="1" thickBot="1">
      <c r="A45" s="370" t="s">
        <v>53</v>
      </c>
      <c r="B45" s="371"/>
      <c r="C45" s="372" t="s">
        <v>311</v>
      </c>
      <c r="D45" s="373">
        <f>SUM(D40:D44)</f>
        <v>76676</v>
      </c>
      <c r="E45" s="374">
        <f>SUM(E40:E44)</f>
        <v>77406</v>
      </c>
      <c r="F45" s="375">
        <f>SUM(F40:F44)</f>
        <v>77432</v>
      </c>
      <c r="G45" s="375">
        <f>SUM(G40:G44)</f>
        <v>77432</v>
      </c>
      <c r="H45" s="375">
        <f>SUM(H40:H44)</f>
        <v>76902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2.75" customHeight="1" thickBot="1">
      <c r="A46" s="1360" t="s">
        <v>312</v>
      </c>
      <c r="B46" s="1360"/>
      <c r="C46" s="1360"/>
      <c r="D46" s="136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2.5" customHeight="1" thickBot="1">
      <c r="A47" s="1358" t="s">
        <v>156</v>
      </c>
      <c r="B47" s="1358"/>
      <c r="C47" s="285" t="s">
        <v>157</v>
      </c>
      <c r="D47" s="346" t="s">
        <v>282</v>
      </c>
      <c r="E47" s="347" t="s">
        <v>159</v>
      </c>
      <c r="F47" s="64" t="s">
        <v>201</v>
      </c>
      <c r="G47" s="64" t="s">
        <v>162</v>
      </c>
      <c r="H47" s="64" t="s">
        <v>905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2.75" customHeight="1">
      <c r="A48" s="1358"/>
      <c r="B48" s="1358"/>
      <c r="C48" s="377" t="s">
        <v>163</v>
      </c>
      <c r="D48" s="378" t="s">
        <v>164</v>
      </c>
      <c r="E48" s="379" t="s">
        <v>165</v>
      </c>
      <c r="F48" s="382" t="s">
        <v>166</v>
      </c>
      <c r="G48" s="382" t="s">
        <v>167</v>
      </c>
      <c r="H48" s="382" t="s">
        <v>168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 customHeight="1">
      <c r="A49" s="381" t="s">
        <v>38</v>
      </c>
      <c r="B49" s="363"/>
      <c r="C49" s="383" t="s">
        <v>313</v>
      </c>
      <c r="D49" s="80">
        <v>3569</v>
      </c>
      <c r="E49" s="359">
        <v>2000</v>
      </c>
      <c r="F49" s="169">
        <v>2000</v>
      </c>
      <c r="G49" s="169">
        <v>2000</v>
      </c>
      <c r="H49" s="169">
        <v>1340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 customHeight="1">
      <c r="A50" s="381" t="s">
        <v>40</v>
      </c>
      <c r="B50" s="363"/>
      <c r="C50" s="383" t="s">
        <v>314</v>
      </c>
      <c r="D50" s="80">
        <v>499</v>
      </c>
      <c r="E50" s="359">
        <v>200</v>
      </c>
      <c r="F50" s="169">
        <v>200</v>
      </c>
      <c r="G50" s="169">
        <v>200</v>
      </c>
      <c r="H50" s="169">
        <v>100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 customHeight="1">
      <c r="A51" s="381" t="s">
        <v>47</v>
      </c>
      <c r="B51" s="363"/>
      <c r="C51" s="384" t="s">
        <v>315</v>
      </c>
      <c r="D51" s="80">
        <v>21</v>
      </c>
      <c r="E51" s="359">
        <v>0</v>
      </c>
      <c r="F51" s="169">
        <v>0</v>
      </c>
      <c r="G51" s="169">
        <v>0</v>
      </c>
      <c r="H51" s="169"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2.75" customHeight="1">
      <c r="A52" s="381" t="s">
        <v>49</v>
      </c>
      <c r="B52" s="363"/>
      <c r="C52" s="384" t="s">
        <v>316</v>
      </c>
      <c r="D52" s="80">
        <v>1098</v>
      </c>
      <c r="E52" s="359">
        <v>1100</v>
      </c>
      <c r="F52" s="169">
        <v>1100</v>
      </c>
      <c r="G52" s="169">
        <v>1100</v>
      </c>
      <c r="H52" s="169">
        <v>400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 customHeight="1">
      <c r="A53" s="385" t="s">
        <v>51</v>
      </c>
      <c r="B53" s="78"/>
      <c r="C53" s="86" t="s">
        <v>317</v>
      </c>
      <c r="D53" s="87">
        <f>SUM(D49:D52)</f>
        <v>5187</v>
      </c>
      <c r="E53" s="386">
        <f>SUM(E49:E52)</f>
        <v>3300</v>
      </c>
      <c r="F53" s="167">
        <f>SUM(F49:F52)</f>
        <v>3300</v>
      </c>
      <c r="G53" s="167">
        <f>SUM(G49:G52)</f>
        <v>3300</v>
      </c>
      <c r="H53" s="167">
        <f>SUM(H49:H52)</f>
        <v>1840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 customHeight="1">
      <c r="A54" s="385" t="s">
        <v>53</v>
      </c>
      <c r="B54" s="78"/>
      <c r="C54" s="86" t="s">
        <v>318</v>
      </c>
      <c r="D54" s="87">
        <v>790</v>
      </c>
      <c r="E54" s="359">
        <v>0</v>
      </c>
      <c r="F54" s="169">
        <v>0</v>
      </c>
      <c r="G54" s="169">
        <v>20</v>
      </c>
      <c r="H54" s="169">
        <v>20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2.75" customHeight="1">
      <c r="A55" s="381" t="s">
        <v>55</v>
      </c>
      <c r="B55" s="78"/>
      <c r="C55" s="358" t="s">
        <v>319</v>
      </c>
      <c r="D55" s="80">
        <v>68534</v>
      </c>
      <c r="E55" s="359">
        <v>73101</v>
      </c>
      <c r="F55" s="169">
        <v>73747</v>
      </c>
      <c r="G55" s="169">
        <v>74044</v>
      </c>
      <c r="H55" s="169">
        <v>76898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 customHeight="1">
      <c r="A56" s="381" t="s">
        <v>57</v>
      </c>
      <c r="B56" s="387"/>
      <c r="C56" s="358" t="s">
        <v>310</v>
      </c>
      <c r="D56" s="80">
        <v>30040</v>
      </c>
      <c r="E56" s="359">
        <v>25256</v>
      </c>
      <c r="F56" s="169">
        <v>25256</v>
      </c>
      <c r="G56" s="169">
        <v>26822</v>
      </c>
      <c r="H56" s="169">
        <v>26751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 customHeight="1">
      <c r="A57" s="381" t="s">
        <v>86</v>
      </c>
      <c r="B57" s="387"/>
      <c r="C57" s="383" t="s">
        <v>232</v>
      </c>
      <c r="D57" s="80">
        <v>722</v>
      </c>
      <c r="E57" s="359">
        <v>3309</v>
      </c>
      <c r="F57" s="169">
        <v>3309</v>
      </c>
      <c r="G57" s="169">
        <v>3309</v>
      </c>
      <c r="H57" s="169">
        <v>3309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2.75" customHeight="1">
      <c r="A58" s="385" t="s">
        <v>59</v>
      </c>
      <c r="B58" s="387"/>
      <c r="C58" s="388" t="s">
        <v>320</v>
      </c>
      <c r="D58" s="87">
        <f>SUM(D55:D56)</f>
        <v>98574</v>
      </c>
      <c r="E58" s="386">
        <f>SUM(E55:E56)</f>
        <v>98357</v>
      </c>
      <c r="F58" s="167">
        <f>SUM(F55:F56)</f>
        <v>99003</v>
      </c>
      <c r="G58" s="167">
        <f>SUM(G55:G56)</f>
        <v>100866</v>
      </c>
      <c r="H58" s="167">
        <f>SUM(H55:H56)</f>
        <v>103649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2.75" customHeight="1" thickBot="1">
      <c r="A59" s="370" t="s">
        <v>61</v>
      </c>
      <c r="B59" s="389"/>
      <c r="C59" s="372" t="s">
        <v>321</v>
      </c>
      <c r="D59" s="373">
        <f>D53+D58+D54+D57</f>
        <v>105273</v>
      </c>
      <c r="E59" s="374">
        <f>E53+E58+E54+E57</f>
        <v>104966</v>
      </c>
      <c r="F59" s="390">
        <f>F53+F58+F54+F57</f>
        <v>105612</v>
      </c>
      <c r="G59" s="390">
        <f>G53+G58+G54+G57</f>
        <v>107495</v>
      </c>
      <c r="H59" s="390">
        <f>H53+H58+H54+H57</f>
        <v>108818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 customHeight="1" thickBot="1">
      <c r="A60" s="1360" t="s">
        <v>322</v>
      </c>
      <c r="B60" s="1360"/>
      <c r="C60" s="1360"/>
      <c r="D60" s="13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8.5" customHeight="1" thickBot="1">
      <c r="A61" s="1358" t="s">
        <v>156</v>
      </c>
      <c r="B61" s="1358"/>
      <c r="C61" s="345" t="s">
        <v>157</v>
      </c>
      <c r="D61" s="346" t="s">
        <v>282</v>
      </c>
      <c r="E61" s="391" t="s">
        <v>159</v>
      </c>
      <c r="F61" s="392" t="s">
        <v>201</v>
      </c>
      <c r="G61" s="392" t="s">
        <v>162</v>
      </c>
      <c r="H61" s="392" t="s">
        <v>905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4.25" customHeight="1">
      <c r="A62" s="1358"/>
      <c r="B62" s="1358"/>
      <c r="C62" s="160" t="s">
        <v>163</v>
      </c>
      <c r="D62" s="161" t="s">
        <v>164</v>
      </c>
      <c r="E62" s="379" t="s">
        <v>165</v>
      </c>
      <c r="F62" s="380" t="s">
        <v>166</v>
      </c>
      <c r="G62" s="380" t="s">
        <v>167</v>
      </c>
      <c r="H62" s="380" t="s">
        <v>168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 customHeight="1">
      <c r="A63" s="381" t="s">
        <v>38</v>
      </c>
      <c r="B63" s="387"/>
      <c r="C63" s="393" t="s">
        <v>323</v>
      </c>
      <c r="D63" s="125">
        <v>475</v>
      </c>
      <c r="E63" s="354">
        <v>600</v>
      </c>
      <c r="F63" s="355">
        <v>600</v>
      </c>
      <c r="G63" s="355">
        <v>600</v>
      </c>
      <c r="H63" s="355">
        <v>300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 customHeight="1">
      <c r="A64" s="381" t="s">
        <v>40</v>
      </c>
      <c r="B64" s="387"/>
      <c r="C64" s="358" t="s">
        <v>231</v>
      </c>
      <c r="D64" s="80">
        <v>4044</v>
      </c>
      <c r="E64" s="359">
        <v>4028</v>
      </c>
      <c r="F64" s="360">
        <v>4036</v>
      </c>
      <c r="G64" s="360">
        <v>4036</v>
      </c>
      <c r="H64" s="360">
        <v>4146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 customHeight="1">
      <c r="A65" s="381" t="s">
        <v>49</v>
      </c>
      <c r="B65" s="387"/>
      <c r="C65" s="358" t="s">
        <v>310</v>
      </c>
      <c r="D65" s="80">
        <v>7860</v>
      </c>
      <c r="E65" s="359">
        <v>6596</v>
      </c>
      <c r="F65" s="360">
        <v>7542</v>
      </c>
      <c r="G65" s="360">
        <v>9692</v>
      </c>
      <c r="H65" s="360">
        <v>10673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customHeight="1">
      <c r="A66" s="381" t="s">
        <v>51</v>
      </c>
      <c r="B66" s="387"/>
      <c r="C66" s="383" t="s">
        <v>232</v>
      </c>
      <c r="D66" s="80">
        <v>129</v>
      </c>
      <c r="E66" s="359">
        <v>330</v>
      </c>
      <c r="F66" s="360">
        <v>330</v>
      </c>
      <c r="G66" s="360">
        <v>330</v>
      </c>
      <c r="H66" s="360">
        <v>330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21.75" customHeight="1" thickBot="1">
      <c r="A67" s="394" t="s">
        <v>53</v>
      </c>
      <c r="B67" s="389"/>
      <c r="C67" s="395" t="s">
        <v>324</v>
      </c>
      <c r="D67" s="373">
        <f>SUM(D63:D66)</f>
        <v>12508</v>
      </c>
      <c r="E67" s="374">
        <f>SUM(E63:E66)</f>
        <v>11554</v>
      </c>
      <c r="F67" s="375">
        <f>SUM(F63:F66)</f>
        <v>12508</v>
      </c>
      <c r="G67" s="375">
        <f>SUM(G63:G66)</f>
        <v>14658</v>
      </c>
      <c r="H67" s="375">
        <f>SUM(H63:H66)</f>
        <v>15449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8" s="399" customFormat="1" ht="12.75" customHeight="1">
      <c r="A68" s="396"/>
      <c r="B68" s="397"/>
      <c r="C68" s="398"/>
      <c r="D68" s="57"/>
      <c r="E68" s="57"/>
      <c r="F68" s="57"/>
      <c r="G68" s="57"/>
      <c r="H68" s="57"/>
    </row>
    <row r="69" spans="1:8" s="399" customFormat="1" ht="12.75" customHeight="1" thickBot="1">
      <c r="A69" s="396"/>
      <c r="B69" s="397"/>
      <c r="C69" s="398" t="s">
        <v>325</v>
      </c>
      <c r="D69" s="57"/>
      <c r="E69" s="57"/>
      <c r="F69" s="57"/>
      <c r="G69" s="57"/>
      <c r="H69" s="57"/>
    </row>
    <row r="70" spans="1:8" s="399" customFormat="1" ht="25.5" customHeight="1" thickBot="1">
      <c r="A70" s="1358" t="s">
        <v>156</v>
      </c>
      <c r="B70" s="1358"/>
      <c r="C70" s="345" t="s">
        <v>157</v>
      </c>
      <c r="D70" s="346" t="s">
        <v>282</v>
      </c>
      <c r="E70" s="391" t="s">
        <v>159</v>
      </c>
      <c r="F70" s="400" t="s">
        <v>201</v>
      </c>
      <c r="G70" s="400" t="s">
        <v>162</v>
      </c>
      <c r="H70" s="400" t="s">
        <v>905</v>
      </c>
    </row>
    <row r="71" spans="1:8" s="399" customFormat="1" ht="12.75" customHeight="1">
      <c r="A71" s="1358"/>
      <c r="B71" s="1358"/>
      <c r="C71" s="160" t="s">
        <v>163</v>
      </c>
      <c r="D71" s="161" t="s">
        <v>164</v>
      </c>
      <c r="E71" s="379" t="s">
        <v>165</v>
      </c>
      <c r="F71" s="382" t="s">
        <v>166</v>
      </c>
      <c r="G71" s="382" t="s">
        <v>167</v>
      </c>
      <c r="H71" s="382" t="s">
        <v>168</v>
      </c>
    </row>
    <row r="72" spans="1:8" s="399" customFormat="1" ht="12.75" customHeight="1">
      <c r="A72" s="381" t="s">
        <v>38</v>
      </c>
      <c r="B72" s="387"/>
      <c r="C72" s="393" t="s">
        <v>283</v>
      </c>
      <c r="D72" s="125">
        <v>21184</v>
      </c>
      <c r="E72" s="401">
        <v>19500</v>
      </c>
      <c r="F72" s="402">
        <v>19500</v>
      </c>
      <c r="G72" s="402">
        <v>19500</v>
      </c>
      <c r="H72" s="402">
        <v>19500</v>
      </c>
    </row>
    <row r="73" spans="1:8" s="399" customFormat="1" ht="12.75" customHeight="1">
      <c r="A73" s="381" t="s">
        <v>40</v>
      </c>
      <c r="B73" s="387"/>
      <c r="C73" s="393" t="s">
        <v>326</v>
      </c>
      <c r="D73" s="125">
        <v>5010</v>
      </c>
      <c r="E73" s="401">
        <v>14288</v>
      </c>
      <c r="F73" s="402">
        <v>14288</v>
      </c>
      <c r="G73" s="402">
        <v>0</v>
      </c>
      <c r="H73" s="402">
        <v>0</v>
      </c>
    </row>
    <row r="74" spans="1:8" s="399" customFormat="1" ht="12.75" customHeight="1">
      <c r="A74" s="381" t="s">
        <v>47</v>
      </c>
      <c r="B74" s="387"/>
      <c r="C74" s="358" t="s">
        <v>231</v>
      </c>
      <c r="D74" s="80">
        <v>14017</v>
      </c>
      <c r="E74" s="403">
        <v>17801</v>
      </c>
      <c r="F74" s="404">
        <v>17869</v>
      </c>
      <c r="G74" s="404">
        <v>32157</v>
      </c>
      <c r="H74" s="404">
        <v>32157</v>
      </c>
    </row>
    <row r="75" spans="1:8" s="399" customFormat="1" ht="12.75" customHeight="1">
      <c r="A75" s="381" t="s">
        <v>49</v>
      </c>
      <c r="B75" s="387"/>
      <c r="C75" s="358" t="s">
        <v>310</v>
      </c>
      <c r="D75" s="80">
        <v>56215</v>
      </c>
      <c r="E75" s="403">
        <v>47789</v>
      </c>
      <c r="F75" s="404">
        <v>49689</v>
      </c>
      <c r="G75" s="404">
        <v>53372</v>
      </c>
      <c r="H75" s="404">
        <v>53372</v>
      </c>
    </row>
    <row r="76" spans="1:8" s="399" customFormat="1" ht="12.75" customHeight="1">
      <c r="A76" s="405" t="s">
        <v>51</v>
      </c>
      <c r="B76" s="387"/>
      <c r="C76" s="383" t="s">
        <v>232</v>
      </c>
      <c r="D76" s="80"/>
      <c r="E76" s="403">
        <v>3047</v>
      </c>
      <c r="F76" s="404">
        <v>3047</v>
      </c>
      <c r="G76" s="404">
        <v>3047</v>
      </c>
      <c r="H76" s="404">
        <v>3047</v>
      </c>
    </row>
    <row r="77" spans="1:8" s="399" customFormat="1" ht="36.75" customHeight="1" thickBot="1">
      <c r="A77" s="394" t="s">
        <v>53</v>
      </c>
      <c r="B77" s="389"/>
      <c r="C77" s="406" t="s">
        <v>327</v>
      </c>
      <c r="D77" s="373">
        <f>SUM(D72:D75)</f>
        <v>96426</v>
      </c>
      <c r="E77" s="374">
        <f>SUM(E72:E76)</f>
        <v>102425</v>
      </c>
      <c r="F77" s="390">
        <f>SUM(F72:F76)</f>
        <v>104393</v>
      </c>
      <c r="G77" s="390">
        <f>SUM(G72:G76)</f>
        <v>108076</v>
      </c>
      <c r="H77" s="390">
        <f>SUM(H72:H76)</f>
        <v>108076</v>
      </c>
    </row>
    <row r="78" spans="1:8" s="399" customFormat="1" ht="12.75" customHeight="1">
      <c r="A78" s="396"/>
      <c r="B78" s="397"/>
      <c r="C78" s="398"/>
      <c r="D78" s="57"/>
      <c r="E78" s="57"/>
      <c r="F78" s="57"/>
      <c r="G78" s="57"/>
      <c r="H78" s="57"/>
    </row>
    <row r="79" spans="1:8" s="399" customFormat="1" ht="12.75" customHeight="1">
      <c r="A79" s="407"/>
      <c r="C79" s="408" t="s">
        <v>328</v>
      </c>
      <c r="D79" s="57">
        <f>D77+D67+D59+D45+D36</f>
        <v>1089455</v>
      </c>
      <c r="E79" s="57">
        <f>E77+E67+E59+E45+E36</f>
        <v>853590</v>
      </c>
      <c r="F79" s="57">
        <f>F77+F67+F59+F45+F36</f>
        <v>963654</v>
      </c>
      <c r="G79" s="57">
        <f>G77+G67+G59+G45+G36</f>
        <v>977000</v>
      </c>
      <c r="H79" s="57">
        <f>H77+H67+H59+H45+H36</f>
        <v>966955</v>
      </c>
    </row>
    <row r="80" spans="1:8" s="410" customFormat="1" ht="12.75" customHeight="1">
      <c r="A80" s="409"/>
      <c r="C80" s="411" t="s">
        <v>328</v>
      </c>
      <c r="D80" s="412">
        <f>D79-D75-D74-D65-D64-D56-D55-D44-D43</f>
        <v>833924</v>
      </c>
      <c r="E80" s="412">
        <f>E79-E75-E74-E65-E64-E56-E55-E44-E43</f>
        <v>604819</v>
      </c>
      <c r="F80" s="412">
        <f>F79-F75-F74-F65-F64-F56-F55-F44-F43</f>
        <v>711289</v>
      </c>
      <c r="G80" s="412">
        <f>G79-G75-G74-G65-G64-G56-G55-G44-G43</f>
        <v>702651</v>
      </c>
      <c r="H80" s="412">
        <f>H79-H75-H74-H65-H64-H56-H55-H44-H43</f>
        <v>690210</v>
      </c>
    </row>
  </sheetData>
  <sheetProtection selectLockedCells="1" selectUnlockedCells="1"/>
  <mergeCells count="15">
    <mergeCell ref="A5:E5"/>
    <mergeCell ref="A6:C6"/>
    <mergeCell ref="A1:H1"/>
    <mergeCell ref="A2:H2"/>
    <mergeCell ref="A4:H4"/>
    <mergeCell ref="D6:H6"/>
    <mergeCell ref="A3:H3"/>
    <mergeCell ref="A61:B62"/>
    <mergeCell ref="A70:B71"/>
    <mergeCell ref="A7:B8"/>
    <mergeCell ref="A37:C37"/>
    <mergeCell ref="A38:B39"/>
    <mergeCell ref="A46:D46"/>
    <mergeCell ref="A47:B48"/>
    <mergeCell ref="A60:D60"/>
  </mergeCells>
  <printOptions/>
  <pageMargins left="0.7875" right="0.7875" top="1.0631944444444446" bottom="1.0631944444444446" header="0.5118055555555555" footer="0.7875"/>
  <pageSetup horizontalDpi="300" verticalDpi="300" orientation="portrait" paperSize="9" scale="77" r:id="rId1"/>
  <headerFooter alignWithMargins="0">
    <oddFooter>&amp;C&amp;"Times New Roman,Normál"&amp;12Oldal &amp;P</oddFooter>
  </headerFooter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IP275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5" sqref="A115"/>
      <selection pane="bottomRight" activeCell="A2" sqref="A2:H3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31.57421875" style="56" customWidth="1"/>
    <col min="4" max="4" width="12.421875" style="56" customWidth="1"/>
    <col min="5" max="5" width="13.7109375" style="57" customWidth="1"/>
    <col min="6" max="8" width="14.7109375" style="57" customWidth="1"/>
    <col min="9" max="16384" width="11.7109375" style="56" customWidth="1"/>
  </cols>
  <sheetData>
    <row r="1" spans="1:8" s="217" customFormat="1" ht="18" customHeight="1">
      <c r="A1" s="1364" t="s">
        <v>329</v>
      </c>
      <c r="B1" s="1364"/>
      <c r="C1" s="1364"/>
      <c r="D1" s="1364"/>
      <c r="E1" s="1364"/>
      <c r="F1" s="1364"/>
      <c r="G1" s="1364"/>
      <c r="H1" s="1364"/>
    </row>
    <row r="2" spans="1:8" ht="12.75" customHeight="1">
      <c r="A2" s="1411" t="s">
        <v>938</v>
      </c>
      <c r="B2" s="1411"/>
      <c r="C2" s="1411"/>
      <c r="D2" s="1411"/>
      <c r="E2" s="1411"/>
      <c r="F2" s="1411"/>
      <c r="G2" s="1411"/>
      <c r="H2" s="1411"/>
    </row>
    <row r="3" spans="1:8" ht="12.75" customHeight="1">
      <c r="A3" s="1411"/>
      <c r="B3" s="1411"/>
      <c r="C3" s="1411"/>
      <c r="D3" s="1411"/>
      <c r="E3" s="1411"/>
      <c r="F3" s="1411"/>
      <c r="G3" s="1411"/>
      <c r="H3" s="1411"/>
    </row>
    <row r="4" spans="1:8" ht="12.75" customHeight="1">
      <c r="A4" s="1353" t="s">
        <v>943</v>
      </c>
      <c r="B4" s="1353"/>
      <c r="C4" s="1353"/>
      <c r="D4" s="1353"/>
      <c r="E4" s="1353"/>
      <c r="F4" s="1353"/>
      <c r="G4" s="1353"/>
      <c r="H4" s="1353"/>
    </row>
    <row r="5" spans="1:9" s="280" customFormat="1" ht="12.75" customHeight="1">
      <c r="A5" s="1356" t="s">
        <v>330</v>
      </c>
      <c r="B5" s="1356"/>
      <c r="C5" s="1356"/>
      <c r="D5" s="1356"/>
      <c r="E5" s="1356"/>
      <c r="F5" s="1356"/>
      <c r="G5" s="1356"/>
      <c r="H5" s="1356"/>
      <c r="I5" s="56"/>
    </row>
    <row r="6" spans="1:9" s="280" customFormat="1" ht="12.75" customHeight="1">
      <c r="A6" s="1356"/>
      <c r="B6" s="1356"/>
      <c r="C6" s="1356"/>
      <c r="D6" s="1356"/>
      <c r="E6" s="1356"/>
      <c r="F6" s="1356"/>
      <c r="G6" s="1356"/>
      <c r="H6" s="1356"/>
      <c r="I6" s="56"/>
    </row>
    <row r="7" spans="1:9" s="280" customFormat="1" ht="20.25" customHeight="1">
      <c r="A7" s="1356"/>
      <c r="B7" s="1356"/>
      <c r="C7" s="1356"/>
      <c r="D7" s="1356"/>
      <c r="E7" s="1356"/>
      <c r="F7" s="1356"/>
      <c r="G7" s="1356"/>
      <c r="H7" s="1356"/>
      <c r="I7" s="56"/>
    </row>
    <row r="8" spans="1:9" s="280" customFormat="1" ht="12.75" customHeight="1">
      <c r="A8" s="413"/>
      <c r="B8" s="413"/>
      <c r="C8" s="413"/>
      <c r="D8" s="413"/>
      <c r="E8" s="376"/>
      <c r="F8" s="376"/>
      <c r="G8" s="376"/>
      <c r="H8" s="376"/>
      <c r="I8" s="56"/>
    </row>
    <row r="9" spans="2:9" s="280" customFormat="1" ht="12" customHeight="1">
      <c r="B9" s="414"/>
      <c r="C9" s="414"/>
      <c r="D9" s="414"/>
      <c r="E9" s="57"/>
      <c r="F9" s="57"/>
      <c r="G9" s="57"/>
      <c r="H9" s="57"/>
      <c r="I9" s="56"/>
    </row>
    <row r="10" spans="1:9" s="280" customFormat="1" ht="12" customHeight="1" thickBot="1">
      <c r="A10" s="1355" t="s">
        <v>155</v>
      </c>
      <c r="B10" s="1355"/>
      <c r="C10" s="1355"/>
      <c r="D10" s="1355"/>
      <c r="E10" s="1355"/>
      <c r="F10" s="1355"/>
      <c r="G10" s="1355"/>
      <c r="H10" s="1355"/>
      <c r="I10" s="56"/>
    </row>
    <row r="11" spans="1:9" s="337" customFormat="1" ht="48" customHeight="1" thickBot="1">
      <c r="A11" s="1338" t="s">
        <v>156</v>
      </c>
      <c r="B11" s="1338"/>
      <c r="C11" s="415" t="s">
        <v>331</v>
      </c>
      <c r="D11" s="416" t="s">
        <v>332</v>
      </c>
      <c r="E11" s="417" t="s">
        <v>333</v>
      </c>
      <c r="F11" s="348" t="s">
        <v>201</v>
      </c>
      <c r="G11" s="348" t="s">
        <v>162</v>
      </c>
      <c r="H11" s="348" t="s">
        <v>905</v>
      </c>
      <c r="I11" s="90"/>
    </row>
    <row r="12" spans="1:9" s="337" customFormat="1" ht="12.75" customHeight="1" thickBot="1">
      <c r="A12" s="1338"/>
      <c r="B12" s="1338"/>
      <c r="C12" s="418" t="s">
        <v>163</v>
      </c>
      <c r="D12" s="418" t="s">
        <v>164</v>
      </c>
      <c r="E12" s="419" t="s">
        <v>165</v>
      </c>
      <c r="F12" s="350" t="s">
        <v>166</v>
      </c>
      <c r="G12" s="350" t="s">
        <v>167</v>
      </c>
      <c r="H12" s="350" t="s">
        <v>168</v>
      </c>
      <c r="I12" s="90"/>
    </row>
    <row r="13" spans="1:8" s="423" customFormat="1" ht="19.5" customHeight="1">
      <c r="A13" s="420" t="s">
        <v>38</v>
      </c>
      <c r="B13" s="421" t="s">
        <v>169</v>
      </c>
      <c r="C13" s="1367" t="s">
        <v>334</v>
      </c>
      <c r="D13" s="1367"/>
      <c r="E13" s="1367"/>
      <c r="F13" s="422"/>
      <c r="G13" s="422"/>
      <c r="H13" s="422"/>
    </row>
    <row r="14" spans="1:9" s="337" customFormat="1" ht="12.75" customHeight="1">
      <c r="A14" s="420" t="s">
        <v>40</v>
      </c>
      <c r="B14" s="424" t="s">
        <v>38</v>
      </c>
      <c r="C14" s="13" t="s">
        <v>335</v>
      </c>
      <c r="D14" s="425"/>
      <c r="E14" s="426">
        <f>E15</f>
        <v>673</v>
      </c>
      <c r="F14" s="427">
        <f>F15</f>
        <v>673</v>
      </c>
      <c r="G14" s="427">
        <f>G15</f>
        <v>673</v>
      </c>
      <c r="H14" s="427">
        <f>H15</f>
        <v>673</v>
      </c>
      <c r="I14" s="90"/>
    </row>
    <row r="15" spans="1:9" s="280" customFormat="1" ht="12.75" customHeight="1">
      <c r="A15" s="428" t="s">
        <v>47</v>
      </c>
      <c r="B15" s="429"/>
      <c r="C15" s="316" t="s">
        <v>336</v>
      </c>
      <c r="D15" s="430"/>
      <c r="E15" s="431">
        <v>673</v>
      </c>
      <c r="F15" s="360">
        <v>673</v>
      </c>
      <c r="G15" s="360">
        <v>673</v>
      </c>
      <c r="H15" s="360">
        <v>673</v>
      </c>
      <c r="I15" s="56"/>
    </row>
    <row r="16" spans="1:9" s="280" customFormat="1" ht="12.75" customHeight="1">
      <c r="A16" s="420" t="s">
        <v>49</v>
      </c>
      <c r="B16" s="424" t="s">
        <v>40</v>
      </c>
      <c r="C16" s="13" t="s">
        <v>337</v>
      </c>
      <c r="D16" s="430"/>
      <c r="E16" s="426">
        <f>E17</f>
        <v>551</v>
      </c>
      <c r="F16" s="427">
        <f>F17</f>
        <v>551</v>
      </c>
      <c r="G16" s="427">
        <f>G17</f>
        <v>551</v>
      </c>
      <c r="H16" s="427">
        <f>H17</f>
        <v>551</v>
      </c>
      <c r="I16" s="56"/>
    </row>
    <row r="17" spans="1:9" s="280" customFormat="1" ht="12.75" customHeight="1">
      <c r="A17" s="428" t="s">
        <v>51</v>
      </c>
      <c r="B17" s="429"/>
      <c r="C17" s="316" t="s">
        <v>336</v>
      </c>
      <c r="D17" s="430"/>
      <c r="E17" s="431">
        <v>551</v>
      </c>
      <c r="F17" s="360">
        <v>551</v>
      </c>
      <c r="G17" s="360">
        <v>551</v>
      </c>
      <c r="H17" s="360">
        <v>551</v>
      </c>
      <c r="I17" s="56"/>
    </row>
    <row r="18" spans="1:9" s="280" customFormat="1" ht="12.75" customHeight="1">
      <c r="A18" s="428" t="s">
        <v>53</v>
      </c>
      <c r="B18" s="429"/>
      <c r="C18" s="20" t="s">
        <v>338</v>
      </c>
      <c r="D18" s="430"/>
      <c r="E18" s="431"/>
      <c r="F18" s="360"/>
      <c r="G18" s="360"/>
      <c r="H18" s="360"/>
      <c r="I18" s="56"/>
    </row>
    <row r="19" spans="1:9" s="280" customFormat="1" ht="12.75" customHeight="1">
      <c r="A19" s="420" t="s">
        <v>55</v>
      </c>
      <c r="B19" s="424" t="s">
        <v>47</v>
      </c>
      <c r="C19" s="13" t="s">
        <v>339</v>
      </c>
      <c r="D19" s="432"/>
      <c r="E19" s="426">
        <f>SUM(E20:E23)</f>
        <v>140442</v>
      </c>
      <c r="F19" s="427">
        <f>SUM(F20:F23)</f>
        <v>160538</v>
      </c>
      <c r="G19" s="427">
        <v>0</v>
      </c>
      <c r="H19" s="427">
        <v>0</v>
      </c>
      <c r="I19" s="56"/>
    </row>
    <row r="20" spans="1:9" s="280" customFormat="1" ht="12.75" customHeight="1">
      <c r="A20" s="428" t="s">
        <v>57</v>
      </c>
      <c r="B20" s="429"/>
      <c r="C20" s="316" t="s">
        <v>203</v>
      </c>
      <c r="D20" s="430"/>
      <c r="E20" s="431"/>
      <c r="F20" s="360"/>
      <c r="G20" s="360"/>
      <c r="H20" s="360"/>
      <c r="I20" s="56"/>
    </row>
    <row r="21" spans="1:9" s="280" customFormat="1" ht="12.75" customHeight="1">
      <c r="A21" s="428" t="s">
        <v>86</v>
      </c>
      <c r="B21" s="429"/>
      <c r="C21" s="316" t="s">
        <v>204</v>
      </c>
      <c r="D21" s="430"/>
      <c r="E21" s="431"/>
      <c r="F21" s="360"/>
      <c r="G21" s="360"/>
      <c r="H21" s="360"/>
      <c r="I21" s="56"/>
    </row>
    <row r="22" spans="1:9" s="280" customFormat="1" ht="12.75" customHeight="1">
      <c r="A22" s="428" t="s">
        <v>59</v>
      </c>
      <c r="B22" s="433"/>
      <c r="C22" s="434" t="s">
        <v>340</v>
      </c>
      <c r="D22" s="430"/>
      <c r="E22" s="431">
        <v>15000</v>
      </c>
      <c r="F22" s="360">
        <v>15000</v>
      </c>
      <c r="G22" s="360">
        <v>0</v>
      </c>
      <c r="H22" s="360">
        <v>0</v>
      </c>
      <c r="I22" s="56"/>
    </row>
    <row r="23" spans="1:9" s="280" customFormat="1" ht="12.75" customHeight="1">
      <c r="A23" s="428" t="s">
        <v>61</v>
      </c>
      <c r="B23" s="363"/>
      <c r="C23" s="20" t="s">
        <v>338</v>
      </c>
      <c r="D23" s="430"/>
      <c r="E23" s="431">
        <v>125442</v>
      </c>
      <c r="F23" s="360">
        <v>145538</v>
      </c>
      <c r="G23" s="360">
        <v>0</v>
      </c>
      <c r="H23" s="360">
        <v>0</v>
      </c>
      <c r="I23" s="56"/>
    </row>
    <row r="24" spans="1:9" s="280" customFormat="1" ht="12.75" customHeight="1">
      <c r="A24" s="420" t="s">
        <v>63</v>
      </c>
      <c r="B24" s="424" t="s">
        <v>49</v>
      </c>
      <c r="C24" s="13" t="s">
        <v>341</v>
      </c>
      <c r="D24" s="435"/>
      <c r="E24" s="426">
        <f>E25</f>
        <v>8200</v>
      </c>
      <c r="F24" s="427">
        <f>F25</f>
        <v>8200</v>
      </c>
      <c r="G24" s="427">
        <f>G25</f>
        <v>8200</v>
      </c>
      <c r="H24" s="427">
        <f>H25</f>
        <v>8200</v>
      </c>
      <c r="I24" s="56"/>
    </row>
    <row r="25" spans="1:9" s="280" customFormat="1" ht="12.75" customHeight="1">
      <c r="A25" s="428" t="s">
        <v>65</v>
      </c>
      <c r="B25" s="429"/>
      <c r="C25" s="316" t="s">
        <v>336</v>
      </c>
      <c r="D25" s="435"/>
      <c r="E25" s="431">
        <v>8200</v>
      </c>
      <c r="F25" s="360">
        <v>8200</v>
      </c>
      <c r="G25" s="360">
        <v>8200</v>
      </c>
      <c r="H25" s="360">
        <v>8200</v>
      </c>
      <c r="I25" s="56"/>
    </row>
    <row r="26" spans="1:9" s="280" customFormat="1" ht="12.75" customHeight="1">
      <c r="A26" s="420" t="s">
        <v>92</v>
      </c>
      <c r="B26" s="424" t="s">
        <v>51</v>
      </c>
      <c r="C26" s="13" t="s">
        <v>342</v>
      </c>
      <c r="D26" s="435"/>
      <c r="E26" s="426">
        <f>E27</f>
        <v>130</v>
      </c>
      <c r="F26" s="427">
        <f>F27</f>
        <v>130</v>
      </c>
      <c r="G26" s="427">
        <f>G27</f>
        <v>130</v>
      </c>
      <c r="H26" s="427">
        <f>H27</f>
        <v>130</v>
      </c>
      <c r="I26" s="56"/>
    </row>
    <row r="27" spans="1:9" s="280" customFormat="1" ht="12.75" customHeight="1">
      <c r="A27" s="428" t="s">
        <v>66</v>
      </c>
      <c r="B27" s="429"/>
      <c r="C27" s="316" t="s">
        <v>336</v>
      </c>
      <c r="D27" s="435"/>
      <c r="E27" s="431">
        <v>130</v>
      </c>
      <c r="F27" s="360">
        <v>130</v>
      </c>
      <c r="G27" s="360">
        <v>130</v>
      </c>
      <c r="H27" s="360">
        <v>130</v>
      </c>
      <c r="I27" s="56"/>
    </row>
    <row r="28" spans="1:9" s="280" customFormat="1" ht="12.75" customHeight="1">
      <c r="A28" s="420" t="s">
        <v>67</v>
      </c>
      <c r="B28" s="424" t="s">
        <v>53</v>
      </c>
      <c r="C28" s="13" t="s">
        <v>343</v>
      </c>
      <c r="D28" s="432">
        <v>4</v>
      </c>
      <c r="E28" s="426">
        <f>SUM(E29:E32)</f>
        <v>35014</v>
      </c>
      <c r="F28" s="427">
        <f>SUM(F29:F32)</f>
        <v>35014</v>
      </c>
      <c r="G28" s="427">
        <f>SUM(G29:G32)</f>
        <v>35014</v>
      </c>
      <c r="H28" s="427">
        <f>SUM(H29:H32)</f>
        <v>35014</v>
      </c>
      <c r="I28" s="56"/>
    </row>
    <row r="29" spans="1:9" s="280" customFormat="1" ht="12.75" customHeight="1">
      <c r="A29" s="428" t="s">
        <v>68</v>
      </c>
      <c r="B29" s="429"/>
      <c r="C29" s="316" t="s">
        <v>203</v>
      </c>
      <c r="D29" s="435"/>
      <c r="E29" s="431">
        <v>23185</v>
      </c>
      <c r="F29" s="360">
        <v>23185</v>
      </c>
      <c r="G29" s="360">
        <v>23185</v>
      </c>
      <c r="H29" s="360">
        <v>23185</v>
      </c>
      <c r="I29" s="56"/>
    </row>
    <row r="30" spans="1:9" s="280" customFormat="1" ht="12.75" customHeight="1">
      <c r="A30" s="428" t="s">
        <v>70</v>
      </c>
      <c r="B30" s="429"/>
      <c r="C30" s="316" t="s">
        <v>204</v>
      </c>
      <c r="D30" s="435"/>
      <c r="E30" s="431">
        <v>6329</v>
      </c>
      <c r="F30" s="360">
        <v>6329</v>
      </c>
      <c r="G30" s="360">
        <v>6329</v>
      </c>
      <c r="H30" s="360">
        <v>6329</v>
      </c>
      <c r="I30" s="56"/>
    </row>
    <row r="31" spans="1:9" s="280" customFormat="1" ht="12.75" customHeight="1">
      <c r="A31" s="428" t="s">
        <v>97</v>
      </c>
      <c r="B31" s="436"/>
      <c r="C31" s="437" t="s">
        <v>340</v>
      </c>
      <c r="D31" s="438"/>
      <c r="E31" s="431">
        <v>4000</v>
      </c>
      <c r="F31" s="360">
        <v>4000</v>
      </c>
      <c r="G31" s="360">
        <v>4000</v>
      </c>
      <c r="H31" s="360">
        <v>4000</v>
      </c>
      <c r="I31" s="56"/>
    </row>
    <row r="32" spans="1:9" s="280" customFormat="1" ht="12.75" customHeight="1">
      <c r="A32" s="428" t="s">
        <v>99</v>
      </c>
      <c r="B32" s="436"/>
      <c r="C32" s="20" t="s">
        <v>344</v>
      </c>
      <c r="D32" s="438"/>
      <c r="E32" s="431">
        <v>1500</v>
      </c>
      <c r="F32" s="360">
        <v>1500</v>
      </c>
      <c r="G32" s="360">
        <v>1500</v>
      </c>
      <c r="H32" s="360">
        <v>1500</v>
      </c>
      <c r="I32" s="56"/>
    </row>
    <row r="33" spans="1:9" s="280" customFormat="1" ht="12.75" customHeight="1">
      <c r="A33" s="420" t="s">
        <v>101</v>
      </c>
      <c r="B33" s="439" t="s">
        <v>55</v>
      </c>
      <c r="C33" s="13" t="s">
        <v>345</v>
      </c>
      <c r="D33" s="440">
        <v>0</v>
      </c>
      <c r="E33" s="431">
        <f>E36</f>
        <v>0</v>
      </c>
      <c r="F33" s="360">
        <f>F36</f>
        <v>0</v>
      </c>
      <c r="G33" s="360">
        <f>G36</f>
        <v>0</v>
      </c>
      <c r="H33" s="360">
        <f>H36</f>
        <v>0</v>
      </c>
      <c r="I33" s="56"/>
    </row>
    <row r="34" spans="1:9" s="280" customFormat="1" ht="12.75" customHeight="1">
      <c r="A34" s="428" t="s">
        <v>103</v>
      </c>
      <c r="B34" s="436"/>
      <c r="C34" s="316" t="s">
        <v>346</v>
      </c>
      <c r="D34" s="435"/>
      <c r="E34" s="431">
        <v>0</v>
      </c>
      <c r="F34" s="360">
        <v>0</v>
      </c>
      <c r="G34" s="360">
        <v>0</v>
      </c>
      <c r="H34" s="360">
        <v>0</v>
      </c>
      <c r="I34" s="56"/>
    </row>
    <row r="35" spans="1:9" s="280" customFormat="1" ht="12.75" customHeight="1">
      <c r="A35" s="428" t="s">
        <v>105</v>
      </c>
      <c r="B35" s="436"/>
      <c r="C35" s="316" t="s">
        <v>347</v>
      </c>
      <c r="D35" s="435"/>
      <c r="E35" s="431">
        <v>0</v>
      </c>
      <c r="F35" s="360">
        <v>0</v>
      </c>
      <c r="G35" s="360">
        <v>0</v>
      </c>
      <c r="H35" s="360">
        <v>0</v>
      </c>
      <c r="I35" s="56"/>
    </row>
    <row r="36" spans="1:9" s="280" customFormat="1" ht="12.75" customHeight="1">
      <c r="A36" s="428" t="s">
        <v>107</v>
      </c>
      <c r="B36" s="436"/>
      <c r="C36" s="316" t="s">
        <v>340</v>
      </c>
      <c r="D36" s="435"/>
      <c r="E36" s="431">
        <v>0</v>
      </c>
      <c r="F36" s="360">
        <v>0</v>
      </c>
      <c r="G36" s="360">
        <v>0</v>
      </c>
      <c r="H36" s="360">
        <v>0</v>
      </c>
      <c r="I36" s="56"/>
    </row>
    <row r="37" spans="1:9" s="280" customFormat="1" ht="12.75" customHeight="1">
      <c r="A37" s="420" t="s">
        <v>109</v>
      </c>
      <c r="B37" s="439" t="s">
        <v>57</v>
      </c>
      <c r="C37" s="13" t="s">
        <v>348</v>
      </c>
      <c r="D37" s="435"/>
      <c r="E37" s="426">
        <f>SUM(E38:E39)</f>
        <v>236</v>
      </c>
      <c r="F37" s="427">
        <f>SUM(F38:F39)</f>
        <v>236</v>
      </c>
      <c r="G37" s="427">
        <f>SUM(G38:G39)</f>
        <v>236</v>
      </c>
      <c r="H37" s="427">
        <f>SUM(H38:H39)</f>
        <v>236</v>
      </c>
      <c r="I37" s="56"/>
    </row>
    <row r="38" spans="1:9" s="280" customFormat="1" ht="12.75" customHeight="1">
      <c r="A38" s="428" t="s">
        <v>111</v>
      </c>
      <c r="B38" s="436"/>
      <c r="C38" s="316" t="s">
        <v>203</v>
      </c>
      <c r="D38" s="435"/>
      <c r="E38" s="431">
        <v>185</v>
      </c>
      <c r="F38" s="360">
        <v>185</v>
      </c>
      <c r="G38" s="360">
        <v>185</v>
      </c>
      <c r="H38" s="360">
        <v>185</v>
      </c>
      <c r="I38" s="56"/>
    </row>
    <row r="39" spans="1:9" s="280" customFormat="1" ht="12.75" customHeight="1">
      <c r="A39" s="428" t="s">
        <v>113</v>
      </c>
      <c r="B39" s="436"/>
      <c r="C39" s="316" t="s">
        <v>204</v>
      </c>
      <c r="D39" s="435"/>
      <c r="E39" s="431">
        <v>51</v>
      </c>
      <c r="F39" s="360">
        <v>51</v>
      </c>
      <c r="G39" s="360">
        <v>51</v>
      </c>
      <c r="H39" s="360">
        <v>51</v>
      </c>
      <c r="I39" s="56"/>
    </row>
    <row r="40" spans="1:9" s="280" customFormat="1" ht="12.75" customHeight="1">
      <c r="A40" s="428" t="s">
        <v>115</v>
      </c>
      <c r="B40" s="436"/>
      <c r="C40" s="20" t="s">
        <v>344</v>
      </c>
      <c r="D40" s="435"/>
      <c r="E40" s="431"/>
      <c r="F40" s="360"/>
      <c r="G40" s="360"/>
      <c r="H40" s="360"/>
      <c r="I40" s="56"/>
    </row>
    <row r="41" spans="1:9" s="280" customFormat="1" ht="12.75" customHeight="1">
      <c r="A41" s="420" t="s">
        <v>117</v>
      </c>
      <c r="B41" s="439">
        <v>9</v>
      </c>
      <c r="C41" s="13" t="s">
        <v>349</v>
      </c>
      <c r="D41" s="435"/>
      <c r="E41" s="426">
        <f>SUM(E42:E45)</f>
        <v>31264</v>
      </c>
      <c r="F41" s="427">
        <f>SUM(F42:F45)</f>
        <v>32112</v>
      </c>
      <c r="G41" s="427">
        <f>SUM(G42:G45)</f>
        <v>34077</v>
      </c>
      <c r="H41" s="427">
        <f>SUM(H42:H45)</f>
        <v>34172</v>
      </c>
      <c r="I41" s="56"/>
    </row>
    <row r="42" spans="1:9" s="280" customFormat="1" ht="12.75" customHeight="1">
      <c r="A42" s="428" t="s">
        <v>118</v>
      </c>
      <c r="B42" s="436"/>
      <c r="C42" s="20" t="s">
        <v>344</v>
      </c>
      <c r="D42" s="441"/>
      <c r="E42" s="431">
        <v>8639</v>
      </c>
      <c r="F42" s="360">
        <v>8639</v>
      </c>
      <c r="G42" s="360">
        <v>8772</v>
      </c>
      <c r="H42" s="360">
        <v>7272</v>
      </c>
      <c r="I42" s="56"/>
    </row>
    <row r="43" spans="1:9" s="280" customFormat="1" ht="12.75" customHeight="1">
      <c r="A43" s="428" t="s">
        <v>120</v>
      </c>
      <c r="B43" s="436"/>
      <c r="C43" s="20" t="s">
        <v>350</v>
      </c>
      <c r="D43" s="441"/>
      <c r="E43" s="431">
        <v>18725</v>
      </c>
      <c r="F43" s="360">
        <v>19573</v>
      </c>
      <c r="G43" s="360">
        <v>21405</v>
      </c>
      <c r="H43" s="360">
        <v>23000</v>
      </c>
      <c r="I43" s="56"/>
    </row>
    <row r="44" spans="1:9" s="280" customFormat="1" ht="12.75" customHeight="1">
      <c r="A44" s="428" t="s">
        <v>122</v>
      </c>
      <c r="B44" s="436"/>
      <c r="C44" s="20" t="s">
        <v>351</v>
      </c>
      <c r="D44" s="441"/>
      <c r="E44" s="431">
        <v>3000</v>
      </c>
      <c r="F44" s="360">
        <v>3000</v>
      </c>
      <c r="G44" s="360">
        <v>3000</v>
      </c>
      <c r="H44" s="360">
        <v>3000</v>
      </c>
      <c r="I44" s="56"/>
    </row>
    <row r="45" spans="1:9" s="280" customFormat="1" ht="12.75" customHeight="1">
      <c r="A45" s="428" t="s">
        <v>124</v>
      </c>
      <c r="B45" s="436"/>
      <c r="C45" s="20" t="s">
        <v>352</v>
      </c>
      <c r="D45" s="441"/>
      <c r="E45" s="431">
        <v>900</v>
      </c>
      <c r="F45" s="360">
        <v>900</v>
      </c>
      <c r="G45" s="360">
        <v>900</v>
      </c>
      <c r="H45" s="360">
        <v>900</v>
      </c>
      <c r="I45" s="56"/>
    </row>
    <row r="46" spans="1:9" s="280" customFormat="1" ht="12" customHeight="1">
      <c r="A46" s="420" t="s">
        <v>126</v>
      </c>
      <c r="B46" s="439">
        <v>10</v>
      </c>
      <c r="C46" s="13" t="s">
        <v>353</v>
      </c>
      <c r="D46" s="441"/>
      <c r="E46" s="426">
        <f>SUM(E47:E62)</f>
        <v>3210</v>
      </c>
      <c r="F46" s="427">
        <f>SUM(F47:F62)</f>
        <v>3210</v>
      </c>
      <c r="G46" s="427">
        <f>SUM(G47:G62)</f>
        <v>3210</v>
      </c>
      <c r="H46" s="427">
        <f>SUM(H47:H62)</f>
        <v>3274</v>
      </c>
      <c r="I46" s="56"/>
    </row>
    <row r="47" spans="1:9" s="280" customFormat="1" ht="12.75" customHeight="1">
      <c r="A47" s="428" t="s">
        <v>128</v>
      </c>
      <c r="B47" s="436"/>
      <c r="C47" s="20" t="s">
        <v>354</v>
      </c>
      <c r="D47" s="441"/>
      <c r="E47" s="431"/>
      <c r="F47" s="360"/>
      <c r="G47" s="360"/>
      <c r="H47" s="360"/>
      <c r="I47" s="56"/>
    </row>
    <row r="48" spans="1:9" s="280" customFormat="1" ht="12.75" customHeight="1">
      <c r="A48" s="428" t="s">
        <v>130</v>
      </c>
      <c r="B48" s="436"/>
      <c r="C48" s="316" t="s">
        <v>355</v>
      </c>
      <c r="D48" s="441"/>
      <c r="E48" s="431"/>
      <c r="F48" s="360"/>
      <c r="G48" s="360"/>
      <c r="H48" s="360"/>
      <c r="I48" s="56"/>
    </row>
    <row r="49" spans="1:9" s="280" customFormat="1" ht="12.75" customHeight="1">
      <c r="A49" s="428" t="s">
        <v>131</v>
      </c>
      <c r="B49" s="436"/>
      <c r="C49" s="316" t="s">
        <v>356</v>
      </c>
      <c r="D49" s="441"/>
      <c r="E49" s="431">
        <v>1500</v>
      </c>
      <c r="F49" s="360">
        <v>1500</v>
      </c>
      <c r="G49" s="360">
        <v>1500</v>
      </c>
      <c r="H49" s="360">
        <v>1500</v>
      </c>
      <c r="I49" s="56"/>
    </row>
    <row r="50" spans="1:9" s="280" customFormat="1" ht="12.75" customHeight="1">
      <c r="A50" s="428" t="s">
        <v>133</v>
      </c>
      <c r="B50" s="436"/>
      <c r="C50" s="316" t="s">
        <v>357</v>
      </c>
      <c r="D50" s="441"/>
      <c r="E50" s="431"/>
      <c r="F50" s="360"/>
      <c r="G50" s="360"/>
      <c r="H50" s="360"/>
      <c r="I50" s="56"/>
    </row>
    <row r="51" spans="1:9" s="280" customFormat="1" ht="12.75" customHeight="1">
      <c r="A51" s="428" t="s">
        <v>135</v>
      </c>
      <c r="B51" s="436"/>
      <c r="C51" s="316" t="s">
        <v>358</v>
      </c>
      <c r="D51" s="441"/>
      <c r="E51" s="431"/>
      <c r="F51" s="360"/>
      <c r="G51" s="360"/>
      <c r="H51" s="360"/>
      <c r="I51" s="56"/>
    </row>
    <row r="52" spans="1:9" s="280" customFormat="1" ht="12.75" customHeight="1">
      <c r="A52" s="428" t="s">
        <v>137</v>
      </c>
      <c r="B52" s="436"/>
      <c r="C52" s="316" t="s">
        <v>359</v>
      </c>
      <c r="D52" s="441"/>
      <c r="E52" s="431"/>
      <c r="F52" s="360"/>
      <c r="G52" s="360"/>
      <c r="H52" s="360"/>
      <c r="I52" s="56"/>
    </row>
    <row r="53" spans="1:9" s="280" customFormat="1" ht="12.75" customHeight="1">
      <c r="A53" s="428" t="s">
        <v>139</v>
      </c>
      <c r="B53" s="436"/>
      <c r="C53" s="316" t="s">
        <v>360</v>
      </c>
      <c r="D53" s="441"/>
      <c r="E53" s="431">
        <v>400</v>
      </c>
      <c r="F53" s="360">
        <v>400</v>
      </c>
      <c r="G53" s="360">
        <v>400</v>
      </c>
      <c r="H53" s="360">
        <v>400</v>
      </c>
      <c r="I53" s="56"/>
    </row>
    <row r="54" spans="1:9" s="280" customFormat="1" ht="12.75" customHeight="1">
      <c r="A54" s="428" t="s">
        <v>141</v>
      </c>
      <c r="B54" s="436"/>
      <c r="C54" s="316" t="s">
        <v>361</v>
      </c>
      <c r="D54" s="441"/>
      <c r="E54" s="431"/>
      <c r="F54" s="360"/>
      <c r="G54" s="360"/>
      <c r="H54" s="360"/>
      <c r="I54" s="56"/>
    </row>
    <row r="55" spans="1:9" s="280" customFormat="1" ht="12.75" customHeight="1">
      <c r="A55" s="428" t="s">
        <v>143</v>
      </c>
      <c r="B55" s="436"/>
      <c r="C55" s="316" t="s">
        <v>362</v>
      </c>
      <c r="D55" s="441"/>
      <c r="E55" s="431">
        <v>950</v>
      </c>
      <c r="F55" s="360">
        <v>950</v>
      </c>
      <c r="G55" s="360">
        <v>950</v>
      </c>
      <c r="H55" s="360">
        <v>950</v>
      </c>
      <c r="I55" s="56"/>
    </row>
    <row r="56" spans="1:9" s="280" customFormat="1" ht="12.75" customHeight="1">
      <c r="A56" s="428" t="s">
        <v>145</v>
      </c>
      <c r="B56" s="436"/>
      <c r="C56" s="316" t="s">
        <v>363</v>
      </c>
      <c r="D56" s="435"/>
      <c r="E56" s="431">
        <v>60</v>
      </c>
      <c r="F56" s="360">
        <v>60</v>
      </c>
      <c r="G56" s="360">
        <v>60</v>
      </c>
      <c r="H56" s="360">
        <v>60</v>
      </c>
      <c r="I56" s="56"/>
    </row>
    <row r="57" spans="1:9" s="280" customFormat="1" ht="12.75" customHeight="1">
      <c r="A57" s="428" t="s">
        <v>147</v>
      </c>
      <c r="B57" s="436"/>
      <c r="C57" s="316" t="s">
        <v>364</v>
      </c>
      <c r="D57" s="435"/>
      <c r="E57" s="431">
        <v>180</v>
      </c>
      <c r="F57" s="360">
        <v>180</v>
      </c>
      <c r="G57" s="360">
        <v>180</v>
      </c>
      <c r="H57" s="360">
        <v>244</v>
      </c>
      <c r="I57" s="56"/>
    </row>
    <row r="58" spans="1:9" s="280" customFormat="1" ht="12.75" customHeight="1">
      <c r="A58" s="428" t="s">
        <v>149</v>
      </c>
      <c r="B58" s="436"/>
      <c r="C58" s="316" t="s">
        <v>365</v>
      </c>
      <c r="D58" s="435"/>
      <c r="E58" s="431"/>
      <c r="F58" s="360"/>
      <c r="G58" s="360"/>
      <c r="H58" s="360"/>
      <c r="I58" s="56"/>
    </row>
    <row r="59" spans="1:9" s="280" customFormat="1" ht="12.75" customHeight="1">
      <c r="A59" s="428" t="s">
        <v>151</v>
      </c>
      <c r="B59" s="436"/>
      <c r="C59" s="316" t="s">
        <v>366</v>
      </c>
      <c r="D59" s="435"/>
      <c r="E59" s="431"/>
      <c r="F59" s="360"/>
      <c r="G59" s="360"/>
      <c r="H59" s="360"/>
      <c r="I59" s="56"/>
    </row>
    <row r="60" spans="1:9" s="280" customFormat="1" ht="12.75" customHeight="1">
      <c r="A60" s="428" t="s">
        <v>213</v>
      </c>
      <c r="B60" s="436"/>
      <c r="C60" s="316" t="s">
        <v>367</v>
      </c>
      <c r="D60" s="435"/>
      <c r="E60" s="431"/>
      <c r="F60" s="360"/>
      <c r="G60" s="360"/>
      <c r="H60" s="360"/>
      <c r="I60" s="56"/>
    </row>
    <row r="61" spans="1:9" s="280" customFormat="1" ht="12.75" customHeight="1">
      <c r="A61" s="428" t="s">
        <v>215</v>
      </c>
      <c r="B61" s="436"/>
      <c r="C61" s="316" t="s">
        <v>368</v>
      </c>
      <c r="D61" s="435"/>
      <c r="E61" s="431">
        <v>120</v>
      </c>
      <c r="F61" s="360">
        <v>120</v>
      </c>
      <c r="G61" s="360">
        <v>120</v>
      </c>
      <c r="H61" s="360">
        <v>120</v>
      </c>
      <c r="I61" s="56"/>
    </row>
    <row r="62" spans="1:9" s="280" customFormat="1" ht="12.75" customHeight="1">
      <c r="A62" s="428" t="s">
        <v>216</v>
      </c>
      <c r="B62" s="436"/>
      <c r="C62" s="316" t="s">
        <v>369</v>
      </c>
      <c r="D62" s="435"/>
      <c r="E62" s="431"/>
      <c r="F62" s="360"/>
      <c r="G62" s="360"/>
      <c r="H62" s="360"/>
      <c r="I62" s="56"/>
    </row>
    <row r="63" spans="1:9" s="280" customFormat="1" ht="12.75" customHeight="1">
      <c r="A63" s="420" t="s">
        <v>218</v>
      </c>
      <c r="B63" s="357">
        <v>11</v>
      </c>
      <c r="C63" s="10" t="s">
        <v>370</v>
      </c>
      <c r="D63" s="430"/>
      <c r="E63" s="426">
        <f>SUM(E64:E72)</f>
        <v>88748</v>
      </c>
      <c r="F63" s="427">
        <f>SUM(F64:F73)</f>
        <v>164203</v>
      </c>
      <c r="G63" s="427">
        <f>SUM(G64:G73)</f>
        <v>303181</v>
      </c>
      <c r="H63" s="427">
        <f>SUM(H64:H74)</f>
        <v>289411</v>
      </c>
      <c r="I63" s="56"/>
    </row>
    <row r="64" spans="1:9" s="280" customFormat="1" ht="12.75" customHeight="1">
      <c r="A64" s="428" t="s">
        <v>220</v>
      </c>
      <c r="B64" s="363"/>
      <c r="C64" s="20" t="s">
        <v>203</v>
      </c>
      <c r="D64" s="442"/>
      <c r="E64" s="431">
        <v>15535</v>
      </c>
      <c r="F64" s="360">
        <v>15692</v>
      </c>
      <c r="G64" s="360">
        <v>16947</v>
      </c>
      <c r="H64" s="360">
        <v>16947</v>
      </c>
      <c r="I64" s="56"/>
    </row>
    <row r="65" spans="1:9" s="280" customFormat="1" ht="12.75" customHeight="1">
      <c r="A65" s="428" t="s">
        <v>371</v>
      </c>
      <c r="B65" s="363"/>
      <c r="C65" s="316" t="s">
        <v>204</v>
      </c>
      <c r="D65" s="442"/>
      <c r="E65" s="431">
        <v>3579</v>
      </c>
      <c r="F65" s="360">
        <v>3579</v>
      </c>
      <c r="G65" s="360">
        <v>3903</v>
      </c>
      <c r="H65" s="360">
        <v>3903</v>
      </c>
      <c r="I65" s="56"/>
    </row>
    <row r="66" spans="1:9" s="280" customFormat="1" ht="12.75" customHeight="1">
      <c r="A66" s="428" t="s">
        <v>372</v>
      </c>
      <c r="B66" s="363"/>
      <c r="C66" s="92" t="s">
        <v>340</v>
      </c>
      <c r="D66" s="442"/>
      <c r="E66" s="431">
        <v>14959</v>
      </c>
      <c r="F66" s="360">
        <v>13153</v>
      </c>
      <c r="G66" s="360">
        <v>50254</v>
      </c>
      <c r="H66" s="360">
        <v>57575</v>
      </c>
      <c r="I66" s="56"/>
    </row>
    <row r="67" spans="1:9" s="280" customFormat="1" ht="15" customHeight="1">
      <c r="A67" s="428" t="s">
        <v>373</v>
      </c>
      <c r="B67" s="363"/>
      <c r="C67" s="20" t="s">
        <v>374</v>
      </c>
      <c r="D67" s="442"/>
      <c r="E67" s="431">
        <v>36582</v>
      </c>
      <c r="F67" s="360">
        <v>51720</v>
      </c>
      <c r="G67" s="360">
        <v>33726</v>
      </c>
      <c r="H67" s="360">
        <v>33438</v>
      </c>
      <c r="I67" s="56"/>
    </row>
    <row r="68" spans="1:9" s="280" customFormat="1" ht="15" customHeight="1">
      <c r="A68" s="428" t="s">
        <v>375</v>
      </c>
      <c r="B68" s="363"/>
      <c r="C68" s="20" t="s">
        <v>376</v>
      </c>
      <c r="D68" s="442"/>
      <c r="E68" s="431"/>
      <c r="F68" s="360"/>
      <c r="G68" s="360">
        <v>117695</v>
      </c>
      <c r="H68" s="360">
        <v>96087</v>
      </c>
      <c r="I68" s="56"/>
    </row>
    <row r="69" spans="1:9" s="280" customFormat="1" ht="15" customHeight="1">
      <c r="A69" s="428" t="s">
        <v>377</v>
      </c>
      <c r="B69" s="363"/>
      <c r="C69" s="20" t="s">
        <v>378</v>
      </c>
      <c r="D69" s="442"/>
      <c r="E69" s="431">
        <v>0</v>
      </c>
      <c r="F69" s="360">
        <v>0</v>
      </c>
      <c r="G69" s="360">
        <v>400</v>
      </c>
      <c r="H69" s="360">
        <v>400</v>
      </c>
      <c r="I69" s="56"/>
    </row>
    <row r="70" spans="1:9" s="280" customFormat="1" ht="15" customHeight="1">
      <c r="A70" s="428" t="s">
        <v>379</v>
      </c>
      <c r="B70" s="363"/>
      <c r="C70" s="20" t="s">
        <v>214</v>
      </c>
      <c r="D70" s="442"/>
      <c r="E70" s="431">
        <v>6052</v>
      </c>
      <c r="F70" s="360">
        <v>0</v>
      </c>
      <c r="G70" s="360">
        <v>0</v>
      </c>
      <c r="H70" s="360">
        <v>0</v>
      </c>
      <c r="I70" s="56"/>
    </row>
    <row r="71" spans="1:9" s="280" customFormat="1" ht="15" customHeight="1">
      <c r="A71" s="428" t="s">
        <v>380</v>
      </c>
      <c r="B71" s="363"/>
      <c r="C71" s="20" t="s">
        <v>217</v>
      </c>
      <c r="D71" s="442"/>
      <c r="E71" s="431">
        <v>12041</v>
      </c>
      <c r="F71" s="360">
        <v>80000</v>
      </c>
      <c r="G71" s="360">
        <v>80000</v>
      </c>
      <c r="H71" s="360">
        <v>80000</v>
      </c>
      <c r="I71" s="56"/>
    </row>
    <row r="72" spans="1:9" s="280" customFormat="1" ht="15" customHeight="1">
      <c r="A72" s="428" t="s">
        <v>381</v>
      </c>
      <c r="B72" s="363"/>
      <c r="C72" s="20" t="s">
        <v>195</v>
      </c>
      <c r="D72" s="442"/>
      <c r="E72" s="431"/>
      <c r="F72" s="360"/>
      <c r="G72" s="360"/>
      <c r="H72" s="360"/>
      <c r="I72" s="56"/>
    </row>
    <row r="73" spans="1:9" s="280" customFormat="1" ht="15" customHeight="1">
      <c r="A73" s="428" t="s">
        <v>382</v>
      </c>
      <c r="B73" s="363"/>
      <c r="C73" s="20" t="s">
        <v>383</v>
      </c>
      <c r="D73" s="442"/>
      <c r="E73" s="431"/>
      <c r="F73" s="360">
        <v>59</v>
      </c>
      <c r="G73" s="360">
        <v>256</v>
      </c>
      <c r="H73" s="360">
        <v>256</v>
      </c>
      <c r="I73" s="56"/>
    </row>
    <row r="74" spans="1:9" s="280" customFormat="1" ht="15" customHeight="1">
      <c r="A74" s="428" t="s">
        <v>384</v>
      </c>
      <c r="B74" s="363"/>
      <c r="C74" s="20" t="s">
        <v>800</v>
      </c>
      <c r="D74" s="442"/>
      <c r="E74" s="431">
        <v>0</v>
      </c>
      <c r="F74" s="360">
        <v>0</v>
      </c>
      <c r="G74" s="360">
        <v>0</v>
      </c>
      <c r="H74" s="360">
        <v>805</v>
      </c>
      <c r="I74" s="56"/>
    </row>
    <row r="75" spans="1:9" s="337" customFormat="1" ht="15" customHeight="1">
      <c r="A75" s="420" t="s">
        <v>386</v>
      </c>
      <c r="B75" s="357">
        <v>12</v>
      </c>
      <c r="C75" s="13" t="s">
        <v>385</v>
      </c>
      <c r="D75" s="443"/>
      <c r="E75" s="426">
        <v>0</v>
      </c>
      <c r="F75" s="427">
        <v>7406</v>
      </c>
      <c r="G75" s="427">
        <v>9718</v>
      </c>
      <c r="H75" s="427">
        <v>10204</v>
      </c>
      <c r="I75" s="90"/>
    </row>
    <row r="76" spans="1:9" s="280" customFormat="1" ht="15" customHeight="1">
      <c r="A76" s="428" t="s">
        <v>387</v>
      </c>
      <c r="B76" s="363"/>
      <c r="C76" s="20" t="s">
        <v>214</v>
      </c>
      <c r="D76" s="442"/>
      <c r="E76" s="431">
        <v>0</v>
      </c>
      <c r="F76" s="360">
        <v>7406</v>
      </c>
      <c r="G76" s="360">
        <v>9718</v>
      </c>
      <c r="H76" s="360">
        <v>10204</v>
      </c>
      <c r="I76" s="56"/>
    </row>
    <row r="77" spans="1:9" s="280" customFormat="1" ht="12.75" customHeight="1">
      <c r="A77" s="420" t="s">
        <v>389</v>
      </c>
      <c r="B77" s="357">
        <v>13</v>
      </c>
      <c r="C77" s="13" t="s">
        <v>388</v>
      </c>
      <c r="D77" s="425">
        <v>0</v>
      </c>
      <c r="E77" s="431">
        <f>SUM(E78:E80)</f>
        <v>0</v>
      </c>
      <c r="F77" s="360">
        <f>SUM(F78:F80)</f>
        <v>0</v>
      </c>
      <c r="G77" s="360">
        <f>SUM(G78:G80)</f>
        <v>0</v>
      </c>
      <c r="H77" s="360">
        <f>SUM(H78:H80)</f>
        <v>0</v>
      </c>
      <c r="I77" s="56"/>
    </row>
    <row r="78" spans="1:9" s="280" customFormat="1" ht="12.75" customHeight="1">
      <c r="A78" s="1284" t="s">
        <v>390</v>
      </c>
      <c r="B78" s="363"/>
      <c r="C78" s="316" t="s">
        <v>203</v>
      </c>
      <c r="D78" s="430"/>
      <c r="E78" s="431"/>
      <c r="F78" s="360"/>
      <c r="G78" s="360"/>
      <c r="H78" s="360"/>
      <c r="I78" s="56"/>
    </row>
    <row r="79" spans="1:9" s="280" customFormat="1" ht="12.75" customHeight="1">
      <c r="A79" s="428" t="s">
        <v>391</v>
      </c>
      <c r="B79" s="363"/>
      <c r="C79" s="316" t="s">
        <v>204</v>
      </c>
      <c r="D79" s="430"/>
      <c r="E79" s="431"/>
      <c r="F79" s="360"/>
      <c r="G79" s="360"/>
      <c r="H79" s="360"/>
      <c r="I79" s="56"/>
    </row>
    <row r="80" spans="1:9" s="280" customFormat="1" ht="12.75" customHeight="1">
      <c r="A80" s="428" t="s">
        <v>392</v>
      </c>
      <c r="B80" s="363"/>
      <c r="C80" s="316" t="s">
        <v>340</v>
      </c>
      <c r="D80" s="430"/>
      <c r="E80" s="431"/>
      <c r="F80" s="360"/>
      <c r="G80" s="360"/>
      <c r="H80" s="360"/>
      <c r="I80" s="56"/>
    </row>
    <row r="81" spans="1:9" s="337" customFormat="1" ht="12.75" customHeight="1">
      <c r="A81" s="420" t="s">
        <v>394</v>
      </c>
      <c r="B81" s="357">
        <v>14</v>
      </c>
      <c r="C81" s="13" t="s">
        <v>393</v>
      </c>
      <c r="D81" s="425"/>
      <c r="E81" s="431"/>
      <c r="F81" s="360"/>
      <c r="G81" s="360"/>
      <c r="H81" s="360"/>
      <c r="I81" s="90"/>
    </row>
    <row r="82" spans="1:9" s="280" customFormat="1" ht="12.75" customHeight="1">
      <c r="A82" s="428" t="s">
        <v>395</v>
      </c>
      <c r="B82" s="363"/>
      <c r="C82" s="316" t="s">
        <v>336</v>
      </c>
      <c r="D82" s="430"/>
      <c r="E82" s="431"/>
      <c r="F82" s="360"/>
      <c r="G82" s="360"/>
      <c r="H82" s="360"/>
      <c r="I82" s="56"/>
    </row>
    <row r="83" spans="1:14" s="280" customFormat="1" ht="12.75" customHeight="1">
      <c r="A83" s="428" t="s">
        <v>396</v>
      </c>
      <c r="B83" s="363"/>
      <c r="C83" s="316" t="s">
        <v>376</v>
      </c>
      <c r="D83" s="430"/>
      <c r="E83" s="431"/>
      <c r="F83" s="360"/>
      <c r="G83" s="360"/>
      <c r="H83" s="360"/>
      <c r="I83" s="56"/>
      <c r="J83" s="56"/>
      <c r="K83" s="56"/>
      <c r="L83" s="56"/>
      <c r="M83" s="56"/>
      <c r="N83" s="56"/>
    </row>
    <row r="84" spans="1:70" s="444" customFormat="1" ht="12.75" customHeight="1">
      <c r="A84" s="420" t="s">
        <v>398</v>
      </c>
      <c r="B84" s="357">
        <v>15</v>
      </c>
      <c r="C84" s="13" t="s">
        <v>397</v>
      </c>
      <c r="D84" s="13">
        <f>SUM(D85:D87)</f>
        <v>0</v>
      </c>
      <c r="E84" s="431">
        <f>SUM(E85:E87)</f>
        <v>0</v>
      </c>
      <c r="F84" s="360">
        <f>SUM(F85:F87)</f>
        <v>0</v>
      </c>
      <c r="G84" s="360">
        <f>SUM(G85:G87)</f>
        <v>0</v>
      </c>
      <c r="H84" s="360">
        <f>SUM(H85:H87)</f>
        <v>0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</row>
    <row r="85" spans="1:70" s="445" customFormat="1" ht="13.5" customHeight="1">
      <c r="A85" s="428" t="s">
        <v>399</v>
      </c>
      <c r="B85" s="363"/>
      <c r="C85" s="316" t="s">
        <v>203</v>
      </c>
      <c r="D85" s="430"/>
      <c r="E85" s="431"/>
      <c r="F85" s="360"/>
      <c r="G85" s="360"/>
      <c r="H85" s="360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</row>
    <row r="86" spans="1:70" s="445" customFormat="1" ht="13.5" customHeight="1">
      <c r="A86" s="428" t="s">
        <v>400</v>
      </c>
      <c r="B86" s="363"/>
      <c r="C86" s="316" t="s">
        <v>204</v>
      </c>
      <c r="D86" s="430"/>
      <c r="E86" s="431"/>
      <c r="F86" s="360"/>
      <c r="G86" s="360"/>
      <c r="H86" s="360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</row>
    <row r="87" spans="1:70" s="445" customFormat="1" ht="15.75" customHeight="1">
      <c r="A87" s="428" t="s">
        <v>401</v>
      </c>
      <c r="B87" s="363"/>
      <c r="C87" s="316" t="s">
        <v>340</v>
      </c>
      <c r="D87" s="430"/>
      <c r="E87" s="431"/>
      <c r="F87" s="360"/>
      <c r="G87" s="360"/>
      <c r="H87" s="360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</row>
    <row r="88" spans="1:70" s="445" customFormat="1" ht="15.75" customHeight="1">
      <c r="A88" s="420" t="s">
        <v>403</v>
      </c>
      <c r="B88" s="357">
        <v>16</v>
      </c>
      <c r="C88" s="446" t="s">
        <v>402</v>
      </c>
      <c r="D88" s="430"/>
      <c r="E88" s="426">
        <v>248771</v>
      </c>
      <c r="F88" s="427">
        <v>252365</v>
      </c>
      <c r="G88" s="427">
        <v>274349</v>
      </c>
      <c r="H88" s="427">
        <v>276745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</row>
    <row r="89" spans="1:70" s="445" customFormat="1" ht="15.75" customHeight="1">
      <c r="A89" s="428" t="s">
        <v>405</v>
      </c>
      <c r="B89" s="363"/>
      <c r="C89" s="20" t="s">
        <v>404</v>
      </c>
      <c r="D89" s="442"/>
      <c r="E89" s="431">
        <v>248771</v>
      </c>
      <c r="F89" s="360">
        <v>252365</v>
      </c>
      <c r="G89" s="360">
        <v>274349</v>
      </c>
      <c r="H89" s="360">
        <v>276745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</row>
    <row r="90" spans="1:70" s="280" customFormat="1" ht="12.75" customHeight="1">
      <c r="A90" s="447" t="s">
        <v>406</v>
      </c>
      <c r="B90" s="448"/>
      <c r="C90" s="449" t="s">
        <v>306</v>
      </c>
      <c r="D90" s="15">
        <v>0</v>
      </c>
      <c r="E90" s="450">
        <f>SUM(E91:E102)</f>
        <v>557239</v>
      </c>
      <c r="F90" s="451">
        <f>SUM(F91:F103)</f>
        <v>663709</v>
      </c>
      <c r="G90" s="451">
        <f>SUM(G91:G104)</f>
        <v>669339</v>
      </c>
      <c r="H90" s="451">
        <f>SUM(H91:H104)</f>
        <v>657710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</row>
    <row r="91" spans="1:70" s="280" customFormat="1" ht="12.75" customHeight="1">
      <c r="A91" s="452" t="s">
        <v>407</v>
      </c>
      <c r="B91" s="453"/>
      <c r="C91" s="454" t="s">
        <v>203</v>
      </c>
      <c r="D91" s="455"/>
      <c r="E91" s="456">
        <f aca="true" t="shared" si="0" ref="E91:H92">E20+E29+E34+E38+E78+E64+E85</f>
        <v>38905</v>
      </c>
      <c r="F91" s="457">
        <f t="shared" si="0"/>
        <v>39062</v>
      </c>
      <c r="G91" s="457">
        <f t="shared" si="0"/>
        <v>40317</v>
      </c>
      <c r="H91" s="457">
        <f t="shared" si="0"/>
        <v>40317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</row>
    <row r="92" spans="1:70" s="280" customFormat="1" ht="12.75" customHeight="1">
      <c r="A92" s="458" t="s">
        <v>408</v>
      </c>
      <c r="B92" s="459"/>
      <c r="C92" s="460" t="s">
        <v>204</v>
      </c>
      <c r="D92" s="455"/>
      <c r="E92" s="456">
        <f t="shared" si="0"/>
        <v>9959</v>
      </c>
      <c r="F92" s="457">
        <f t="shared" si="0"/>
        <v>9959</v>
      </c>
      <c r="G92" s="457">
        <f t="shared" si="0"/>
        <v>10283</v>
      </c>
      <c r="H92" s="457">
        <f t="shared" si="0"/>
        <v>10283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</row>
    <row r="93" spans="1:70" s="280" customFormat="1" ht="12.75" customHeight="1">
      <c r="A93" s="458" t="s">
        <v>408</v>
      </c>
      <c r="B93" s="459"/>
      <c r="C93" s="460" t="s">
        <v>340</v>
      </c>
      <c r="D93" s="461"/>
      <c r="E93" s="462">
        <f>+E15+E17+E22+E25+E27+E31+E36+E66+E80+E87</f>
        <v>43513</v>
      </c>
      <c r="F93" s="463">
        <v>42615</v>
      </c>
      <c r="G93" s="463">
        <v>63808</v>
      </c>
      <c r="H93" s="463">
        <v>71129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</row>
    <row r="94" spans="1:14" s="280" customFormat="1" ht="12.75" customHeight="1">
      <c r="A94" s="1288" t="s">
        <v>409</v>
      </c>
      <c r="B94" s="1289"/>
      <c r="C94" s="474" t="s">
        <v>344</v>
      </c>
      <c r="D94" s="1290"/>
      <c r="E94" s="465">
        <f>E32+E40+E42+E43+E44+E45</f>
        <v>32764</v>
      </c>
      <c r="F94" s="466">
        <f>F32+F40+F42+F43+F44+F45</f>
        <v>33612</v>
      </c>
      <c r="G94" s="466">
        <f>G32+G40+G42+G43+G44+G45</f>
        <v>35577</v>
      </c>
      <c r="H94" s="466">
        <f>H32+H40+H42+H43+H44+H45</f>
        <v>35672</v>
      </c>
      <c r="I94" s="56"/>
      <c r="J94" s="56"/>
      <c r="K94" s="56"/>
      <c r="L94" s="56"/>
      <c r="M94" s="56"/>
      <c r="N94" s="56"/>
    </row>
    <row r="95" spans="1:14" s="280" customFormat="1" ht="12.75" customHeight="1">
      <c r="A95" s="1292" t="s">
        <v>410</v>
      </c>
      <c r="B95" s="1292"/>
      <c r="C95" s="1293" t="s">
        <v>411</v>
      </c>
      <c r="D95" s="1293"/>
      <c r="E95" s="1294">
        <f>E46</f>
        <v>3210</v>
      </c>
      <c r="F95" s="1294">
        <f>F46</f>
        <v>3210</v>
      </c>
      <c r="G95" s="1294">
        <f>G46</f>
        <v>3210</v>
      </c>
      <c r="H95" s="1294">
        <f>H46</f>
        <v>3274</v>
      </c>
      <c r="I95" s="56"/>
      <c r="J95" s="56"/>
      <c r="K95" s="56"/>
      <c r="L95" s="56"/>
      <c r="M95" s="56"/>
      <c r="N95" s="56"/>
    </row>
    <row r="96" spans="1:14" s="280" customFormat="1" ht="12.75" customHeight="1">
      <c r="A96" s="452" t="s">
        <v>412</v>
      </c>
      <c r="B96" s="1285"/>
      <c r="C96" s="1291" t="s">
        <v>935</v>
      </c>
      <c r="D96" s="1286"/>
      <c r="E96" s="412">
        <v>0</v>
      </c>
      <c r="F96" s="1287">
        <v>0</v>
      </c>
      <c r="G96" s="1287">
        <v>0</v>
      </c>
      <c r="H96" s="1287">
        <v>805</v>
      </c>
      <c r="I96" s="56"/>
      <c r="J96" s="56"/>
      <c r="K96" s="56"/>
      <c r="L96" s="56"/>
      <c r="M96" s="56"/>
      <c r="N96" s="56"/>
    </row>
    <row r="97" spans="1:14" s="280" customFormat="1" ht="12.75" customHeight="1">
      <c r="A97" s="458" t="s">
        <v>414</v>
      </c>
      <c r="B97" s="467"/>
      <c r="C97" s="468" t="s">
        <v>413</v>
      </c>
      <c r="D97" s="464"/>
      <c r="E97" s="469">
        <f>E23+E68</f>
        <v>125442</v>
      </c>
      <c r="F97" s="470">
        <v>143701</v>
      </c>
      <c r="G97" s="470">
        <v>117695</v>
      </c>
      <c r="H97" s="470">
        <v>95187</v>
      </c>
      <c r="I97" s="56"/>
      <c r="J97" s="56"/>
      <c r="K97" s="56"/>
      <c r="L97" s="56"/>
      <c r="M97" s="56"/>
      <c r="N97" s="56"/>
    </row>
    <row r="98" spans="1:14" s="280" customFormat="1" ht="12.75" customHeight="1">
      <c r="A98" s="458" t="s">
        <v>416</v>
      </c>
      <c r="B98" s="471"/>
      <c r="C98" s="464" t="s">
        <v>415</v>
      </c>
      <c r="D98" s="464"/>
      <c r="E98" s="469">
        <f>E89</f>
        <v>248771</v>
      </c>
      <c r="F98" s="470">
        <f>F89</f>
        <v>252365</v>
      </c>
      <c r="G98" s="470">
        <f>G89</f>
        <v>274349</v>
      </c>
      <c r="H98" s="470">
        <f>H89</f>
        <v>276745</v>
      </c>
      <c r="I98" s="56"/>
      <c r="J98" s="56"/>
      <c r="K98" s="56"/>
      <c r="L98" s="56"/>
      <c r="M98" s="56"/>
      <c r="N98" s="56"/>
    </row>
    <row r="99" spans="1:9" s="280" customFormat="1" ht="12.75" customHeight="1">
      <c r="A99" s="458" t="s">
        <v>417</v>
      </c>
      <c r="B99" s="471"/>
      <c r="C99" s="464" t="s">
        <v>214</v>
      </c>
      <c r="D99" s="464"/>
      <c r="E99" s="469">
        <v>6052</v>
      </c>
      <c r="F99" s="470">
        <v>7406</v>
      </c>
      <c r="G99" s="470">
        <v>9718</v>
      </c>
      <c r="H99" s="470">
        <v>10204</v>
      </c>
      <c r="I99" s="56"/>
    </row>
    <row r="100" spans="1:9" s="280" customFormat="1" ht="12.75" customHeight="1">
      <c r="A100" s="458" t="s">
        <v>418</v>
      </c>
      <c r="B100" s="471"/>
      <c r="C100" s="464" t="s">
        <v>245</v>
      </c>
      <c r="D100" s="464"/>
      <c r="E100" s="469">
        <v>12041</v>
      </c>
      <c r="F100" s="470">
        <v>80000</v>
      </c>
      <c r="G100" s="470">
        <v>80000</v>
      </c>
      <c r="H100" s="470">
        <v>80000</v>
      </c>
      <c r="I100" s="56"/>
    </row>
    <row r="101" spans="1:9" s="280" customFormat="1" ht="12.75" customHeight="1">
      <c r="A101" s="458" t="s">
        <v>419</v>
      </c>
      <c r="B101" s="471"/>
      <c r="C101" s="464" t="s">
        <v>195</v>
      </c>
      <c r="D101" s="464"/>
      <c r="E101" s="469"/>
      <c r="F101" s="470"/>
      <c r="G101" s="472"/>
      <c r="H101" s="472"/>
      <c r="I101" s="56"/>
    </row>
    <row r="102" spans="1:9" s="280" customFormat="1" ht="14.25" customHeight="1">
      <c r="A102" s="458" t="s">
        <v>420</v>
      </c>
      <c r="B102" s="473"/>
      <c r="C102" s="474" t="s">
        <v>150</v>
      </c>
      <c r="D102" s="474"/>
      <c r="E102" s="475">
        <f>E67</f>
        <v>36582</v>
      </c>
      <c r="F102" s="476">
        <f>F67</f>
        <v>51720</v>
      </c>
      <c r="G102" s="476">
        <f>G67</f>
        <v>33726</v>
      </c>
      <c r="H102" s="476">
        <f>H67</f>
        <v>33438</v>
      </c>
      <c r="I102" s="56"/>
    </row>
    <row r="103" spans="1:9" s="280" customFormat="1" ht="14.25" customHeight="1">
      <c r="A103" s="477" t="s">
        <v>421</v>
      </c>
      <c r="B103" s="448"/>
      <c r="C103" s="464" t="s">
        <v>383</v>
      </c>
      <c r="D103" s="464"/>
      <c r="E103" s="478"/>
      <c r="F103" s="470">
        <v>59</v>
      </c>
      <c r="G103" s="470">
        <v>256</v>
      </c>
      <c r="H103" s="470">
        <v>256</v>
      </c>
      <c r="I103" s="56"/>
    </row>
    <row r="104" spans="1:9" s="280" customFormat="1" ht="14.25" customHeight="1" thickBot="1">
      <c r="A104" s="479" t="s">
        <v>423</v>
      </c>
      <c r="B104" s="480"/>
      <c r="C104" s="474" t="s">
        <v>422</v>
      </c>
      <c r="D104" s="474"/>
      <c r="E104" s="475">
        <v>0</v>
      </c>
      <c r="F104" s="476">
        <v>0</v>
      </c>
      <c r="G104" s="476">
        <v>400</v>
      </c>
      <c r="H104" s="476">
        <v>400</v>
      </c>
      <c r="I104" s="56"/>
    </row>
    <row r="105" spans="1:8" s="217" customFormat="1" ht="18" customHeight="1" thickBot="1">
      <c r="A105" s="481" t="s">
        <v>425</v>
      </c>
      <c r="B105" s="482" t="s">
        <v>173</v>
      </c>
      <c r="C105" s="1365" t="s">
        <v>424</v>
      </c>
      <c r="D105" s="1365"/>
      <c r="E105" s="1365"/>
      <c r="F105" s="483"/>
      <c r="G105" s="483"/>
      <c r="H105" s="483"/>
    </row>
    <row r="106" spans="1:9" s="280" customFormat="1" ht="12.75" customHeight="1">
      <c r="A106" s="420" t="s">
        <v>426</v>
      </c>
      <c r="B106" s="484" t="s">
        <v>38</v>
      </c>
      <c r="C106" s="485" t="s">
        <v>370</v>
      </c>
      <c r="D106" s="486">
        <v>15</v>
      </c>
      <c r="E106" s="487">
        <f>SUM(E107:E111)</f>
        <v>77406</v>
      </c>
      <c r="F106" s="488">
        <f>SUM(F107:F111)</f>
        <v>74378</v>
      </c>
      <c r="G106" s="488">
        <f>SUM(G107:G111)</f>
        <v>74378</v>
      </c>
      <c r="H106" s="488">
        <f>SUM(H107:H111)</f>
        <v>72897</v>
      </c>
      <c r="I106" s="56"/>
    </row>
    <row r="107" spans="1:9" s="280" customFormat="1" ht="12.75" customHeight="1">
      <c r="A107" s="428" t="s">
        <v>427</v>
      </c>
      <c r="B107" s="489"/>
      <c r="C107" s="490" t="s">
        <v>203</v>
      </c>
      <c r="D107" s="491"/>
      <c r="E107" s="431">
        <v>50191</v>
      </c>
      <c r="F107" s="360">
        <v>47808</v>
      </c>
      <c r="G107" s="360">
        <v>47808</v>
      </c>
      <c r="H107" s="360">
        <v>47808</v>
      </c>
      <c r="I107" s="56"/>
    </row>
    <row r="108" spans="1:9" s="280" customFormat="1" ht="12.75" customHeight="1">
      <c r="A108" s="428" t="s">
        <v>428</v>
      </c>
      <c r="B108" s="492"/>
      <c r="C108" s="493" t="s">
        <v>204</v>
      </c>
      <c r="D108" s="441"/>
      <c r="E108" s="431">
        <v>13715</v>
      </c>
      <c r="F108" s="360">
        <v>13070</v>
      </c>
      <c r="G108" s="360">
        <v>13070</v>
      </c>
      <c r="H108" s="360">
        <v>13070</v>
      </c>
      <c r="I108" s="56"/>
    </row>
    <row r="109" spans="1:9" s="280" customFormat="1" ht="12.75" customHeight="1">
      <c r="A109" s="428" t="s">
        <v>429</v>
      </c>
      <c r="B109" s="78"/>
      <c r="C109" s="92" t="s">
        <v>340</v>
      </c>
      <c r="D109" s="494"/>
      <c r="E109" s="431">
        <v>13000</v>
      </c>
      <c r="F109" s="360">
        <v>13000</v>
      </c>
      <c r="G109" s="360">
        <v>13000</v>
      </c>
      <c r="H109" s="360">
        <v>12019</v>
      </c>
      <c r="I109" s="56"/>
    </row>
    <row r="110" spans="1:9" s="280" customFormat="1" ht="12.75" customHeight="1">
      <c r="A110" s="495" t="s">
        <v>430</v>
      </c>
      <c r="B110" s="94"/>
      <c r="C110" s="493" t="s">
        <v>376</v>
      </c>
      <c r="D110" s="494"/>
      <c r="E110" s="431">
        <v>500</v>
      </c>
      <c r="F110" s="360">
        <v>500</v>
      </c>
      <c r="G110" s="360">
        <v>500</v>
      </c>
      <c r="H110" s="360">
        <v>0</v>
      </c>
      <c r="I110" s="56"/>
    </row>
    <row r="111" spans="1:9" s="280" customFormat="1" ht="12.75" customHeight="1">
      <c r="A111" s="78" t="s">
        <v>431</v>
      </c>
      <c r="B111" s="78"/>
      <c r="C111" s="92" t="s">
        <v>150</v>
      </c>
      <c r="D111" s="494"/>
      <c r="E111" s="431">
        <v>0</v>
      </c>
      <c r="F111" s="360">
        <v>0</v>
      </c>
      <c r="G111" s="360">
        <v>0</v>
      </c>
      <c r="H111" s="360">
        <v>0</v>
      </c>
      <c r="I111" s="56"/>
    </row>
    <row r="112" spans="1:9" s="337" customFormat="1" ht="12.75" customHeight="1">
      <c r="A112" s="85" t="s">
        <v>433</v>
      </c>
      <c r="B112" s="85" t="s">
        <v>40</v>
      </c>
      <c r="C112" s="10" t="s">
        <v>432</v>
      </c>
      <c r="D112" s="496"/>
      <c r="E112" s="426">
        <v>0</v>
      </c>
      <c r="F112" s="427">
        <v>3054</v>
      </c>
      <c r="G112" s="427">
        <v>3054</v>
      </c>
      <c r="H112" s="427">
        <v>3054</v>
      </c>
      <c r="I112" s="90"/>
    </row>
    <row r="113" spans="1:9" s="280" customFormat="1" ht="12.75" customHeight="1">
      <c r="A113" s="78" t="s">
        <v>434</v>
      </c>
      <c r="B113" s="78"/>
      <c r="C113" s="490" t="s">
        <v>203</v>
      </c>
      <c r="D113" s="494"/>
      <c r="E113" s="431">
        <v>0</v>
      </c>
      <c r="F113" s="360">
        <v>2409</v>
      </c>
      <c r="G113" s="360">
        <v>2409</v>
      </c>
      <c r="H113" s="360">
        <v>2409</v>
      </c>
      <c r="I113" s="56"/>
    </row>
    <row r="114" spans="1:9" s="280" customFormat="1" ht="12.75" customHeight="1">
      <c r="A114" s="78" t="s">
        <v>435</v>
      </c>
      <c r="B114" s="78"/>
      <c r="C114" s="493" t="s">
        <v>204</v>
      </c>
      <c r="D114" s="494"/>
      <c r="E114" s="431">
        <v>0</v>
      </c>
      <c r="F114" s="360">
        <v>645</v>
      </c>
      <c r="G114" s="360">
        <v>645</v>
      </c>
      <c r="H114" s="360">
        <v>645</v>
      </c>
      <c r="I114" s="56"/>
    </row>
    <row r="115" spans="1:9" s="280" customFormat="1" ht="12.75" customHeight="1">
      <c r="A115" s="94" t="s">
        <v>436</v>
      </c>
      <c r="B115" s="94"/>
      <c r="C115" s="493" t="s">
        <v>340</v>
      </c>
      <c r="D115" s="494"/>
      <c r="E115" s="431">
        <v>0</v>
      </c>
      <c r="F115" s="360">
        <v>0</v>
      </c>
      <c r="G115" s="360">
        <v>0</v>
      </c>
      <c r="H115" s="360">
        <v>0</v>
      </c>
      <c r="I115" s="56"/>
    </row>
    <row r="116" spans="1:9" s="337" customFormat="1" ht="12.75" customHeight="1">
      <c r="A116" s="1299" t="s">
        <v>437</v>
      </c>
      <c r="B116" s="1299" t="s">
        <v>47</v>
      </c>
      <c r="C116" s="1079" t="s">
        <v>906</v>
      </c>
      <c r="D116" s="1300"/>
      <c r="E116" s="1301"/>
      <c r="F116" s="427"/>
      <c r="G116" s="427"/>
      <c r="H116" s="427">
        <f>SUM(H117:H119)</f>
        <v>951</v>
      </c>
      <c r="I116" s="90"/>
    </row>
    <row r="117" spans="1:9" s="280" customFormat="1" ht="12.75" customHeight="1">
      <c r="A117" s="1297" t="s">
        <v>438</v>
      </c>
      <c r="B117" s="1297"/>
      <c r="C117" s="1081" t="s">
        <v>203</v>
      </c>
      <c r="D117" s="1298"/>
      <c r="E117" s="1295"/>
      <c r="F117" s="360"/>
      <c r="G117" s="360"/>
      <c r="H117" s="360">
        <v>640</v>
      </c>
      <c r="I117" s="56"/>
    </row>
    <row r="118" spans="1:9" s="280" customFormat="1" ht="12.75" customHeight="1">
      <c r="A118" s="1297" t="s">
        <v>439</v>
      </c>
      <c r="B118" s="1297"/>
      <c r="C118" s="1081" t="s">
        <v>204</v>
      </c>
      <c r="D118" s="1298"/>
      <c r="E118" s="1295"/>
      <c r="F118" s="360"/>
      <c r="G118" s="360"/>
      <c r="H118" s="360">
        <v>175</v>
      </c>
      <c r="I118" s="56"/>
    </row>
    <row r="119" spans="1:9" s="280" customFormat="1" ht="12.75" customHeight="1">
      <c r="A119" s="1297" t="s">
        <v>440</v>
      </c>
      <c r="B119" s="1297"/>
      <c r="C119" s="1081" t="s">
        <v>340</v>
      </c>
      <c r="D119" s="1298"/>
      <c r="E119" s="1295"/>
      <c r="F119" s="360"/>
      <c r="G119" s="360"/>
      <c r="H119" s="360">
        <v>136</v>
      </c>
      <c r="I119" s="56"/>
    </row>
    <row r="120" spans="1:9" s="280" customFormat="1" ht="12.75" customHeight="1">
      <c r="A120" s="497" t="s">
        <v>441</v>
      </c>
      <c r="B120" s="498"/>
      <c r="C120" s="499" t="s">
        <v>311</v>
      </c>
      <c r="D120" s="1296">
        <v>15</v>
      </c>
      <c r="E120" s="450">
        <f>SUM(E121:E125)</f>
        <v>77406</v>
      </c>
      <c r="F120" s="451">
        <f>SUM(F121:F125)</f>
        <v>77432</v>
      </c>
      <c r="G120" s="451">
        <f>SUM(G121:G125)</f>
        <v>77432</v>
      </c>
      <c r="H120" s="451">
        <f>SUM(H121:H125)</f>
        <v>76902</v>
      </c>
      <c r="I120" s="56"/>
    </row>
    <row r="121" spans="1:9" s="280" customFormat="1" ht="12.75" customHeight="1">
      <c r="A121" s="500" t="s">
        <v>442</v>
      </c>
      <c r="B121" s="501"/>
      <c r="C121" s="502" t="s">
        <v>203</v>
      </c>
      <c r="D121" s="464"/>
      <c r="E121" s="469">
        <f>E107</f>
        <v>50191</v>
      </c>
      <c r="F121" s="470">
        <v>50217</v>
      </c>
      <c r="G121" s="470">
        <v>50217</v>
      </c>
      <c r="H121" s="470">
        <v>50857</v>
      </c>
      <c r="I121" s="56"/>
    </row>
    <row r="122" spans="1:9" s="280" customFormat="1" ht="12.75" customHeight="1">
      <c r="A122" s="503" t="s">
        <v>445</v>
      </c>
      <c r="B122" s="504"/>
      <c r="C122" s="474" t="s">
        <v>204</v>
      </c>
      <c r="D122" s="464"/>
      <c r="E122" s="469">
        <f>E108</f>
        <v>13715</v>
      </c>
      <c r="F122" s="470">
        <v>13715</v>
      </c>
      <c r="G122" s="470">
        <v>13715</v>
      </c>
      <c r="H122" s="470">
        <v>13890</v>
      </c>
      <c r="I122" s="56"/>
    </row>
    <row r="123" spans="1:9" s="280" customFormat="1" ht="12.75" customHeight="1">
      <c r="A123" s="505" t="s">
        <v>446</v>
      </c>
      <c r="B123" s="448"/>
      <c r="C123" s="464" t="s">
        <v>340</v>
      </c>
      <c r="D123" s="464"/>
      <c r="E123" s="469">
        <f>SUM(E109)</f>
        <v>13000</v>
      </c>
      <c r="F123" s="470">
        <v>13000</v>
      </c>
      <c r="G123" s="470">
        <v>13000</v>
      </c>
      <c r="H123" s="470">
        <v>12155</v>
      </c>
      <c r="I123" s="56"/>
    </row>
    <row r="124" spans="1:9" s="280" customFormat="1" ht="12.75" customHeight="1">
      <c r="A124" s="505" t="s">
        <v>447</v>
      </c>
      <c r="B124" s="448"/>
      <c r="C124" s="464" t="s">
        <v>376</v>
      </c>
      <c r="D124" s="464"/>
      <c r="E124" s="469">
        <f>E110</f>
        <v>500</v>
      </c>
      <c r="F124" s="470">
        <v>500</v>
      </c>
      <c r="G124" s="470">
        <v>500</v>
      </c>
      <c r="H124" s="470">
        <v>0</v>
      </c>
      <c r="I124" s="56"/>
    </row>
    <row r="125" spans="1:9" s="280" customFormat="1" ht="12.75" customHeight="1">
      <c r="A125" s="505" t="s">
        <v>448</v>
      </c>
      <c r="B125" s="448"/>
      <c r="C125" s="464" t="s">
        <v>150</v>
      </c>
      <c r="D125" s="464"/>
      <c r="E125" s="469"/>
      <c r="F125" s="470"/>
      <c r="G125" s="470"/>
      <c r="H125" s="470"/>
      <c r="I125" s="56"/>
    </row>
    <row r="126" spans="1:8" s="217" customFormat="1" ht="18" customHeight="1">
      <c r="A126" s="420" t="s">
        <v>450</v>
      </c>
      <c r="B126" s="506" t="s">
        <v>177</v>
      </c>
      <c r="C126" s="507" t="s">
        <v>443</v>
      </c>
      <c r="D126" s="508"/>
      <c r="E126" s="509"/>
      <c r="F126" s="355"/>
      <c r="G126" s="355"/>
      <c r="H126" s="355"/>
    </row>
    <row r="127" spans="1:9" s="280" customFormat="1" ht="12.75" customHeight="1">
      <c r="A127" s="420" t="s">
        <v>451</v>
      </c>
      <c r="B127" s="510" t="s">
        <v>38</v>
      </c>
      <c r="C127" s="13" t="s">
        <v>444</v>
      </c>
      <c r="D127" s="511">
        <v>1</v>
      </c>
      <c r="E127" s="426">
        <f>SUM(E128:E129)+E130</f>
        <v>14541</v>
      </c>
      <c r="F127" s="427">
        <f>SUM(F128:F129)+F130</f>
        <v>14541</v>
      </c>
      <c r="G127" s="427">
        <f>SUM(G128:G129)+G130</f>
        <v>14541</v>
      </c>
      <c r="H127" s="427">
        <f>SUM(H128:H129)+H130</f>
        <v>14541</v>
      </c>
      <c r="I127" s="56"/>
    </row>
    <row r="128" spans="1:9" s="280" customFormat="1" ht="12.75" customHeight="1">
      <c r="A128" s="428" t="s">
        <v>452</v>
      </c>
      <c r="B128" s="436"/>
      <c r="C128" s="316" t="s">
        <v>203</v>
      </c>
      <c r="D128" s="430"/>
      <c r="E128" s="431">
        <v>1505</v>
      </c>
      <c r="F128" s="360">
        <v>1505</v>
      </c>
      <c r="G128" s="360">
        <v>1505</v>
      </c>
      <c r="H128" s="360">
        <v>1505</v>
      </c>
      <c r="I128" s="56"/>
    </row>
    <row r="129" spans="1:9" s="280" customFormat="1" ht="12.75" customHeight="1">
      <c r="A129" s="428" t="s">
        <v>453</v>
      </c>
      <c r="B129" s="436"/>
      <c r="C129" s="316" t="s">
        <v>204</v>
      </c>
      <c r="D129" s="430"/>
      <c r="E129" s="431">
        <v>416</v>
      </c>
      <c r="F129" s="360">
        <v>416</v>
      </c>
      <c r="G129" s="360">
        <v>416</v>
      </c>
      <c r="H129" s="360">
        <v>416</v>
      </c>
      <c r="I129" s="56"/>
    </row>
    <row r="130" spans="1:9" s="280" customFormat="1" ht="12.75" customHeight="1">
      <c r="A130" s="428" t="s">
        <v>455</v>
      </c>
      <c r="B130" s="436"/>
      <c r="C130" s="316" t="s">
        <v>340</v>
      </c>
      <c r="D130" s="430"/>
      <c r="E130" s="431">
        <v>12620</v>
      </c>
      <c r="F130" s="360">
        <v>12620</v>
      </c>
      <c r="G130" s="360">
        <v>12620</v>
      </c>
      <c r="H130" s="360">
        <v>12620</v>
      </c>
      <c r="I130" s="56"/>
    </row>
    <row r="131" spans="1:9" s="280" customFormat="1" ht="12.75" customHeight="1">
      <c r="A131" s="428" t="s">
        <v>456</v>
      </c>
      <c r="B131" s="439" t="s">
        <v>40</v>
      </c>
      <c r="C131" s="13" t="s">
        <v>449</v>
      </c>
      <c r="D131" s="430"/>
      <c r="E131" s="426">
        <f>SUM(E132:E134)</f>
        <v>1845</v>
      </c>
      <c r="F131" s="427">
        <f>SUM(F132:F134)</f>
        <v>1845</v>
      </c>
      <c r="G131" s="427">
        <f>SUM(G132:G134)</f>
        <v>1845</v>
      </c>
      <c r="H131" s="427">
        <f>SUM(H132:H134)</f>
        <v>1845</v>
      </c>
      <c r="I131" s="56"/>
    </row>
    <row r="132" spans="1:9" s="280" customFormat="1" ht="12.75" customHeight="1">
      <c r="A132" s="428" t="s">
        <v>457</v>
      </c>
      <c r="B132" s="436"/>
      <c r="C132" s="316" t="s">
        <v>203</v>
      </c>
      <c r="D132" s="430"/>
      <c r="E132" s="431">
        <v>192</v>
      </c>
      <c r="F132" s="360">
        <v>192</v>
      </c>
      <c r="G132" s="360">
        <v>192</v>
      </c>
      <c r="H132" s="360">
        <v>192</v>
      </c>
      <c r="I132" s="56"/>
    </row>
    <row r="133" spans="1:9" s="280" customFormat="1" ht="12.75" customHeight="1">
      <c r="A133" s="428" t="s">
        <v>458</v>
      </c>
      <c r="B133" s="436"/>
      <c r="C133" s="316" t="s">
        <v>204</v>
      </c>
      <c r="D133" s="430"/>
      <c r="E133" s="431">
        <v>53</v>
      </c>
      <c r="F133" s="360">
        <v>53</v>
      </c>
      <c r="G133" s="360">
        <v>53</v>
      </c>
      <c r="H133" s="360">
        <v>53</v>
      </c>
      <c r="I133" s="56"/>
    </row>
    <row r="134" spans="1:9" s="280" customFormat="1" ht="12.75" customHeight="1">
      <c r="A134" s="428" t="s">
        <v>459</v>
      </c>
      <c r="B134" s="436"/>
      <c r="C134" s="493" t="s">
        <v>340</v>
      </c>
      <c r="D134" s="512"/>
      <c r="E134" s="513">
        <v>1600</v>
      </c>
      <c r="F134" s="514">
        <v>1600</v>
      </c>
      <c r="G134" s="514">
        <v>1600</v>
      </c>
      <c r="H134" s="514">
        <v>1600</v>
      </c>
      <c r="I134" s="56"/>
    </row>
    <row r="135" spans="1:9" s="280" customFormat="1" ht="12.75" customHeight="1">
      <c r="A135" s="428" t="s">
        <v>461</v>
      </c>
      <c r="B135" s="424" t="s">
        <v>47</v>
      </c>
      <c r="C135" s="10" t="s">
        <v>454</v>
      </c>
      <c r="D135" s="443">
        <v>17</v>
      </c>
      <c r="E135" s="426">
        <f>SUM(E136:E139)</f>
        <v>64293</v>
      </c>
      <c r="F135" s="427">
        <f>SUM(F136:F139)</f>
        <v>60748</v>
      </c>
      <c r="G135" s="427">
        <f>SUM(G136:G139)</f>
        <v>61938</v>
      </c>
      <c r="H135" s="427">
        <f>SUM(H136:H139)</f>
        <v>61938</v>
      </c>
      <c r="I135" s="56"/>
    </row>
    <row r="136" spans="1:9" s="280" customFormat="1" ht="12.75" customHeight="1">
      <c r="A136" s="428" t="s">
        <v>462</v>
      </c>
      <c r="B136" s="429"/>
      <c r="C136" s="92" t="s">
        <v>203</v>
      </c>
      <c r="D136" s="443"/>
      <c r="E136" s="431">
        <v>49460</v>
      </c>
      <c r="F136" s="360">
        <v>47834</v>
      </c>
      <c r="G136" s="360">
        <v>47514</v>
      </c>
      <c r="H136" s="360">
        <v>47514</v>
      </c>
      <c r="I136" s="56"/>
    </row>
    <row r="137" spans="1:9" s="280" customFormat="1" ht="12.75" customHeight="1">
      <c r="A137" s="428" t="s">
        <v>463</v>
      </c>
      <c r="B137" s="429"/>
      <c r="C137" s="92" t="s">
        <v>204</v>
      </c>
      <c r="D137" s="443"/>
      <c r="E137" s="431">
        <v>12483</v>
      </c>
      <c r="F137" s="360">
        <v>12514</v>
      </c>
      <c r="G137" s="360">
        <v>12458</v>
      </c>
      <c r="H137" s="360">
        <v>12458</v>
      </c>
      <c r="I137" s="56"/>
    </row>
    <row r="138" spans="1:9" s="280" customFormat="1" ht="12.75" customHeight="1">
      <c r="A138" s="428" t="s">
        <v>464</v>
      </c>
      <c r="B138" s="429"/>
      <c r="C138" s="92" t="s">
        <v>340</v>
      </c>
      <c r="D138" s="443"/>
      <c r="E138" s="431">
        <v>2350</v>
      </c>
      <c r="F138" s="360">
        <v>400</v>
      </c>
      <c r="G138" s="360">
        <v>1966</v>
      </c>
      <c r="H138" s="360">
        <v>1966</v>
      </c>
      <c r="I138" s="56"/>
    </row>
    <row r="139" spans="1:9" s="280" customFormat="1" ht="12.75" customHeight="1">
      <c r="A139" s="428" t="s">
        <v>466</v>
      </c>
      <c r="B139" s="429"/>
      <c r="C139" s="92" t="s">
        <v>376</v>
      </c>
      <c r="D139" s="443"/>
      <c r="E139" s="431">
        <v>0</v>
      </c>
      <c r="F139" s="360">
        <v>0</v>
      </c>
      <c r="G139" s="360">
        <v>0</v>
      </c>
      <c r="H139" s="360">
        <v>0</v>
      </c>
      <c r="I139" s="56"/>
    </row>
    <row r="140" spans="1:9" s="337" customFormat="1" ht="12.75" customHeight="1">
      <c r="A140" s="420" t="s">
        <v>467</v>
      </c>
      <c r="B140" s="424" t="s">
        <v>49</v>
      </c>
      <c r="C140" s="10" t="s">
        <v>460</v>
      </c>
      <c r="D140" s="443"/>
      <c r="E140" s="426">
        <v>0</v>
      </c>
      <c r="F140" s="427">
        <v>194</v>
      </c>
      <c r="G140" s="427">
        <v>194</v>
      </c>
      <c r="H140" s="427">
        <v>194</v>
      </c>
      <c r="I140" s="90"/>
    </row>
    <row r="141" spans="1:9" s="280" customFormat="1" ht="12.75" customHeight="1">
      <c r="A141" s="428" t="s">
        <v>468</v>
      </c>
      <c r="B141" s="429"/>
      <c r="C141" s="92" t="s">
        <v>203</v>
      </c>
      <c r="D141" s="443"/>
      <c r="E141" s="431">
        <v>0</v>
      </c>
      <c r="F141" s="360">
        <v>112</v>
      </c>
      <c r="G141" s="360">
        <v>112</v>
      </c>
      <c r="H141" s="360">
        <v>112</v>
      </c>
      <c r="I141" s="56"/>
    </row>
    <row r="142" spans="1:9" s="280" customFormat="1" ht="12.75" customHeight="1">
      <c r="A142" s="428" t="s">
        <v>469</v>
      </c>
      <c r="B142" s="429"/>
      <c r="C142" s="92" t="s">
        <v>204</v>
      </c>
      <c r="D142" s="443"/>
      <c r="E142" s="431">
        <v>0</v>
      </c>
      <c r="F142" s="360">
        <v>82</v>
      </c>
      <c r="G142" s="360">
        <v>82</v>
      </c>
      <c r="H142" s="360">
        <v>82</v>
      </c>
      <c r="I142" s="56"/>
    </row>
    <row r="143" spans="1:9" s="280" customFormat="1" ht="12.75" customHeight="1">
      <c r="A143" s="428" t="s">
        <v>471</v>
      </c>
      <c r="B143" s="429"/>
      <c r="C143" s="92" t="s">
        <v>340</v>
      </c>
      <c r="D143" s="443"/>
      <c r="E143" s="431">
        <v>0</v>
      </c>
      <c r="F143" s="360">
        <v>0</v>
      </c>
      <c r="G143" s="360">
        <v>0</v>
      </c>
      <c r="H143" s="360">
        <v>0</v>
      </c>
      <c r="I143" s="56"/>
    </row>
    <row r="144" spans="1:9" s="280" customFormat="1" ht="12.75" customHeight="1">
      <c r="A144" s="428" t="s">
        <v>472</v>
      </c>
      <c r="B144" s="424" t="s">
        <v>51</v>
      </c>
      <c r="C144" s="10" t="s">
        <v>465</v>
      </c>
      <c r="D144" s="10">
        <v>3</v>
      </c>
      <c r="E144" s="426">
        <f>SUM(E145:E147)</f>
        <v>13559</v>
      </c>
      <c r="F144" s="427">
        <f>SUM(F145:F147)</f>
        <v>15606</v>
      </c>
      <c r="G144" s="427">
        <f>SUM(G145:G147)</f>
        <v>15626</v>
      </c>
      <c r="H144" s="427">
        <f>SUM(H145:H147)</f>
        <v>15626</v>
      </c>
      <c r="I144" s="56"/>
    </row>
    <row r="145" spans="1:9" s="280" customFormat="1" ht="12.75" customHeight="1">
      <c r="A145" s="428" t="s">
        <v>473</v>
      </c>
      <c r="B145" s="429"/>
      <c r="C145" s="92" t="s">
        <v>203</v>
      </c>
      <c r="D145" s="443"/>
      <c r="E145" s="431">
        <v>10543</v>
      </c>
      <c r="F145" s="360">
        <v>12590</v>
      </c>
      <c r="G145" s="360">
        <v>12590</v>
      </c>
      <c r="H145" s="360">
        <v>12590</v>
      </c>
      <c r="I145" s="56"/>
    </row>
    <row r="146" spans="1:9" s="280" customFormat="1" ht="12.75" customHeight="1">
      <c r="A146" s="428" t="s">
        <v>474</v>
      </c>
      <c r="B146" s="429"/>
      <c r="C146" s="92" t="s">
        <v>204</v>
      </c>
      <c r="D146" s="443"/>
      <c r="E146" s="431">
        <v>2881</v>
      </c>
      <c r="F146" s="360">
        <v>2881</v>
      </c>
      <c r="G146" s="360">
        <v>2881</v>
      </c>
      <c r="H146" s="360">
        <v>2881</v>
      </c>
      <c r="I146" s="56"/>
    </row>
    <row r="147" spans="1:9" s="280" customFormat="1" ht="12.75" customHeight="1">
      <c r="A147" s="428" t="s">
        <v>475</v>
      </c>
      <c r="B147" s="429"/>
      <c r="C147" s="316" t="s">
        <v>340</v>
      </c>
      <c r="D147" s="425"/>
      <c r="E147" s="431">
        <v>135</v>
      </c>
      <c r="F147" s="360">
        <v>135</v>
      </c>
      <c r="G147" s="360">
        <v>155</v>
      </c>
      <c r="H147" s="360">
        <v>155</v>
      </c>
      <c r="I147" s="56"/>
    </row>
    <row r="148" spans="1:9" s="280" customFormat="1" ht="12.75" customHeight="1">
      <c r="A148" s="428" t="s">
        <v>477</v>
      </c>
      <c r="B148" s="424" t="s">
        <v>53</v>
      </c>
      <c r="C148" s="13" t="s">
        <v>470</v>
      </c>
      <c r="D148" s="425">
        <v>3</v>
      </c>
      <c r="E148" s="426">
        <f>SUM(E149:E152)</f>
        <v>6798</v>
      </c>
      <c r="F148" s="427">
        <f>SUM(F149:F152)</f>
        <v>7065</v>
      </c>
      <c r="G148" s="427">
        <f>SUM(G149:G152)</f>
        <v>7738</v>
      </c>
      <c r="H148" s="427">
        <f>SUM(H149:H152)</f>
        <v>7738</v>
      </c>
      <c r="I148" s="56"/>
    </row>
    <row r="149" spans="1:9" s="280" customFormat="1" ht="12.75" customHeight="1">
      <c r="A149" s="428" t="s">
        <v>478</v>
      </c>
      <c r="B149" s="429"/>
      <c r="C149" s="316" t="s">
        <v>203</v>
      </c>
      <c r="D149" s="425"/>
      <c r="E149" s="431">
        <v>5090</v>
      </c>
      <c r="F149" s="360">
        <v>5090</v>
      </c>
      <c r="G149" s="360">
        <v>5620</v>
      </c>
      <c r="H149" s="360">
        <v>5620</v>
      </c>
      <c r="I149" s="56"/>
    </row>
    <row r="150" spans="1:9" s="280" customFormat="1" ht="12.75" customHeight="1">
      <c r="A150" s="428" t="s">
        <v>480</v>
      </c>
      <c r="B150" s="429"/>
      <c r="C150" s="316" t="s">
        <v>204</v>
      </c>
      <c r="D150" s="430"/>
      <c r="E150" s="431">
        <v>1408</v>
      </c>
      <c r="F150" s="360">
        <v>1408</v>
      </c>
      <c r="G150" s="360">
        <v>1551</v>
      </c>
      <c r="H150" s="360">
        <v>1551</v>
      </c>
      <c r="I150" s="56"/>
    </row>
    <row r="151" spans="1:9" s="280" customFormat="1" ht="12.75" customHeight="1">
      <c r="A151" s="428" t="s">
        <v>482</v>
      </c>
      <c r="B151" s="429"/>
      <c r="C151" s="316" t="s">
        <v>340</v>
      </c>
      <c r="D151" s="430"/>
      <c r="E151" s="431">
        <v>300</v>
      </c>
      <c r="F151" s="360">
        <v>567</v>
      </c>
      <c r="G151" s="360">
        <v>567</v>
      </c>
      <c r="H151" s="360">
        <v>567</v>
      </c>
      <c r="I151" s="56"/>
    </row>
    <row r="152" spans="1:9" s="280" customFormat="1" ht="12.75" customHeight="1">
      <c r="A152" s="428" t="s">
        <v>483</v>
      </c>
      <c r="B152" s="429"/>
      <c r="C152" s="316" t="s">
        <v>376</v>
      </c>
      <c r="D152" s="430"/>
      <c r="E152" s="431"/>
      <c r="F152" s="360"/>
      <c r="G152" s="360"/>
      <c r="H152" s="360"/>
      <c r="I152" s="56"/>
    </row>
    <row r="153" spans="1:9" s="280" customFormat="1" ht="12.75" customHeight="1">
      <c r="A153" s="428" t="s">
        <v>485</v>
      </c>
      <c r="B153" s="424">
        <v>7</v>
      </c>
      <c r="C153" s="13" t="s">
        <v>476</v>
      </c>
      <c r="D153" s="430"/>
      <c r="E153" s="426">
        <v>3930</v>
      </c>
      <c r="F153" s="427">
        <v>5613</v>
      </c>
      <c r="G153" s="427">
        <v>5613</v>
      </c>
      <c r="H153" s="427">
        <v>6936</v>
      </c>
      <c r="I153" s="56"/>
    </row>
    <row r="154" spans="1:9" s="280" customFormat="1" ht="12.75" customHeight="1">
      <c r="A154" s="428" t="s">
        <v>486</v>
      </c>
      <c r="B154" s="429"/>
      <c r="C154" s="316" t="s">
        <v>203</v>
      </c>
      <c r="D154" s="430"/>
      <c r="E154" s="431"/>
      <c r="F154" s="360"/>
      <c r="G154" s="360"/>
      <c r="H154" s="360"/>
      <c r="I154" s="56"/>
    </row>
    <row r="155" spans="1:9" s="280" customFormat="1" ht="12.75" customHeight="1">
      <c r="A155" s="428" t="s">
        <v>487</v>
      </c>
      <c r="B155" s="429"/>
      <c r="C155" s="316" t="s">
        <v>479</v>
      </c>
      <c r="D155" s="430"/>
      <c r="E155" s="431"/>
      <c r="F155" s="360"/>
      <c r="G155" s="360"/>
      <c r="H155" s="360"/>
      <c r="I155" s="56"/>
    </row>
    <row r="156" spans="1:9" s="280" customFormat="1" ht="12.75" customHeight="1">
      <c r="A156" s="428" t="s">
        <v>488</v>
      </c>
      <c r="B156" s="429"/>
      <c r="C156" s="316" t="s">
        <v>481</v>
      </c>
      <c r="D156" s="430"/>
      <c r="E156" s="431">
        <v>3250</v>
      </c>
      <c r="F156" s="360">
        <v>4933</v>
      </c>
      <c r="G156" s="360">
        <v>4933</v>
      </c>
      <c r="H156" s="360">
        <v>6256</v>
      </c>
      <c r="I156" s="56"/>
    </row>
    <row r="157" spans="1:9" s="280" customFormat="1" ht="12.75" customHeight="1">
      <c r="A157" s="428" t="s">
        <v>489</v>
      </c>
      <c r="B157" s="429"/>
      <c r="C157" s="316" t="s">
        <v>376</v>
      </c>
      <c r="D157" s="430"/>
      <c r="E157" s="431">
        <v>680</v>
      </c>
      <c r="F157" s="360">
        <v>680</v>
      </c>
      <c r="G157" s="360">
        <v>680</v>
      </c>
      <c r="H157" s="360">
        <v>680</v>
      </c>
      <c r="I157" s="56"/>
    </row>
    <row r="158" spans="1:9" s="280" customFormat="1" ht="12.75" customHeight="1">
      <c r="A158" s="452" t="s">
        <v>490</v>
      </c>
      <c r="B158" s="515"/>
      <c r="C158" s="516" t="s">
        <v>484</v>
      </c>
      <c r="D158" s="517">
        <v>23</v>
      </c>
      <c r="E158" s="450">
        <f>SUM(E159:E162)</f>
        <v>104966</v>
      </c>
      <c r="F158" s="451">
        <f>SUM(F159:F162)</f>
        <v>105612</v>
      </c>
      <c r="G158" s="451">
        <f>SUM(G159:G162)</f>
        <v>105909</v>
      </c>
      <c r="H158" s="451">
        <f>SUM(H159:H162)</f>
        <v>108818</v>
      </c>
      <c r="I158" s="56"/>
    </row>
    <row r="159" spans="1:9" s="280" customFormat="1" ht="12.75" customHeight="1">
      <c r="A159" s="452" t="s">
        <v>492</v>
      </c>
      <c r="B159" s="448"/>
      <c r="C159" s="464" t="s">
        <v>203</v>
      </c>
      <c r="D159" s="464"/>
      <c r="E159" s="469">
        <f>E128+E136+E145+E149+E132</f>
        <v>66790</v>
      </c>
      <c r="F159" s="470">
        <f aca="true" t="shared" si="1" ref="F159:H160">F128+F136+F145+F149+F132+F141</f>
        <v>67323</v>
      </c>
      <c r="G159" s="470">
        <f t="shared" si="1"/>
        <v>67533</v>
      </c>
      <c r="H159" s="470">
        <f t="shared" si="1"/>
        <v>67533</v>
      </c>
      <c r="I159" s="56"/>
    </row>
    <row r="160" spans="1:9" s="280" customFormat="1" ht="12.75" customHeight="1">
      <c r="A160" s="452" t="s">
        <v>494</v>
      </c>
      <c r="B160" s="448"/>
      <c r="C160" s="464" t="s">
        <v>204</v>
      </c>
      <c r="D160" s="464"/>
      <c r="E160" s="469">
        <f>E129+E137+E146+E150+E133</f>
        <v>17241</v>
      </c>
      <c r="F160" s="470">
        <f t="shared" si="1"/>
        <v>17354</v>
      </c>
      <c r="G160" s="470">
        <f t="shared" si="1"/>
        <v>17441</v>
      </c>
      <c r="H160" s="470">
        <f t="shared" si="1"/>
        <v>17441</v>
      </c>
      <c r="I160" s="56"/>
    </row>
    <row r="161" spans="1:9" s="280" customFormat="1" ht="12.75" customHeight="1">
      <c r="A161" s="452" t="s">
        <v>495</v>
      </c>
      <c r="B161" s="448"/>
      <c r="C161" s="464" t="s">
        <v>340</v>
      </c>
      <c r="D161" s="464"/>
      <c r="E161" s="469">
        <v>20255</v>
      </c>
      <c r="F161" s="470">
        <v>20255</v>
      </c>
      <c r="G161" s="470">
        <v>20255</v>
      </c>
      <c r="H161" s="470">
        <v>23164</v>
      </c>
      <c r="I161" s="56"/>
    </row>
    <row r="162" spans="1:9" s="280" customFormat="1" ht="12.75" customHeight="1">
      <c r="A162" s="452" t="s">
        <v>496</v>
      </c>
      <c r="B162" s="448"/>
      <c r="C162" s="464" t="s">
        <v>376</v>
      </c>
      <c r="D162" s="464"/>
      <c r="E162" s="469">
        <f>E157+E152+E139</f>
        <v>680</v>
      </c>
      <c r="F162" s="470">
        <f>F157+F152+F139</f>
        <v>680</v>
      </c>
      <c r="G162" s="470">
        <f>G157+G152+G139</f>
        <v>680</v>
      </c>
      <c r="H162" s="470">
        <f>H157+H152+H139</f>
        <v>680</v>
      </c>
      <c r="I162" s="56"/>
    </row>
    <row r="163" spans="1:9" s="280" customFormat="1" ht="12.75" customHeight="1" thickBot="1">
      <c r="A163" s="518" t="s">
        <v>497</v>
      </c>
      <c r="B163" s="480"/>
      <c r="C163" s="474" t="s">
        <v>150</v>
      </c>
      <c r="D163" s="474"/>
      <c r="E163" s="519"/>
      <c r="F163" s="476"/>
      <c r="G163" s="476"/>
      <c r="H163" s="476"/>
      <c r="I163" s="56"/>
    </row>
    <row r="164" spans="1:9" s="280" customFormat="1" ht="27.75" customHeight="1" thickBot="1">
      <c r="A164" s="520" t="s">
        <v>498</v>
      </c>
      <c r="B164" s="521" t="s">
        <v>179</v>
      </c>
      <c r="C164" s="522" t="s">
        <v>491</v>
      </c>
      <c r="D164" s="523"/>
      <c r="E164" s="524"/>
      <c r="F164" s="525"/>
      <c r="G164" s="525"/>
      <c r="H164" s="525"/>
      <c r="I164" s="56"/>
    </row>
    <row r="165" spans="1:9" s="280" customFormat="1" ht="12.75" customHeight="1">
      <c r="A165" s="428" t="s">
        <v>500</v>
      </c>
      <c r="B165" s="352" t="s">
        <v>38</v>
      </c>
      <c r="C165" s="526" t="s">
        <v>493</v>
      </c>
      <c r="D165" s="511">
        <v>2.5</v>
      </c>
      <c r="E165" s="487">
        <f>SUM(E166:E168)</f>
        <v>9553</v>
      </c>
      <c r="F165" s="488">
        <f>SUM(F166:F168)</f>
        <v>10507</v>
      </c>
      <c r="G165" s="488">
        <f>SUM(G166:G168)</f>
        <v>12657</v>
      </c>
      <c r="H165" s="488">
        <f>SUM(H166:H169)</f>
        <v>12086</v>
      </c>
      <c r="I165" s="56"/>
    </row>
    <row r="166" spans="1:9" s="280" customFormat="1" ht="12.75" customHeight="1">
      <c r="A166" s="428" t="s">
        <v>501</v>
      </c>
      <c r="B166" s="363"/>
      <c r="C166" s="316" t="s">
        <v>203</v>
      </c>
      <c r="D166" s="430"/>
      <c r="E166" s="431">
        <v>5766</v>
      </c>
      <c r="F166" s="360">
        <v>5803</v>
      </c>
      <c r="G166" s="360">
        <v>5803</v>
      </c>
      <c r="H166" s="360">
        <v>5803</v>
      </c>
      <c r="I166" s="56"/>
    </row>
    <row r="167" spans="1:9" s="280" customFormat="1" ht="12.75" customHeight="1">
      <c r="A167" s="428" t="s">
        <v>502</v>
      </c>
      <c r="B167" s="363"/>
      <c r="C167" s="316" t="s">
        <v>204</v>
      </c>
      <c r="D167" s="430"/>
      <c r="E167" s="431">
        <v>1577</v>
      </c>
      <c r="F167" s="360">
        <v>1730</v>
      </c>
      <c r="G167" s="360">
        <v>1730</v>
      </c>
      <c r="H167" s="360">
        <v>1730</v>
      </c>
      <c r="I167" s="56"/>
    </row>
    <row r="168" spans="1:9" s="280" customFormat="1" ht="12.75" customHeight="1">
      <c r="A168" s="428" t="s">
        <v>503</v>
      </c>
      <c r="B168" s="363"/>
      <c r="C168" s="316" t="s">
        <v>340</v>
      </c>
      <c r="D168" s="430"/>
      <c r="E168" s="431">
        <v>2210</v>
      </c>
      <c r="F168" s="360">
        <v>2974</v>
      </c>
      <c r="G168" s="360">
        <v>5124</v>
      </c>
      <c r="H168" s="360">
        <v>4155</v>
      </c>
      <c r="I168" s="56"/>
    </row>
    <row r="169" spans="1:9" s="280" customFormat="1" ht="12.75" customHeight="1">
      <c r="A169" s="428" t="s">
        <v>505</v>
      </c>
      <c r="B169" s="363"/>
      <c r="C169" s="20" t="s">
        <v>338</v>
      </c>
      <c r="D169" s="430"/>
      <c r="E169" s="431"/>
      <c r="F169" s="360"/>
      <c r="G169" s="360"/>
      <c r="H169" s="360">
        <v>398</v>
      </c>
      <c r="I169" s="56"/>
    </row>
    <row r="170" spans="1:9" s="280" customFormat="1" ht="12.75" customHeight="1">
      <c r="A170" s="428" t="s">
        <v>506</v>
      </c>
      <c r="B170" s="357" t="s">
        <v>40</v>
      </c>
      <c r="C170" s="13" t="s">
        <v>499</v>
      </c>
      <c r="D170" s="425">
        <v>0.5</v>
      </c>
      <c r="E170" s="426">
        <f>SUM(E171:E173)</f>
        <v>2001</v>
      </c>
      <c r="F170" s="427">
        <f>SUM(F171:F173)</f>
        <v>2001</v>
      </c>
      <c r="G170" s="427">
        <f>SUM(G171:G173)</f>
        <v>2001</v>
      </c>
      <c r="H170" s="427">
        <f>SUM(H171:H173)</f>
        <v>2001</v>
      </c>
      <c r="I170" s="56"/>
    </row>
    <row r="171" spans="1:9" s="280" customFormat="1" ht="12.75" customHeight="1">
      <c r="A171" s="428" t="s">
        <v>507</v>
      </c>
      <c r="B171" s="363"/>
      <c r="C171" s="316" t="s">
        <v>203</v>
      </c>
      <c r="D171" s="430"/>
      <c r="E171" s="431">
        <v>786</v>
      </c>
      <c r="F171" s="360">
        <v>786</v>
      </c>
      <c r="G171" s="360">
        <v>786</v>
      </c>
      <c r="H171" s="360">
        <v>786</v>
      </c>
      <c r="I171" s="56"/>
    </row>
    <row r="172" spans="1:9" s="280" customFormat="1" ht="12.75" customHeight="1">
      <c r="A172" s="428" t="s">
        <v>508</v>
      </c>
      <c r="B172" s="363"/>
      <c r="C172" s="316" t="s">
        <v>204</v>
      </c>
      <c r="D172" s="430"/>
      <c r="E172" s="431">
        <v>215</v>
      </c>
      <c r="F172" s="360">
        <v>215</v>
      </c>
      <c r="G172" s="360">
        <v>215</v>
      </c>
      <c r="H172" s="360">
        <v>215</v>
      </c>
      <c r="I172" s="56"/>
    </row>
    <row r="173" spans="1:9" s="280" customFormat="1" ht="12.75" customHeight="1">
      <c r="A173" s="428" t="s">
        <v>509</v>
      </c>
      <c r="B173" s="363"/>
      <c r="C173" s="316" t="s">
        <v>340</v>
      </c>
      <c r="D173" s="430"/>
      <c r="E173" s="431">
        <v>1000</v>
      </c>
      <c r="F173" s="360">
        <v>1000</v>
      </c>
      <c r="G173" s="360">
        <v>1000</v>
      </c>
      <c r="H173" s="360">
        <v>1000</v>
      </c>
      <c r="I173" s="56"/>
    </row>
    <row r="174" spans="1:9" s="337" customFormat="1" ht="12.75" customHeight="1">
      <c r="A174" s="420" t="s">
        <v>510</v>
      </c>
      <c r="B174" s="357" t="s">
        <v>47</v>
      </c>
      <c r="C174" s="13" t="s">
        <v>910</v>
      </c>
      <c r="D174" s="425"/>
      <c r="E174" s="426">
        <f>SUM(E175:E177)</f>
        <v>0</v>
      </c>
      <c r="F174" s="427">
        <f>SUM(F175:F177)</f>
        <v>0</v>
      </c>
      <c r="G174" s="427">
        <f>SUM(G175:G177)</f>
        <v>0</v>
      </c>
      <c r="H174" s="427">
        <f>SUM(H175:H177)</f>
        <v>669</v>
      </c>
      <c r="I174" s="90"/>
    </row>
    <row r="175" spans="1:9" s="280" customFormat="1" ht="12.75" customHeight="1">
      <c r="A175" s="428" t="s">
        <v>512</v>
      </c>
      <c r="B175" s="363"/>
      <c r="C175" s="316" t="s">
        <v>203</v>
      </c>
      <c r="D175" s="430"/>
      <c r="E175" s="431"/>
      <c r="F175" s="360"/>
      <c r="G175" s="360"/>
      <c r="H175" s="360">
        <v>0</v>
      </c>
      <c r="I175" s="56"/>
    </row>
    <row r="176" spans="1:9" s="280" customFormat="1" ht="12.75" customHeight="1">
      <c r="A176" s="428" t="s">
        <v>513</v>
      </c>
      <c r="B176" s="363"/>
      <c r="C176" s="316" t="s">
        <v>204</v>
      </c>
      <c r="D176" s="430"/>
      <c r="E176" s="431"/>
      <c r="F176" s="360"/>
      <c r="G176" s="360"/>
      <c r="H176" s="360">
        <v>0</v>
      </c>
      <c r="I176" s="56"/>
    </row>
    <row r="177" spans="1:9" s="280" customFormat="1" ht="12.75" customHeight="1">
      <c r="A177" s="428" t="s">
        <v>514</v>
      </c>
      <c r="B177" s="363"/>
      <c r="C177" s="316" t="s">
        <v>340</v>
      </c>
      <c r="D177" s="430"/>
      <c r="E177" s="431"/>
      <c r="F177" s="360"/>
      <c r="G177" s="360"/>
      <c r="H177" s="360">
        <v>669</v>
      </c>
      <c r="I177" s="56"/>
    </row>
    <row r="178" spans="1:9" s="337" customFormat="1" ht="12.75" customHeight="1">
      <c r="A178" s="420" t="s">
        <v>515</v>
      </c>
      <c r="B178" s="357" t="s">
        <v>49</v>
      </c>
      <c r="C178" s="13" t="s">
        <v>911</v>
      </c>
      <c r="D178" s="425"/>
      <c r="E178" s="426"/>
      <c r="F178" s="427"/>
      <c r="G178" s="427"/>
      <c r="H178" s="427">
        <f>SUM(H179:H181)</f>
        <v>693</v>
      </c>
      <c r="I178" s="90"/>
    </row>
    <row r="179" spans="1:9" s="280" customFormat="1" ht="12.75" customHeight="1">
      <c r="A179" s="428" t="s">
        <v>517</v>
      </c>
      <c r="B179" s="363"/>
      <c r="C179" s="316" t="s">
        <v>203</v>
      </c>
      <c r="D179" s="430"/>
      <c r="E179" s="431"/>
      <c r="F179" s="360"/>
      <c r="G179" s="360"/>
      <c r="H179" s="360">
        <v>0</v>
      </c>
      <c r="I179" s="56"/>
    </row>
    <row r="180" spans="1:9" s="280" customFormat="1" ht="12.75" customHeight="1">
      <c r="A180" s="428" t="s">
        <v>518</v>
      </c>
      <c r="B180" s="363"/>
      <c r="C180" s="316" t="s">
        <v>204</v>
      </c>
      <c r="D180" s="430"/>
      <c r="E180" s="431"/>
      <c r="F180" s="360"/>
      <c r="G180" s="360"/>
      <c r="H180" s="360">
        <v>0</v>
      </c>
      <c r="I180" s="56"/>
    </row>
    <row r="181" spans="1:9" s="280" customFormat="1" ht="12.75" customHeight="1">
      <c r="A181" s="428" t="s">
        <v>519</v>
      </c>
      <c r="B181" s="363"/>
      <c r="C181" s="316" t="s">
        <v>340</v>
      </c>
      <c r="D181" s="430"/>
      <c r="E181" s="431"/>
      <c r="F181" s="360"/>
      <c r="G181" s="360"/>
      <c r="H181" s="360">
        <v>693</v>
      </c>
      <c r="I181" s="56"/>
    </row>
    <row r="182" spans="1:9" s="280" customFormat="1" ht="12.75" customHeight="1">
      <c r="A182" s="428" t="s">
        <v>520</v>
      </c>
      <c r="B182" s="363"/>
      <c r="C182" s="316"/>
      <c r="D182" s="430"/>
      <c r="E182" s="431"/>
      <c r="F182" s="360"/>
      <c r="G182" s="360"/>
      <c r="H182" s="360"/>
      <c r="I182" s="56"/>
    </row>
    <row r="183" spans="1:9" s="280" customFormat="1" ht="26.25" customHeight="1">
      <c r="A183" s="452" t="s">
        <v>522</v>
      </c>
      <c r="B183" s="448"/>
      <c r="C183" s="527" t="s">
        <v>504</v>
      </c>
      <c r="D183" s="517">
        <f>SUM(D164:D173)</f>
        <v>3</v>
      </c>
      <c r="E183" s="450">
        <f>SUM(E184:E187)</f>
        <v>11554</v>
      </c>
      <c r="F183" s="451">
        <f>SUM(F184:F187)</f>
        <v>12508</v>
      </c>
      <c r="G183" s="451">
        <f>SUM(G184:G187)</f>
        <v>14658</v>
      </c>
      <c r="H183" s="451">
        <f>SUM(H184:H187)</f>
        <v>15449</v>
      </c>
      <c r="I183" s="56"/>
    </row>
    <row r="184" spans="1:9" s="280" customFormat="1" ht="12.75" customHeight="1">
      <c r="A184" s="452" t="s">
        <v>505</v>
      </c>
      <c r="B184" s="448"/>
      <c r="C184" s="464" t="s">
        <v>203</v>
      </c>
      <c r="D184" s="464"/>
      <c r="E184" s="469">
        <f aca="true" t="shared" si="2" ref="E184:G186">SUM(E166+E171)</f>
        <v>6552</v>
      </c>
      <c r="F184" s="470">
        <f t="shared" si="2"/>
        <v>6589</v>
      </c>
      <c r="G184" s="470">
        <f t="shared" si="2"/>
        <v>6589</v>
      </c>
      <c r="H184" s="470">
        <f>SUM(H166+H171)</f>
        <v>6589</v>
      </c>
      <c r="I184" s="56"/>
    </row>
    <row r="185" spans="1:9" s="280" customFormat="1" ht="12.75" customHeight="1">
      <c r="A185" s="452" t="s">
        <v>506</v>
      </c>
      <c r="B185" s="448"/>
      <c r="C185" s="464" t="s">
        <v>204</v>
      </c>
      <c r="D185" s="464"/>
      <c r="E185" s="469">
        <f t="shared" si="2"/>
        <v>1792</v>
      </c>
      <c r="F185" s="470">
        <f t="shared" si="2"/>
        <v>1945</v>
      </c>
      <c r="G185" s="470">
        <f t="shared" si="2"/>
        <v>1945</v>
      </c>
      <c r="H185" s="470">
        <f>SUM(H167+H172)</f>
        <v>1945</v>
      </c>
      <c r="I185" s="56"/>
    </row>
    <row r="186" spans="1:9" s="280" customFormat="1" ht="12.75" customHeight="1">
      <c r="A186" s="452" t="s">
        <v>507</v>
      </c>
      <c r="B186" s="448"/>
      <c r="C186" s="464" t="s">
        <v>340</v>
      </c>
      <c r="D186" s="464"/>
      <c r="E186" s="469">
        <f t="shared" si="2"/>
        <v>3210</v>
      </c>
      <c r="F186" s="470">
        <f t="shared" si="2"/>
        <v>3974</v>
      </c>
      <c r="G186" s="470">
        <f t="shared" si="2"/>
        <v>6124</v>
      </c>
      <c r="H186" s="470">
        <v>6517</v>
      </c>
      <c r="I186" s="56"/>
    </row>
    <row r="187" spans="1:9" s="280" customFormat="1" ht="12.75" customHeight="1" thickBot="1">
      <c r="A187" s="518" t="s">
        <v>508</v>
      </c>
      <c r="B187" s="480"/>
      <c r="C187" s="474" t="s">
        <v>376</v>
      </c>
      <c r="D187" s="474"/>
      <c r="E187" s="519"/>
      <c r="F187" s="476"/>
      <c r="G187" s="476"/>
      <c r="H187" s="476">
        <v>398</v>
      </c>
      <c r="I187" s="56"/>
    </row>
    <row r="188" spans="1:9" s="280" customFormat="1" ht="36.75" customHeight="1" thickBot="1">
      <c r="A188" s="528" t="s">
        <v>509</v>
      </c>
      <c r="B188" s="529" t="s">
        <v>180</v>
      </c>
      <c r="C188" s="1366" t="s">
        <v>325</v>
      </c>
      <c r="D188" s="1366"/>
      <c r="E188" s="1366"/>
      <c r="F188" s="530"/>
      <c r="G188" s="530"/>
      <c r="H188" s="530"/>
      <c r="I188" s="56"/>
    </row>
    <row r="189" spans="1:9" s="337" customFormat="1" ht="24" customHeight="1">
      <c r="A189" s="428" t="s">
        <v>510</v>
      </c>
      <c r="B189" s="352" t="s">
        <v>38</v>
      </c>
      <c r="C189" s="531" t="s">
        <v>511</v>
      </c>
      <c r="D189" s="511">
        <v>3</v>
      </c>
      <c r="E189" s="487">
        <f>SUM(E190:E192)</f>
        <v>27847</v>
      </c>
      <c r="F189" s="488">
        <f>SUM(F190:F192)</f>
        <v>27847</v>
      </c>
      <c r="G189" s="488">
        <f>SUM(G190:G192)</f>
        <v>27847</v>
      </c>
      <c r="H189" s="488">
        <f>SUM(H190:H192)</f>
        <v>27847</v>
      </c>
      <c r="I189" s="90"/>
    </row>
    <row r="190" spans="1:9" s="280" customFormat="1" ht="12.75" customHeight="1">
      <c r="A190" s="428" t="s">
        <v>512</v>
      </c>
      <c r="B190" s="363"/>
      <c r="C190" s="316" t="s">
        <v>203</v>
      </c>
      <c r="D190" s="430"/>
      <c r="E190" s="431">
        <v>6659</v>
      </c>
      <c r="F190" s="360">
        <v>6659</v>
      </c>
      <c r="G190" s="360">
        <v>6659</v>
      </c>
      <c r="H190" s="360">
        <v>6659</v>
      </c>
      <c r="I190" s="56"/>
    </row>
    <row r="191" spans="1:9" s="280" customFormat="1" ht="12.75" customHeight="1">
      <c r="A191" s="428" t="s">
        <v>513</v>
      </c>
      <c r="B191" s="363"/>
      <c r="C191" s="316" t="s">
        <v>479</v>
      </c>
      <c r="D191" s="430"/>
      <c r="E191" s="431">
        <v>1841</v>
      </c>
      <c r="F191" s="360">
        <v>1841</v>
      </c>
      <c r="G191" s="360">
        <v>1841</v>
      </c>
      <c r="H191" s="360">
        <v>1841</v>
      </c>
      <c r="I191" s="56"/>
    </row>
    <row r="192" spans="1:9" s="280" customFormat="1" ht="12.75" customHeight="1">
      <c r="A192" s="428" t="s">
        <v>514</v>
      </c>
      <c r="B192" s="363"/>
      <c r="C192" s="316" t="s">
        <v>481</v>
      </c>
      <c r="D192" s="430"/>
      <c r="E192" s="431">
        <v>19347</v>
      </c>
      <c r="F192" s="360">
        <v>19347</v>
      </c>
      <c r="G192" s="360">
        <v>19347</v>
      </c>
      <c r="H192" s="360">
        <v>19347</v>
      </c>
      <c r="I192" s="56"/>
    </row>
    <row r="193" spans="1:9" s="280" customFormat="1" ht="30.75" customHeight="1">
      <c r="A193" s="428" t="s">
        <v>515</v>
      </c>
      <c r="B193" s="363" t="s">
        <v>40</v>
      </c>
      <c r="C193" s="532" t="s">
        <v>516</v>
      </c>
      <c r="D193" s="425">
        <v>1</v>
      </c>
      <c r="E193" s="426">
        <f>SUM(E194:E196)</f>
        <v>4479</v>
      </c>
      <c r="F193" s="427">
        <f>SUM(F194:F196)</f>
        <v>4479</v>
      </c>
      <c r="G193" s="427">
        <f>SUM(G194:G196)</f>
        <v>4479</v>
      </c>
      <c r="H193" s="427">
        <f>SUM(H194:H196)</f>
        <v>4479</v>
      </c>
      <c r="I193" s="56"/>
    </row>
    <row r="194" spans="1:9" s="280" customFormat="1" ht="12.75" customHeight="1">
      <c r="A194" s="428" t="s">
        <v>517</v>
      </c>
      <c r="B194" s="363"/>
      <c r="C194" s="316" t="s">
        <v>203</v>
      </c>
      <c r="D194" s="430"/>
      <c r="E194" s="431">
        <v>1942</v>
      </c>
      <c r="F194" s="360">
        <v>1942</v>
      </c>
      <c r="G194" s="360">
        <v>1942</v>
      </c>
      <c r="H194" s="360">
        <v>1942</v>
      </c>
      <c r="I194" s="56"/>
    </row>
    <row r="195" spans="1:9" s="280" customFormat="1" ht="12.75" customHeight="1">
      <c r="A195" s="428" t="s">
        <v>518</v>
      </c>
      <c r="B195" s="363"/>
      <c r="C195" s="316" t="s">
        <v>479</v>
      </c>
      <c r="D195" s="430"/>
      <c r="E195" s="431">
        <v>537</v>
      </c>
      <c r="F195" s="360">
        <v>537</v>
      </c>
      <c r="G195" s="360">
        <v>537</v>
      </c>
      <c r="H195" s="360">
        <v>537</v>
      </c>
      <c r="I195" s="56"/>
    </row>
    <row r="196" spans="1:9" s="280" customFormat="1" ht="12.75" customHeight="1">
      <c r="A196" s="428" t="s">
        <v>519</v>
      </c>
      <c r="B196" s="363"/>
      <c r="C196" s="316" t="s">
        <v>481</v>
      </c>
      <c r="D196" s="430"/>
      <c r="E196" s="431">
        <v>2000</v>
      </c>
      <c r="F196" s="360">
        <v>2000</v>
      </c>
      <c r="G196" s="360">
        <v>2000</v>
      </c>
      <c r="H196" s="360">
        <v>2000</v>
      </c>
      <c r="I196" s="56"/>
    </row>
    <row r="197" spans="1:9" s="280" customFormat="1" ht="29.25" customHeight="1">
      <c r="A197" s="428" t="s">
        <v>520</v>
      </c>
      <c r="B197" s="85" t="s">
        <v>47</v>
      </c>
      <c r="C197" s="533" t="s">
        <v>521</v>
      </c>
      <c r="D197" s="534">
        <v>1</v>
      </c>
      <c r="E197" s="535">
        <f>SUM(E198:E201)</f>
        <v>191</v>
      </c>
      <c r="F197" s="536">
        <f>SUM(F198:F201)</f>
        <v>191</v>
      </c>
      <c r="G197" s="536">
        <f>SUM(G198:G201)</f>
        <v>191</v>
      </c>
      <c r="H197" s="536">
        <f>SUM(H198:H201)</f>
        <v>191</v>
      </c>
      <c r="I197" s="56"/>
    </row>
    <row r="198" spans="1:9" s="280" customFormat="1" ht="12.75" customHeight="1">
      <c r="A198" s="428" t="s">
        <v>522</v>
      </c>
      <c r="B198" s="78"/>
      <c r="C198" s="92" t="s">
        <v>203</v>
      </c>
      <c r="D198" s="537"/>
      <c r="E198" s="538">
        <v>30</v>
      </c>
      <c r="F198" s="539">
        <v>30</v>
      </c>
      <c r="G198" s="539">
        <v>30</v>
      </c>
      <c r="H198" s="539">
        <v>30</v>
      </c>
      <c r="I198" s="56"/>
    </row>
    <row r="199" spans="1:9" s="280" customFormat="1" ht="12.75" customHeight="1">
      <c r="A199" s="428" t="s">
        <v>523</v>
      </c>
      <c r="B199" s="78"/>
      <c r="C199" s="92" t="s">
        <v>204</v>
      </c>
      <c r="D199" s="537"/>
      <c r="E199" s="538">
        <v>8</v>
      </c>
      <c r="F199" s="539">
        <v>8</v>
      </c>
      <c r="G199" s="539">
        <v>8</v>
      </c>
      <c r="H199" s="539">
        <v>8</v>
      </c>
      <c r="I199" s="56"/>
    </row>
    <row r="200" spans="1:9" s="280" customFormat="1" ht="12.75" customHeight="1">
      <c r="A200" s="428" t="s">
        <v>524</v>
      </c>
      <c r="B200" s="78"/>
      <c r="C200" s="92" t="s">
        <v>340</v>
      </c>
      <c r="D200" s="537"/>
      <c r="E200" s="538">
        <v>153</v>
      </c>
      <c r="F200" s="539">
        <v>153</v>
      </c>
      <c r="G200" s="539">
        <v>153</v>
      </c>
      <c r="H200" s="539">
        <v>153</v>
      </c>
      <c r="I200" s="56"/>
    </row>
    <row r="201" spans="1:9" s="280" customFormat="1" ht="12.75" customHeight="1">
      <c r="A201" s="428" t="s">
        <v>525</v>
      </c>
      <c r="B201" s="78"/>
      <c r="C201" s="92" t="s">
        <v>376</v>
      </c>
      <c r="D201" s="537"/>
      <c r="E201" s="538">
        <v>0</v>
      </c>
      <c r="F201" s="539">
        <v>0</v>
      </c>
      <c r="G201" s="539">
        <v>0</v>
      </c>
      <c r="H201" s="539">
        <v>0</v>
      </c>
      <c r="I201" s="56"/>
    </row>
    <row r="202" spans="1:9" s="337" customFormat="1" ht="12.75" customHeight="1">
      <c r="A202" s="428" t="s">
        <v>526</v>
      </c>
      <c r="B202" s="357" t="s">
        <v>49</v>
      </c>
      <c r="C202" s="13" t="s">
        <v>527</v>
      </c>
      <c r="D202" s="425"/>
      <c r="E202" s="426">
        <v>1500</v>
      </c>
      <c r="F202" s="427">
        <v>1400</v>
      </c>
      <c r="G202" s="427">
        <v>1400</v>
      </c>
      <c r="H202" s="427">
        <v>1400</v>
      </c>
      <c r="I202" s="90"/>
    </row>
    <row r="203" spans="1:9" s="280" customFormat="1" ht="12.75" customHeight="1">
      <c r="A203" s="428" t="s">
        <v>528</v>
      </c>
      <c r="B203" s="363"/>
      <c r="C203" s="316" t="s">
        <v>336</v>
      </c>
      <c r="D203" s="430"/>
      <c r="E203" s="431">
        <v>1500</v>
      </c>
      <c r="F203" s="360">
        <v>1400</v>
      </c>
      <c r="G203" s="360">
        <v>1400</v>
      </c>
      <c r="H203" s="360">
        <v>1400</v>
      </c>
      <c r="I203" s="56"/>
    </row>
    <row r="204" spans="1:9" s="280" customFormat="1" ht="12.75" customHeight="1">
      <c r="A204" s="428" t="s">
        <v>529</v>
      </c>
      <c r="B204" s="363"/>
      <c r="C204" s="316" t="s">
        <v>376</v>
      </c>
      <c r="D204" s="430"/>
      <c r="E204" s="431"/>
      <c r="F204" s="360"/>
      <c r="G204" s="360"/>
      <c r="H204" s="360"/>
      <c r="I204" s="56"/>
    </row>
    <row r="205" spans="1:9" s="337" customFormat="1" ht="12.75" customHeight="1">
      <c r="A205" s="428" t="s">
        <v>530</v>
      </c>
      <c r="B205" s="357" t="s">
        <v>51</v>
      </c>
      <c r="C205" s="13" t="s">
        <v>531</v>
      </c>
      <c r="D205" s="425"/>
      <c r="E205" s="426">
        <v>430</v>
      </c>
      <c r="F205" s="427">
        <v>430</v>
      </c>
      <c r="G205" s="427">
        <v>430</v>
      </c>
      <c r="H205" s="427">
        <v>430</v>
      </c>
      <c r="I205" s="90"/>
    </row>
    <row r="206" spans="1:9" s="280" customFormat="1" ht="12.75" customHeight="1">
      <c r="A206" s="428" t="s">
        <v>532</v>
      </c>
      <c r="B206" s="363"/>
      <c r="C206" s="316" t="s">
        <v>336</v>
      </c>
      <c r="D206" s="430"/>
      <c r="E206" s="431">
        <v>430</v>
      </c>
      <c r="F206" s="360">
        <v>430</v>
      </c>
      <c r="G206" s="360">
        <v>430</v>
      </c>
      <c r="H206" s="360">
        <v>430</v>
      </c>
      <c r="I206" s="56"/>
    </row>
    <row r="207" spans="1:9" s="337" customFormat="1" ht="12.75" customHeight="1">
      <c r="A207" s="428" t="s">
        <v>533</v>
      </c>
      <c r="B207" s="357" t="s">
        <v>53</v>
      </c>
      <c r="C207" s="13" t="s">
        <v>393</v>
      </c>
      <c r="D207" s="425">
        <v>11</v>
      </c>
      <c r="E207" s="426">
        <f>SUM(E208:E211)</f>
        <v>27780</v>
      </c>
      <c r="F207" s="427">
        <f>SUM(F208:F211)</f>
        <v>34303</v>
      </c>
      <c r="G207" s="427">
        <f>SUM(G208:G211)</f>
        <v>34303</v>
      </c>
      <c r="H207" s="427">
        <f>SUM(H208:H211)</f>
        <v>34303</v>
      </c>
      <c r="I207" s="90"/>
    </row>
    <row r="208" spans="1:9" s="280" customFormat="1" ht="12.75" customHeight="1">
      <c r="A208" s="428" t="s">
        <v>534</v>
      </c>
      <c r="B208" s="363"/>
      <c r="C208" s="316" t="s">
        <v>203</v>
      </c>
      <c r="D208" s="430"/>
      <c r="E208" s="431">
        <v>21505</v>
      </c>
      <c r="F208" s="360">
        <v>21573</v>
      </c>
      <c r="G208" s="360">
        <v>21573</v>
      </c>
      <c r="H208" s="360">
        <v>21573</v>
      </c>
      <c r="I208" s="56"/>
    </row>
    <row r="209" spans="1:9" s="280" customFormat="1" ht="12.75" customHeight="1">
      <c r="A209" s="428" t="s">
        <v>535</v>
      </c>
      <c r="B209" s="363"/>
      <c r="C209" s="316" t="s">
        <v>479</v>
      </c>
      <c r="D209" s="430"/>
      <c r="E209" s="431">
        <v>6025</v>
      </c>
      <c r="F209" s="360">
        <v>6025</v>
      </c>
      <c r="G209" s="360">
        <v>6025</v>
      </c>
      <c r="H209" s="360">
        <v>6025</v>
      </c>
      <c r="I209" s="56"/>
    </row>
    <row r="210" spans="1:9" s="280" customFormat="1" ht="12.75" customHeight="1">
      <c r="A210" s="428" t="s">
        <v>536</v>
      </c>
      <c r="B210" s="363"/>
      <c r="C210" s="316" t="s">
        <v>481</v>
      </c>
      <c r="D210" s="430"/>
      <c r="E210" s="431"/>
      <c r="F210" s="360">
        <v>6455</v>
      </c>
      <c r="G210" s="360">
        <v>6455</v>
      </c>
      <c r="H210" s="360">
        <v>6455</v>
      </c>
      <c r="I210" s="56"/>
    </row>
    <row r="211" spans="1:9" s="280" customFormat="1" ht="12.75" customHeight="1">
      <c r="A211" s="428" t="s">
        <v>537</v>
      </c>
      <c r="B211" s="363"/>
      <c r="C211" s="316" t="s">
        <v>376</v>
      </c>
      <c r="D211" s="430"/>
      <c r="E211" s="431">
        <v>250</v>
      </c>
      <c r="F211" s="360">
        <v>250</v>
      </c>
      <c r="G211" s="360">
        <v>250</v>
      </c>
      <c r="H211" s="360">
        <v>250</v>
      </c>
      <c r="I211" s="56"/>
    </row>
    <row r="212" spans="1:9" s="337" customFormat="1" ht="12.75" customHeight="1">
      <c r="A212" s="428" t="s">
        <v>538</v>
      </c>
      <c r="B212" s="357" t="s">
        <v>55</v>
      </c>
      <c r="C212" s="13" t="s">
        <v>539</v>
      </c>
      <c r="D212" s="425">
        <v>2</v>
      </c>
      <c r="E212" s="426">
        <f>SUM(E213:E215)</f>
        <v>6349</v>
      </c>
      <c r="F212" s="427">
        <f>SUM(F213:F215)</f>
        <v>6349</v>
      </c>
      <c r="G212" s="427">
        <f>SUM(G213:G215)</f>
        <v>6349</v>
      </c>
      <c r="H212" s="427">
        <f>SUM(H213:H215)</f>
        <v>6349</v>
      </c>
      <c r="I212" s="90"/>
    </row>
    <row r="213" spans="1:9" s="280" customFormat="1" ht="12.75" customHeight="1">
      <c r="A213" s="428" t="s">
        <v>540</v>
      </c>
      <c r="B213" s="363"/>
      <c r="C213" s="316" t="s">
        <v>203</v>
      </c>
      <c r="D213" s="430"/>
      <c r="E213" s="431">
        <v>1841</v>
      </c>
      <c r="F213" s="360">
        <v>1841</v>
      </c>
      <c r="G213" s="360">
        <v>1841</v>
      </c>
      <c r="H213" s="360">
        <v>1841</v>
      </c>
      <c r="I213" s="56"/>
    </row>
    <row r="214" spans="1:9" s="280" customFormat="1" ht="12.75" customHeight="1">
      <c r="A214" s="428" t="s">
        <v>541</v>
      </c>
      <c r="B214" s="363"/>
      <c r="C214" s="316" t="s">
        <v>479</v>
      </c>
      <c r="D214" s="430"/>
      <c r="E214" s="431">
        <v>508</v>
      </c>
      <c r="F214" s="360">
        <v>508</v>
      </c>
      <c r="G214" s="360">
        <v>508</v>
      </c>
      <c r="H214" s="360">
        <v>508</v>
      </c>
      <c r="I214" s="56"/>
    </row>
    <row r="215" spans="1:9" s="280" customFormat="1" ht="12.75" customHeight="1">
      <c r="A215" s="428" t="s">
        <v>542</v>
      </c>
      <c r="B215" s="363"/>
      <c r="C215" s="316" t="s">
        <v>481</v>
      </c>
      <c r="D215" s="430"/>
      <c r="E215" s="431">
        <v>4000</v>
      </c>
      <c r="F215" s="360">
        <v>4000</v>
      </c>
      <c r="G215" s="360">
        <v>4000</v>
      </c>
      <c r="H215" s="360">
        <v>4000</v>
      </c>
      <c r="I215" s="56"/>
    </row>
    <row r="216" spans="1:9" s="337" customFormat="1" ht="12.75" customHeight="1">
      <c r="A216" s="428" t="s">
        <v>543</v>
      </c>
      <c r="B216" s="357" t="s">
        <v>57</v>
      </c>
      <c r="C216" s="13" t="s">
        <v>544</v>
      </c>
      <c r="D216" s="425"/>
      <c r="E216" s="426">
        <f>SUM(E217)</f>
        <v>800</v>
      </c>
      <c r="F216" s="427">
        <f>SUM(F217)</f>
        <v>400</v>
      </c>
      <c r="G216" s="427">
        <f>SUM(G217)</f>
        <v>400</v>
      </c>
      <c r="H216" s="427">
        <f>SUM(H217)</f>
        <v>400</v>
      </c>
      <c r="I216" s="90"/>
    </row>
    <row r="217" spans="1:9" s="280" customFormat="1" ht="12.75" customHeight="1">
      <c r="A217" s="428" t="s">
        <v>545</v>
      </c>
      <c r="B217" s="363"/>
      <c r="C217" s="316" t="s">
        <v>336</v>
      </c>
      <c r="D217" s="430"/>
      <c r="E217" s="431">
        <v>800</v>
      </c>
      <c r="F217" s="360">
        <v>400</v>
      </c>
      <c r="G217" s="360">
        <v>400</v>
      </c>
      <c r="H217" s="360">
        <v>400</v>
      </c>
      <c r="I217" s="56"/>
    </row>
    <row r="218" spans="1:9" s="337" customFormat="1" ht="12.75" customHeight="1">
      <c r="A218" s="428" t="s">
        <v>546</v>
      </c>
      <c r="B218" s="357" t="s">
        <v>86</v>
      </c>
      <c r="C218" s="13" t="s">
        <v>547</v>
      </c>
      <c r="D218" s="425">
        <v>4.5</v>
      </c>
      <c r="E218" s="426">
        <f>SUM(E219:E222)</f>
        <v>18041</v>
      </c>
      <c r="F218" s="427">
        <f>SUM(F219:F222)</f>
        <v>13986</v>
      </c>
      <c r="G218" s="427">
        <f>SUM(G219:G222)</f>
        <v>15669</v>
      </c>
      <c r="H218" s="427">
        <f>SUM(H219:H222)</f>
        <v>15669</v>
      </c>
      <c r="I218" s="90"/>
    </row>
    <row r="219" spans="1:9" s="280" customFormat="1" ht="12.75" customHeight="1">
      <c r="A219" s="428" t="s">
        <v>548</v>
      </c>
      <c r="B219" s="363"/>
      <c r="C219" s="316" t="s">
        <v>203</v>
      </c>
      <c r="D219" s="430"/>
      <c r="E219" s="431">
        <v>6139</v>
      </c>
      <c r="F219" s="360">
        <v>6139</v>
      </c>
      <c r="G219" s="360">
        <v>6139</v>
      </c>
      <c r="H219" s="360">
        <v>6139</v>
      </c>
      <c r="I219" s="56"/>
    </row>
    <row r="220" spans="1:9" s="280" customFormat="1" ht="12.75" customHeight="1">
      <c r="A220" s="428" t="s">
        <v>549</v>
      </c>
      <c r="B220" s="540"/>
      <c r="C220" s="541" t="s">
        <v>479</v>
      </c>
      <c r="D220" s="542"/>
      <c r="E220" s="513">
        <v>1702</v>
      </c>
      <c r="F220" s="514">
        <v>1702</v>
      </c>
      <c r="G220" s="514">
        <v>1702</v>
      </c>
      <c r="H220" s="514">
        <v>1702</v>
      </c>
      <c r="I220" s="56"/>
    </row>
    <row r="221" spans="1:9" s="280" customFormat="1" ht="12.75" customHeight="1">
      <c r="A221" s="428" t="s">
        <v>550</v>
      </c>
      <c r="B221" s="363"/>
      <c r="C221" s="316" t="s">
        <v>481</v>
      </c>
      <c r="D221" s="430"/>
      <c r="E221" s="431">
        <v>10000</v>
      </c>
      <c r="F221" s="360">
        <v>5945</v>
      </c>
      <c r="G221" s="360">
        <v>7628</v>
      </c>
      <c r="H221" s="360">
        <v>7628</v>
      </c>
      <c r="I221" s="56"/>
    </row>
    <row r="222" spans="1:9" s="280" customFormat="1" ht="12.75" customHeight="1">
      <c r="A222" s="428" t="s">
        <v>551</v>
      </c>
      <c r="B222" s="363"/>
      <c r="C222" s="543" t="s">
        <v>552</v>
      </c>
      <c r="D222" s="430"/>
      <c r="E222" s="431">
        <v>200</v>
      </c>
      <c r="F222" s="360">
        <v>200</v>
      </c>
      <c r="G222" s="360">
        <v>200</v>
      </c>
      <c r="H222" s="360">
        <v>200</v>
      </c>
      <c r="I222" s="56"/>
    </row>
    <row r="223" spans="1:8" s="12" customFormat="1" ht="14.25" customHeight="1">
      <c r="A223" s="428" t="s">
        <v>553</v>
      </c>
      <c r="B223" s="544" t="s">
        <v>59</v>
      </c>
      <c r="C223" s="544" t="s">
        <v>554</v>
      </c>
      <c r="D223" s="544"/>
      <c r="E223" s="426">
        <f>SUM(E224)</f>
        <v>720</v>
      </c>
      <c r="F223" s="427">
        <f>SUM(F224)</f>
        <v>720</v>
      </c>
      <c r="G223" s="427">
        <f>SUM(G224)</f>
        <v>720</v>
      </c>
      <c r="H223" s="427">
        <f>SUM(H224)</f>
        <v>720</v>
      </c>
    </row>
    <row r="224" spans="1:250" ht="12.75" customHeight="1">
      <c r="A224" s="428" t="s">
        <v>555</v>
      </c>
      <c r="B224" s="545"/>
      <c r="C224" s="545" t="s">
        <v>336</v>
      </c>
      <c r="D224" s="545"/>
      <c r="E224" s="431">
        <v>720</v>
      </c>
      <c r="F224" s="360">
        <v>720</v>
      </c>
      <c r="G224" s="360">
        <v>720</v>
      </c>
      <c r="H224" s="360">
        <v>720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1:250" ht="12.75" customHeight="1">
      <c r="A225" s="428" t="s">
        <v>556</v>
      </c>
      <c r="B225" s="544" t="s">
        <v>61</v>
      </c>
      <c r="C225" s="544" t="s">
        <v>388</v>
      </c>
      <c r="D225" s="544">
        <v>12</v>
      </c>
      <c r="E225" s="546">
        <f>SUM(E226:E228)</f>
        <v>14288</v>
      </c>
      <c r="F225" s="547">
        <f>SUM(F226:F228)</f>
        <v>14288</v>
      </c>
      <c r="G225" s="547">
        <f>SUM(G226:G229)</f>
        <v>16288</v>
      </c>
      <c r="H225" s="547">
        <f>SUM(H226:H229)</f>
        <v>16288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1:250" ht="12.75" customHeight="1">
      <c r="A226" s="428" t="s">
        <v>557</v>
      </c>
      <c r="B226" s="545"/>
      <c r="C226" s="316" t="s">
        <v>203</v>
      </c>
      <c r="D226" s="545"/>
      <c r="E226" s="548">
        <v>12324</v>
      </c>
      <c r="F226" s="549">
        <v>12324</v>
      </c>
      <c r="G226" s="549">
        <v>12324</v>
      </c>
      <c r="H226" s="549">
        <v>12324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1:250" ht="12.75" customHeight="1">
      <c r="A227" s="428" t="s">
        <v>558</v>
      </c>
      <c r="B227" s="545"/>
      <c r="C227" s="541" t="s">
        <v>479</v>
      </c>
      <c r="D227" s="545"/>
      <c r="E227" s="548">
        <v>1664</v>
      </c>
      <c r="F227" s="549">
        <v>1664</v>
      </c>
      <c r="G227" s="549">
        <v>1664</v>
      </c>
      <c r="H227" s="549">
        <v>1664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1:250" ht="12.75" customHeight="1">
      <c r="A228" s="428" t="s">
        <v>559</v>
      </c>
      <c r="B228" s="545"/>
      <c r="C228" s="316" t="s">
        <v>481</v>
      </c>
      <c r="D228" s="545"/>
      <c r="E228" s="548">
        <v>300</v>
      </c>
      <c r="F228" s="549">
        <v>300</v>
      </c>
      <c r="G228" s="549">
        <v>300</v>
      </c>
      <c r="H228" s="549">
        <v>300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1:250" ht="12.75" customHeight="1">
      <c r="A229" s="428" t="s">
        <v>560</v>
      </c>
      <c r="B229" s="550"/>
      <c r="C229" s="220" t="s">
        <v>561</v>
      </c>
      <c r="D229" s="545"/>
      <c r="E229" s="548">
        <v>0</v>
      </c>
      <c r="F229" s="549">
        <v>0</v>
      </c>
      <c r="G229" s="549">
        <v>2000</v>
      </c>
      <c r="H229" s="549">
        <v>2000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1:9" s="280" customFormat="1" ht="12.75" customHeight="1">
      <c r="A230" s="428" t="s">
        <v>562</v>
      </c>
      <c r="B230" s="551"/>
      <c r="C230" s="552" t="s">
        <v>325</v>
      </c>
      <c r="D230" s="1302">
        <v>34.5</v>
      </c>
      <c r="E230" s="450">
        <f>SUM(E231:E234)</f>
        <v>102425</v>
      </c>
      <c r="F230" s="451">
        <f>SUM(F231:F234)</f>
        <v>104393</v>
      </c>
      <c r="G230" s="451">
        <f>SUM(G231:G234)</f>
        <v>108076</v>
      </c>
      <c r="H230" s="451">
        <f>SUM(H231:H234)</f>
        <v>108076</v>
      </c>
      <c r="I230" s="56"/>
    </row>
    <row r="231" spans="1:9" s="280" customFormat="1" ht="12.75" customHeight="1">
      <c r="A231" s="428" t="s">
        <v>563</v>
      </c>
      <c r="B231" s="501"/>
      <c r="C231" s="502" t="s">
        <v>203</v>
      </c>
      <c r="D231" s="464"/>
      <c r="E231" s="469">
        <v>50440</v>
      </c>
      <c r="F231" s="470">
        <v>50508</v>
      </c>
      <c r="G231" s="470">
        <v>50508</v>
      </c>
      <c r="H231" s="470">
        <v>50508</v>
      </c>
      <c r="I231" s="56"/>
    </row>
    <row r="232" spans="1:9" s="280" customFormat="1" ht="12.75" customHeight="1">
      <c r="A232" s="428" t="s">
        <v>564</v>
      </c>
      <c r="B232" s="504"/>
      <c r="C232" s="474" t="s">
        <v>204</v>
      </c>
      <c r="D232" s="464"/>
      <c r="E232" s="469">
        <v>12285</v>
      </c>
      <c r="F232" s="470">
        <v>12285</v>
      </c>
      <c r="G232" s="470">
        <v>12285</v>
      </c>
      <c r="H232" s="470">
        <v>12285</v>
      </c>
      <c r="I232" s="56"/>
    </row>
    <row r="233" spans="1:9" s="280" customFormat="1" ht="12.75" customHeight="1">
      <c r="A233" s="428" t="s">
        <v>565</v>
      </c>
      <c r="B233" s="448"/>
      <c r="C233" s="464" t="s">
        <v>340</v>
      </c>
      <c r="D233" s="464"/>
      <c r="E233" s="469">
        <v>39250</v>
      </c>
      <c r="F233" s="470">
        <v>41150</v>
      </c>
      <c r="G233" s="470">
        <v>42833</v>
      </c>
      <c r="H233" s="470">
        <v>42833</v>
      </c>
      <c r="I233" s="56"/>
    </row>
    <row r="234" spans="1:9" s="280" customFormat="1" ht="12.75" customHeight="1" thickBot="1">
      <c r="A234" s="495" t="s">
        <v>566</v>
      </c>
      <c r="B234" s="480"/>
      <c r="C234" s="474" t="s">
        <v>376</v>
      </c>
      <c r="D234" s="474"/>
      <c r="E234" s="519">
        <v>450</v>
      </c>
      <c r="F234" s="476">
        <v>450</v>
      </c>
      <c r="G234" s="476">
        <v>2450</v>
      </c>
      <c r="H234" s="476">
        <v>2450</v>
      </c>
      <c r="I234" s="56"/>
    </row>
    <row r="235" spans="1:9" s="280" customFormat="1" ht="37.5" customHeight="1" thickBot="1">
      <c r="A235" s="553" t="s">
        <v>567</v>
      </c>
      <c r="B235" s="554" t="s">
        <v>182</v>
      </c>
      <c r="C235" s="555" t="s">
        <v>568</v>
      </c>
      <c r="D235" s="556">
        <f>SUM(D236:D244)-D243</f>
        <v>0</v>
      </c>
      <c r="E235" s="557">
        <f>SUM(E236:E248)</f>
        <v>853590</v>
      </c>
      <c r="F235" s="558">
        <f>SUM(F236:F248)</f>
        <v>963654</v>
      </c>
      <c r="G235" s="558">
        <f>SUM(G236:G248)</f>
        <v>977000</v>
      </c>
      <c r="H235" s="558">
        <f>SUM(H236:H248)</f>
        <v>966955</v>
      </c>
      <c r="I235" s="56"/>
    </row>
    <row r="236" spans="1:9" s="280" customFormat="1" ht="12.75" customHeight="1">
      <c r="A236" s="428" t="s">
        <v>569</v>
      </c>
      <c r="B236" s="559"/>
      <c r="C236" s="560" t="s">
        <v>203</v>
      </c>
      <c r="D236" s="560">
        <f>D231+D184+D159+D121+D91</f>
        <v>0</v>
      </c>
      <c r="E236" s="561">
        <v>212878</v>
      </c>
      <c r="F236" s="562">
        <v>213699</v>
      </c>
      <c r="G236" s="562">
        <v>215164</v>
      </c>
      <c r="H236" s="562">
        <v>215804</v>
      </c>
      <c r="I236" s="56"/>
    </row>
    <row r="237" spans="1:9" s="280" customFormat="1" ht="12.75" customHeight="1">
      <c r="A237" s="428" t="s">
        <v>570</v>
      </c>
      <c r="B237" s="563"/>
      <c r="C237" s="449" t="s">
        <v>204</v>
      </c>
      <c r="D237" s="449">
        <f>D92+D122+D160+D185+D232</f>
        <v>0</v>
      </c>
      <c r="E237" s="450">
        <v>54992</v>
      </c>
      <c r="F237" s="451">
        <v>55258</v>
      </c>
      <c r="G237" s="451">
        <v>55669</v>
      </c>
      <c r="H237" s="451">
        <v>55844</v>
      </c>
      <c r="I237" s="56"/>
    </row>
    <row r="238" spans="1:9" s="280" customFormat="1" ht="12.75" customHeight="1">
      <c r="A238" s="428" t="s">
        <v>571</v>
      </c>
      <c r="B238" s="563"/>
      <c r="C238" s="449" t="s">
        <v>340</v>
      </c>
      <c r="D238" s="449">
        <f>D93+D123+D161+D186+D233</f>
        <v>0</v>
      </c>
      <c r="E238" s="450">
        <v>119228</v>
      </c>
      <c r="F238" s="451">
        <v>120994</v>
      </c>
      <c r="G238" s="451">
        <v>147606</v>
      </c>
      <c r="H238" s="451">
        <v>155798</v>
      </c>
      <c r="I238" s="56"/>
    </row>
    <row r="239" spans="1:9" s="280" customFormat="1" ht="24.75" customHeight="1">
      <c r="A239" s="428" t="s">
        <v>572</v>
      </c>
      <c r="B239" s="563"/>
      <c r="C239" s="564" t="s">
        <v>573</v>
      </c>
      <c r="D239" s="449">
        <f>D94</f>
        <v>0</v>
      </c>
      <c r="E239" s="450">
        <v>32764</v>
      </c>
      <c r="F239" s="451">
        <v>33612</v>
      </c>
      <c r="G239" s="451">
        <v>35977</v>
      </c>
      <c r="H239" s="451">
        <v>36072</v>
      </c>
      <c r="I239" s="56"/>
    </row>
    <row r="240" spans="1:9" s="280" customFormat="1" ht="12.75" customHeight="1">
      <c r="A240" s="428" t="s">
        <v>574</v>
      </c>
      <c r="B240" s="448"/>
      <c r="C240" s="449" t="s">
        <v>575</v>
      </c>
      <c r="D240" s="449">
        <f>D95</f>
        <v>0</v>
      </c>
      <c r="E240" s="450">
        <f>E95</f>
        <v>3210</v>
      </c>
      <c r="F240" s="451">
        <f>F95</f>
        <v>3210</v>
      </c>
      <c r="G240" s="451">
        <f>G95</f>
        <v>3210</v>
      </c>
      <c r="H240" s="451">
        <f>H95</f>
        <v>3274</v>
      </c>
      <c r="I240" s="56"/>
    </row>
    <row r="241" spans="1:9" s="280" customFormat="1" ht="12.75" customHeight="1">
      <c r="A241" s="428" t="s">
        <v>576</v>
      </c>
      <c r="B241" s="448"/>
      <c r="C241" s="449" t="s">
        <v>338</v>
      </c>
      <c r="D241" s="449">
        <f>D97+D234+D162+D124</f>
        <v>0</v>
      </c>
      <c r="E241" s="450">
        <f>E97+E234+E162+E124</f>
        <v>127072</v>
      </c>
      <c r="F241" s="451">
        <f>F97+F234+F162+F124</f>
        <v>145331</v>
      </c>
      <c r="G241" s="451">
        <f>G97+G234+G162+G124</f>
        <v>121325</v>
      </c>
      <c r="H241" s="451">
        <v>98715</v>
      </c>
      <c r="I241" s="56"/>
    </row>
    <row r="242" spans="1:9" s="280" customFormat="1" ht="12.75" customHeight="1">
      <c r="A242" s="428" t="s">
        <v>577</v>
      </c>
      <c r="B242" s="448"/>
      <c r="C242" s="449" t="s">
        <v>936</v>
      </c>
      <c r="D242" s="449"/>
      <c r="E242" s="450"/>
      <c r="F242" s="451"/>
      <c r="G242" s="451"/>
      <c r="H242" s="451">
        <v>805</v>
      </c>
      <c r="I242" s="56"/>
    </row>
    <row r="243" spans="1:9" s="280" customFormat="1" ht="12.75" customHeight="1">
      <c r="A243" s="428" t="s">
        <v>579</v>
      </c>
      <c r="B243" s="448"/>
      <c r="C243" s="449" t="s">
        <v>578</v>
      </c>
      <c r="D243" s="449"/>
      <c r="E243" s="450">
        <v>248771</v>
      </c>
      <c r="F243" s="451">
        <v>252365</v>
      </c>
      <c r="G243" s="451">
        <v>274349</v>
      </c>
      <c r="H243" s="451">
        <v>276745</v>
      </c>
      <c r="I243" s="56"/>
    </row>
    <row r="244" spans="1:9" s="280" customFormat="1" ht="12.75" customHeight="1">
      <c r="A244" s="428" t="s">
        <v>581</v>
      </c>
      <c r="B244" s="448"/>
      <c r="C244" s="449" t="s">
        <v>580</v>
      </c>
      <c r="D244" s="449"/>
      <c r="E244" s="450">
        <v>36582</v>
      </c>
      <c r="F244" s="451">
        <v>51720</v>
      </c>
      <c r="G244" s="451">
        <v>33726</v>
      </c>
      <c r="H244" s="451">
        <v>33438</v>
      </c>
      <c r="I244" s="56"/>
    </row>
    <row r="245" spans="1:9" s="280" customFormat="1" ht="25.5" customHeight="1">
      <c r="A245" s="428" t="s">
        <v>582</v>
      </c>
      <c r="B245" s="448"/>
      <c r="C245" s="564" t="s">
        <v>214</v>
      </c>
      <c r="D245" s="449"/>
      <c r="E245" s="450">
        <v>6052</v>
      </c>
      <c r="F245" s="451">
        <v>7406</v>
      </c>
      <c r="G245" s="451">
        <v>9718</v>
      </c>
      <c r="H245" s="451">
        <v>10204</v>
      </c>
      <c r="I245" s="56"/>
    </row>
    <row r="246" spans="1:9" s="280" customFormat="1" ht="12.75" customHeight="1">
      <c r="A246" s="428" t="s">
        <v>583</v>
      </c>
      <c r="B246" s="448"/>
      <c r="C246" s="564" t="s">
        <v>195</v>
      </c>
      <c r="D246" s="449"/>
      <c r="E246" s="450">
        <v>0</v>
      </c>
      <c r="F246" s="451">
        <v>0</v>
      </c>
      <c r="G246" s="451">
        <v>0</v>
      </c>
      <c r="H246" s="451">
        <v>0</v>
      </c>
      <c r="I246" s="56"/>
    </row>
    <row r="247" spans="1:9" s="280" customFormat="1" ht="12.75" customHeight="1">
      <c r="A247" s="428" t="s">
        <v>584</v>
      </c>
      <c r="B247" s="480"/>
      <c r="C247" s="565" t="s">
        <v>383</v>
      </c>
      <c r="D247" s="566"/>
      <c r="E247" s="567">
        <v>0</v>
      </c>
      <c r="F247" s="568">
        <v>59</v>
      </c>
      <c r="G247" s="568">
        <v>256</v>
      </c>
      <c r="H247" s="568">
        <v>256</v>
      </c>
      <c r="I247" s="56"/>
    </row>
    <row r="248" spans="1:9" s="280" customFormat="1" ht="12.75" customHeight="1" thickBot="1">
      <c r="A248" s="569" t="s">
        <v>937</v>
      </c>
      <c r="B248" s="570"/>
      <c r="C248" s="342" t="s">
        <v>245</v>
      </c>
      <c r="D248" s="342"/>
      <c r="E248" s="571">
        <v>12041</v>
      </c>
      <c r="F248" s="375">
        <v>80000</v>
      </c>
      <c r="G248" s="375">
        <v>80000</v>
      </c>
      <c r="H248" s="375">
        <v>80000</v>
      </c>
      <c r="I248" s="56"/>
    </row>
    <row r="249" spans="1:9" s="280" customFormat="1" ht="12.75" customHeight="1">
      <c r="A249" s="572"/>
      <c r="B249" s="281"/>
      <c r="E249" s="57"/>
      <c r="F249" s="57"/>
      <c r="G249" s="57"/>
      <c r="H249" s="57"/>
      <c r="I249" s="56"/>
    </row>
    <row r="250" spans="1:9" s="280" customFormat="1" ht="12.75" customHeight="1">
      <c r="A250" s="572"/>
      <c r="B250" s="281"/>
      <c r="E250" s="57"/>
      <c r="F250" s="57"/>
      <c r="G250" s="57"/>
      <c r="H250" s="57"/>
      <c r="I250" s="56"/>
    </row>
    <row r="251" spans="1:9" s="280" customFormat="1" ht="12.75" customHeight="1">
      <c r="A251" s="572"/>
      <c r="B251" s="281"/>
      <c r="E251" s="57"/>
      <c r="F251" s="57"/>
      <c r="G251" s="57"/>
      <c r="H251" s="57"/>
      <c r="I251" s="56"/>
    </row>
    <row r="252" spans="1:9" s="280" customFormat="1" ht="12.75" customHeight="1">
      <c r="A252" s="572"/>
      <c r="B252" s="281"/>
      <c r="E252" s="57"/>
      <c r="F252" s="57"/>
      <c r="G252" s="57"/>
      <c r="H252" s="57"/>
      <c r="I252" s="56"/>
    </row>
    <row r="253" spans="1:9" s="280" customFormat="1" ht="12.75" customHeight="1">
      <c r="A253" s="572"/>
      <c r="B253" s="281"/>
      <c r="E253" s="57"/>
      <c r="F253" s="57"/>
      <c r="G253" s="57"/>
      <c r="H253" s="57"/>
      <c r="I253" s="56"/>
    </row>
    <row r="254" spans="1:9" s="280" customFormat="1" ht="12.75" customHeight="1">
      <c r="A254" s="572"/>
      <c r="B254" s="281"/>
      <c r="E254" s="57"/>
      <c r="F254" s="57"/>
      <c r="G254" s="57"/>
      <c r="H254" s="57"/>
      <c r="I254" s="56"/>
    </row>
    <row r="255" spans="1:9" s="280" customFormat="1" ht="12.75" customHeight="1">
      <c r="A255" s="572"/>
      <c r="B255" s="281"/>
      <c r="E255" s="57"/>
      <c r="F255" s="57"/>
      <c r="G255" s="57"/>
      <c r="H255" s="57"/>
      <c r="I255" s="56"/>
    </row>
    <row r="256" spans="1:9" s="280" customFormat="1" ht="12.75" customHeight="1">
      <c r="A256" s="572"/>
      <c r="B256" s="281"/>
      <c r="E256" s="57"/>
      <c r="F256" s="57"/>
      <c r="G256" s="57"/>
      <c r="H256" s="57"/>
      <c r="I256" s="56"/>
    </row>
    <row r="257" spans="1:9" s="280" customFormat="1" ht="12.75" customHeight="1">
      <c r="A257" s="572"/>
      <c r="B257" s="281"/>
      <c r="E257" s="57"/>
      <c r="F257" s="57"/>
      <c r="G257" s="57"/>
      <c r="H257" s="57"/>
      <c r="I257" s="56"/>
    </row>
    <row r="258" spans="1:9" s="280" customFormat="1" ht="12.75" customHeight="1">
      <c r="A258" s="572"/>
      <c r="B258" s="281"/>
      <c r="E258" s="57"/>
      <c r="F258" s="57"/>
      <c r="G258" s="57"/>
      <c r="H258" s="57"/>
      <c r="I258" s="56"/>
    </row>
    <row r="259" spans="1:9" s="280" customFormat="1" ht="12.75" customHeight="1">
      <c r="A259" s="572"/>
      <c r="B259" s="281"/>
      <c r="E259" s="57"/>
      <c r="F259" s="57"/>
      <c r="G259" s="57"/>
      <c r="H259" s="57"/>
      <c r="I259" s="56"/>
    </row>
    <row r="260" spans="1:9" s="280" customFormat="1" ht="12.75" customHeight="1">
      <c r="A260" s="572"/>
      <c r="B260" s="281"/>
      <c r="E260" s="57"/>
      <c r="F260" s="57"/>
      <c r="G260" s="57"/>
      <c r="H260" s="57"/>
      <c r="I260" s="56"/>
    </row>
    <row r="261" spans="1:9" s="280" customFormat="1" ht="12.75" customHeight="1">
      <c r="A261" s="572"/>
      <c r="B261" s="281"/>
      <c r="E261" s="57"/>
      <c r="F261" s="57"/>
      <c r="G261" s="57"/>
      <c r="H261" s="57"/>
      <c r="I261" s="56"/>
    </row>
    <row r="262" spans="1:9" s="280" customFormat="1" ht="12.75" customHeight="1">
      <c r="A262" s="572"/>
      <c r="B262" s="281"/>
      <c r="E262" s="57"/>
      <c r="F262" s="57"/>
      <c r="G262" s="57"/>
      <c r="H262" s="57"/>
      <c r="I262" s="56"/>
    </row>
    <row r="263" spans="1:9" s="280" customFormat="1" ht="12.75" customHeight="1">
      <c r="A263" s="572"/>
      <c r="B263" s="281"/>
      <c r="E263" s="57"/>
      <c r="F263" s="57"/>
      <c r="G263" s="57"/>
      <c r="H263" s="57"/>
      <c r="I263" s="56"/>
    </row>
    <row r="264" spans="1:9" s="280" customFormat="1" ht="12.75" customHeight="1">
      <c r="A264" s="572"/>
      <c r="B264" s="281"/>
      <c r="E264" s="57"/>
      <c r="F264" s="57"/>
      <c r="G264" s="57"/>
      <c r="H264" s="57"/>
      <c r="I264" s="56"/>
    </row>
    <row r="265" spans="1:9" s="280" customFormat="1" ht="12.75" customHeight="1">
      <c r="A265" s="572"/>
      <c r="B265" s="281"/>
      <c r="E265" s="57"/>
      <c r="F265" s="57"/>
      <c r="G265" s="57"/>
      <c r="H265" s="57"/>
      <c r="I265" s="56"/>
    </row>
    <row r="266" spans="1:9" s="280" customFormat="1" ht="12.75" customHeight="1">
      <c r="A266" s="572"/>
      <c r="B266" s="281"/>
      <c r="E266" s="57"/>
      <c r="F266" s="57"/>
      <c r="G266" s="57"/>
      <c r="H266" s="57"/>
      <c r="I266" s="56"/>
    </row>
    <row r="267" spans="1:9" s="280" customFormat="1" ht="12.75" customHeight="1">
      <c r="A267" s="572"/>
      <c r="B267" s="281"/>
      <c r="E267" s="57"/>
      <c r="F267" s="57"/>
      <c r="G267" s="57"/>
      <c r="H267" s="57"/>
      <c r="I267" s="56"/>
    </row>
    <row r="268" spans="1:9" s="280" customFormat="1" ht="12.75" customHeight="1">
      <c r="A268" s="572"/>
      <c r="B268" s="281"/>
      <c r="E268" s="57"/>
      <c r="F268" s="57"/>
      <c r="G268" s="57"/>
      <c r="H268" s="57"/>
      <c r="I268" s="56"/>
    </row>
    <row r="269" spans="1:9" s="280" customFormat="1" ht="12.75" customHeight="1">
      <c r="A269" s="572"/>
      <c r="B269" s="281"/>
      <c r="E269" s="57"/>
      <c r="F269" s="57"/>
      <c r="G269" s="57"/>
      <c r="H269" s="57"/>
      <c r="I269" s="56"/>
    </row>
    <row r="270" spans="1:9" s="280" customFormat="1" ht="12.75" customHeight="1">
      <c r="A270" s="572"/>
      <c r="B270" s="281"/>
      <c r="E270" s="57"/>
      <c r="F270" s="57"/>
      <c r="G270" s="57"/>
      <c r="H270" s="57"/>
      <c r="I270" s="56"/>
    </row>
    <row r="271" spans="1:9" s="280" customFormat="1" ht="12.75" customHeight="1">
      <c r="A271" s="572"/>
      <c r="B271" s="281"/>
      <c r="E271" s="57"/>
      <c r="F271" s="57"/>
      <c r="G271" s="57"/>
      <c r="H271" s="57"/>
      <c r="I271" s="56"/>
    </row>
    <row r="272" spans="1:9" s="280" customFormat="1" ht="12.75" customHeight="1">
      <c r="A272" s="572"/>
      <c r="B272" s="281"/>
      <c r="E272" s="57"/>
      <c r="F272" s="57"/>
      <c r="G272" s="57"/>
      <c r="H272" s="57"/>
      <c r="I272" s="56"/>
    </row>
    <row r="273" spans="1:9" s="280" customFormat="1" ht="12.75" customHeight="1">
      <c r="A273" s="572"/>
      <c r="B273" s="281"/>
      <c r="E273" s="57"/>
      <c r="F273" s="57"/>
      <c r="G273" s="57"/>
      <c r="H273" s="57"/>
      <c r="I273" s="56"/>
    </row>
    <row r="274" spans="1:9" s="280" customFormat="1" ht="12.75" customHeight="1">
      <c r="A274" s="572"/>
      <c r="B274" s="281"/>
      <c r="E274" s="57"/>
      <c r="F274" s="57"/>
      <c r="G274" s="57"/>
      <c r="H274" s="57"/>
      <c r="I274" s="56"/>
    </row>
    <row r="275" spans="1:9" s="280" customFormat="1" ht="12.75" customHeight="1">
      <c r="A275" s="572"/>
      <c r="B275" s="281"/>
      <c r="E275" s="57"/>
      <c r="F275" s="57"/>
      <c r="G275" s="57"/>
      <c r="H275" s="57"/>
      <c r="I275" s="56"/>
    </row>
  </sheetData>
  <sheetProtection selectLockedCells="1" selectUnlockedCells="1"/>
  <mergeCells count="9">
    <mergeCell ref="A2:H3"/>
    <mergeCell ref="A1:H1"/>
    <mergeCell ref="C105:E105"/>
    <mergeCell ref="C188:E188"/>
    <mergeCell ref="A11:B12"/>
    <mergeCell ref="C13:E13"/>
    <mergeCell ref="A10:H10"/>
    <mergeCell ref="A5:H7"/>
    <mergeCell ref="A4:H4"/>
  </mergeCells>
  <printOptions horizontalCentered="1"/>
  <pageMargins left="0.9055555555555556" right="0.2361111111111111" top="0.4722222222222222" bottom="0.6298611111111111" header="0.5118055555555555" footer="0.2361111111111111"/>
  <pageSetup firstPageNumber="1" useFirstPageNumber="1" horizontalDpi="300" verticalDpi="300" orientation="portrait" paperSize="9" scale="62" r:id="rId1"/>
  <headerFooter alignWithMargins="0">
    <oddFooter>&amp;C&amp;P. oldal</oddFooter>
  </headerFooter>
  <rowBreaks count="3" manualBreakCount="3">
    <brk id="80" max="255" man="1"/>
    <brk id="163" max="7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kolonics.krisztina</cp:lastModifiedBy>
  <cp:lastPrinted>2016-11-14T10:08:15Z</cp:lastPrinted>
  <dcterms:modified xsi:type="dcterms:W3CDTF">2016-11-14T10:08:37Z</dcterms:modified>
  <cp:category/>
  <cp:version/>
  <cp:contentType/>
  <cp:contentStatus/>
</cp:coreProperties>
</file>