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3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bevételek'!$A$1:$J$201</definedName>
    <definedName name="_xlnm.Print_Area" localSheetId="10">'11.normatívák'!$A$1:$L$54</definedName>
    <definedName name="_xlnm.Print_Area" localSheetId="11">'12. EU projektek'!$A$1:$L$155</definedName>
    <definedName name="_xlnm.Print_Area" localSheetId="1">'2. kiadások '!$A$1:$J$76</definedName>
    <definedName name="_xlnm.Print_Area" localSheetId="3">'4.önkorm.kiad.feladat'!$D$1:$V$50</definedName>
    <definedName name="_xlnm.Print_Area" localSheetId="4">'5. Óvoda, Kult. kiad. feladat'!$A$1:$K$35</definedName>
    <definedName name="_xlnm.Print_Area" localSheetId="5">'6. kiadások megbontása'!$A$1:$M$80</definedName>
    <definedName name="_xlnm.Print_Area" localSheetId="6">'7. források sz. bontás'!$A$1:$AC$62</definedName>
    <definedName name="_xlnm.Print_Area" localSheetId="7">'8. létszámok'!$A$1:$M$104</definedName>
    <definedName name="_xlnm.Print_Area" localSheetId="8">'9.felhki'!$A$1:$D$83</definedName>
  </definedNames>
  <calcPr fullCalcOnLoad="1"/>
</workbook>
</file>

<file path=xl/sharedStrings.xml><?xml version="1.0" encoding="utf-8"?>
<sst xmlns="http://schemas.openxmlformats.org/spreadsheetml/2006/main" count="1827" uniqueCount="1093">
  <si>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</si>
  <si>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</si>
  <si>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</si>
  <si>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</si>
  <si>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</si>
  <si>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</si>
  <si>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</si>
  <si>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</si>
  <si>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</si>
  <si>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</si>
  <si>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</si>
  <si>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</si>
  <si>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</si>
  <si>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</si>
  <si>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</si>
  <si>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</si>
  <si>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</si>
  <si>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</si>
  <si>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</si>
  <si>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</si>
  <si>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</si>
  <si>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</si>
  <si>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</si>
  <si>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</si>
  <si>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</si>
  <si>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</si>
  <si>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</si>
  <si>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</si>
  <si>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</si>
  <si>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</si>
  <si>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</si>
  <si>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</si>
  <si>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</si>
  <si>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</si>
  <si>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</si>
  <si>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</si>
  <si>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</si>
  <si>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</si>
  <si>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</si>
  <si>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</si>
  <si>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</si>
  <si>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</si>
  <si>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</si>
  <si>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</si>
  <si>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</si>
  <si>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</si>
  <si>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</si>
  <si>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</si>
  <si>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</si>
  <si>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</si>
  <si>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</si>
  <si>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</si>
  <si>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</si>
  <si>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</si>
  <si>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</si>
  <si>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</si>
  <si>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</si>
  <si>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</si>
  <si>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</si>
  <si>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</si>
  <si>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</si>
  <si>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</si>
  <si>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</si>
  <si>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</si>
  <si>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</si>
  <si>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</si>
  <si>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</si>
  <si>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</si>
  <si>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</si>
  <si>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</si>
  <si>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</si>
  <si>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</si>
  <si>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</si>
  <si>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</si>
  <si>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</si>
  <si>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</si>
  <si>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</si>
  <si>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</si>
  <si>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</si>
  <si>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</si>
  <si>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</si>
  <si>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</si>
  <si>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</si>
  <si>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</si>
  <si>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</si>
  <si>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</si>
  <si>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</si>
  <si>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</si>
  <si>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</si>
  <si>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</si>
  <si>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</si>
  <si>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</si>
  <si>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</si>
  <si>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</si>
  <si>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</si>
  <si>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</si>
  <si>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</si>
  <si>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</si>
  <si>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</si>
  <si>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</si>
  <si>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</si>
  <si>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</si>
  <si>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</si>
  <si>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</si>
  <si>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</si>
  <si>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</si>
  <si>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</si>
  <si>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</si>
  <si>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</si>
  <si>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</si>
  <si>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</si>
  <si>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</si>
  <si>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</si>
  <si>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</si>
  <si>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</si>
  <si>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</si>
  <si>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</si>
  <si>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</si>
  <si>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</si>
  <si>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</si>
  <si>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</si>
  <si>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</si>
  <si>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</si>
  <si>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</si>
  <si>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</si>
  <si>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</si>
  <si>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</si>
  <si>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</si>
  <si>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</si>
  <si>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</si>
  <si>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</si>
  <si>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</si>
  <si>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</si>
  <si>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</si>
  <si>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</si>
  <si>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</si>
  <si>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</si>
  <si>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</si>
  <si>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</si>
  <si>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</si>
  <si>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</si>
  <si>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</si>
  <si>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</si>
  <si>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</si>
  <si>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</si>
  <si>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</si>
  <si>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</si>
  <si>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</si>
  <si>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</si>
  <si>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</si>
  <si>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</si>
  <si>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</si>
  <si>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</si>
  <si>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</si>
  <si>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</si>
  <si>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</si>
  <si>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</si>
  <si>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</si>
  <si>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</si>
  <si>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</si>
  <si>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</si>
  <si>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</si>
  <si>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</si>
  <si>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</si>
  <si>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</si>
  <si>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</si>
  <si>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</si>
  <si>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</si>
  <si>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</si>
  <si>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</si>
  <si>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</si>
  <si>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</si>
  <si>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</si>
  <si>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</si>
  <si>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</si>
  <si>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</si>
  <si>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</si>
  <si>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</si>
  <si>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</si>
  <si>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</si>
  <si>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</si>
  <si>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</si>
  <si>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</si>
  <si>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</si>
  <si>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</si>
  <si>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</si>
  <si>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</si>
  <si>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</si>
  <si>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</si>
  <si>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</si>
  <si>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</si>
  <si>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</si>
  <si>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</si>
  <si>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</si>
  <si>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</si>
  <si>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</si>
  <si>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</si>
  <si>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</si>
  <si>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</si>
  <si>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</si>
  <si>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</si>
  <si>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</si>
  <si>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</si>
  <si>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</si>
  <si>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</si>
  <si>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</si>
  <si>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</si>
  <si>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</si>
  <si>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</si>
  <si>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</si>
  <si>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</si>
  <si>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</si>
  <si>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</si>
  <si>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</si>
  <si>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</si>
  <si>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</si>
  <si>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</si>
  <si>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</si>
  <si>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</si>
  <si>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</si>
  <si>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</si>
  <si>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</si>
  <si>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</si>
  <si>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</si>
  <si>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</si>
  <si>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</si>
  <si>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</si>
  <si>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</si>
  <si>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</si>
  <si>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</si>
  <si>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</si>
  <si>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</si>
  <si>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</si>
  <si>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</si>
  <si>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</si>
  <si>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</si>
  <si>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</si>
  <si>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</si>
  <si>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</si>
  <si>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</si>
  <si>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</si>
  <si>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</si>
  <si>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</si>
  <si>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</si>
  <si>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</si>
  <si>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</si>
  <si>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</si>
  <si>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</si>
  <si>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</si>
  <si>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</si>
  <si>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</si>
  <si>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</si>
  <si>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</si>
  <si>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</si>
  <si>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</si>
  <si>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</si>
  <si>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</si>
  <si>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</si>
  <si>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</si>
  <si>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</si>
  <si>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</si>
  <si>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</si>
  <si>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</si>
  <si>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</si>
  <si>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</si>
  <si>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</si>
  <si>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</si>
  <si>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</si>
  <si>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</si>
  <si>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</si>
  <si>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</si>
  <si>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</si>
  <si>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</si>
  <si>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</si>
  <si>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</si>
  <si>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</si>
  <si>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</si>
  <si>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</si>
  <si>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</si>
  <si>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</si>
  <si>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</si>
  <si>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</si>
  <si>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</si>
  <si>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</si>
  <si>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</si>
  <si>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</si>
  <si>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</si>
  <si>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</si>
  <si>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</si>
  <si>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</si>
  <si>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</si>
  <si>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</si>
  <si>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</si>
  <si>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</si>
  <si>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</si>
  <si>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</si>
  <si>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</si>
  <si>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</si>
  <si>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</si>
  <si>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</si>
  <si>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</si>
  <si>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</si>
  <si>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</si>
  <si>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</si>
  <si>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</si>
  <si>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</si>
  <si>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</si>
  <si>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</si>
  <si>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</si>
  <si>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</si>
  <si>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</si>
  <si>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</si>
  <si>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</si>
  <si>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</si>
  <si>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</si>
  <si>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</si>
  <si>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</si>
  <si>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</si>
  <si>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</si>
  <si>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</si>
  <si>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</si>
  <si>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</si>
  <si>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</si>
  <si>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</si>
  <si>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</si>
  <si>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</si>
  <si>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</si>
  <si>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</si>
  <si>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</si>
  <si>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</si>
  <si>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</si>
  <si>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</si>
  <si>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</si>
  <si>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</si>
  <si>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</si>
  <si>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</si>
  <si>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</si>
  <si>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</si>
  <si>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</si>
  <si>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</si>
  <si>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</si>
  <si>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</si>
  <si>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</si>
  <si>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</si>
  <si>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</si>
  <si>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</si>
  <si>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</si>
  <si>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</si>
  <si>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</si>
  <si>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</si>
  <si>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</si>
  <si>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</si>
  <si>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</si>
  <si>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</si>
  <si>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</si>
  <si>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</si>
  <si>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</si>
  <si>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</si>
  <si>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</si>
  <si>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</si>
  <si>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</si>
  <si>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</si>
  <si>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</si>
  <si>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</si>
  <si>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</si>
  <si>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</si>
  <si>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</si>
  <si>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</si>
  <si>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</si>
  <si>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</si>
  <si>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</si>
  <si>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</si>
  <si>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</si>
  <si>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</si>
  <si>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</si>
  <si>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</si>
  <si>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</si>
  <si>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</si>
  <si>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</si>
  <si>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</si>
  <si>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</si>
  <si>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</si>
  <si>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</si>
  <si>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</si>
  <si>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</si>
  <si>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</si>
  <si>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</si>
  <si>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</si>
  <si>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</si>
  <si>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</si>
  <si>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</si>
  <si>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</si>
  <si>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</si>
  <si>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</si>
  <si>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</si>
  <si>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</si>
  <si>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</si>
  <si>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</si>
  <si>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</si>
  <si>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</si>
  <si>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</si>
  <si>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</si>
  <si>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</si>
  <si>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</si>
  <si>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</si>
  <si>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</si>
  <si>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</si>
  <si>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</si>
  <si>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</si>
  <si>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</si>
  <si>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</si>
  <si>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</si>
  <si>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</si>
  <si>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</si>
  <si>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</si>
  <si>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</si>
  <si>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</si>
  <si>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</si>
  <si>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</si>
  <si>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</si>
  <si>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</si>
  <si>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</si>
  <si>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</si>
  <si>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</si>
  <si>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</si>
  <si>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</si>
  <si>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</si>
  <si>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</si>
  <si>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</si>
  <si>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</si>
  <si>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</si>
  <si>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</si>
  <si>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</si>
  <si>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</si>
  <si>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</si>
  <si>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</si>
  <si>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</si>
  <si>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</si>
  <si>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</si>
  <si>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</si>
  <si>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</si>
  <si>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</si>
  <si>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</si>
  <si>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</si>
  <si>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</si>
  <si>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</si>
  <si>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</si>
  <si>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</si>
  <si>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</si>
  <si>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</si>
  <si>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</si>
  <si>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</si>
  <si>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</si>
  <si>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</si>
  <si>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</si>
  <si>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</si>
  <si>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</si>
  <si>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</si>
  <si>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 xml:space="preserve">fajlagos Ft </t>
  </si>
  <si>
    <t>Önkormányzati hivatal működésének támogatása</t>
  </si>
  <si>
    <t>II.1</t>
  </si>
  <si>
    <t>Óvodapedagógusok bértámogatása</t>
  </si>
  <si>
    <t>II.2</t>
  </si>
  <si>
    <t>Óvodaműködtetési támogatás</t>
  </si>
  <si>
    <t>III.1</t>
  </si>
  <si>
    <t>III.2</t>
  </si>
  <si>
    <t>Egyes szociális és gyermekjóléti feladatok támogatása</t>
  </si>
  <si>
    <t xml:space="preserve">Helyi önkormányzatok működésének általános támogatása </t>
  </si>
  <si>
    <t>összeg Ft</t>
  </si>
  <si>
    <t>Ell.szám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</si>
  <si>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</si>
  <si>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</si>
  <si>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</si>
  <si>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</si>
  <si>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</si>
  <si>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</si>
  <si>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</si>
  <si>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</si>
  <si>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</si>
  <si>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</si>
  <si>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</si>
  <si>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</si>
  <si>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</si>
  <si>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</si>
  <si>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</si>
  <si>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</si>
  <si>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</si>
  <si>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</si>
  <si>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</si>
  <si>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</si>
  <si>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</si>
  <si>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</si>
  <si>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</si>
  <si>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</si>
  <si>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</si>
  <si>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</si>
  <si>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</si>
  <si>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</si>
  <si>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</si>
  <si>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</si>
  <si>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</si>
  <si>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</si>
  <si>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</si>
  <si>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</si>
  <si>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</si>
  <si>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</si>
  <si>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</si>
  <si>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</si>
  <si>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</si>
  <si>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</si>
  <si>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</si>
  <si>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</si>
  <si>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</si>
  <si>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</si>
  <si>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</si>
  <si>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II.4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</si>
  <si>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</si>
  <si>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</si>
  <si>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</si>
  <si>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</si>
  <si>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</si>
  <si>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</si>
  <si>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</si>
  <si>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</si>
  <si>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</si>
  <si>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</si>
  <si>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</si>
  <si>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</si>
  <si>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</si>
  <si>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</si>
  <si>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</si>
  <si>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</si>
  <si>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</si>
  <si>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</si>
  <si>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</si>
  <si>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</si>
  <si>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</si>
  <si>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</si>
  <si>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</si>
  <si>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</si>
  <si>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</si>
  <si>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</si>
  <si>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</si>
  <si>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</si>
  <si>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</si>
  <si>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</si>
  <si>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</si>
  <si>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</si>
  <si>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</si>
  <si>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</si>
  <si>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</si>
  <si>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</si>
  <si>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</si>
  <si>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</si>
  <si>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</si>
  <si>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</si>
  <si>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</si>
  <si>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</si>
  <si>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</si>
  <si>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</si>
  <si>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</si>
  <si>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</si>
  <si>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</si>
  <si>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</si>
  <si>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</si>
  <si>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</si>
  <si>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</si>
  <si>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</si>
  <si>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</si>
  <si>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</si>
  <si>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</si>
  <si>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</si>
  <si>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</si>
  <si>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</si>
  <si>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</si>
  <si>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</si>
  <si>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</si>
  <si>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</si>
  <si>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</si>
  <si>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</si>
  <si>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</si>
  <si>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</si>
  <si>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</si>
  <si>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</si>
  <si>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</si>
  <si>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</si>
  <si>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</si>
  <si>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</si>
  <si>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</si>
  <si>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</si>
  <si>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</si>
  <si>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</si>
  <si>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</si>
  <si>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</si>
  <si>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</si>
  <si>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</si>
  <si>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</si>
  <si>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</si>
  <si>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</si>
  <si>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</si>
  <si>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</si>
  <si>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</si>
  <si>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</si>
  <si>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</si>
  <si>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</si>
  <si>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</si>
  <si>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</si>
  <si>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</si>
  <si>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</si>
  <si>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</si>
  <si>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 xml:space="preserve">II.4 a (1) </t>
  </si>
  <si>
    <t xml:space="preserve">II.4 a (2) 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</si>
  <si>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</si>
  <si>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</si>
  <si>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</si>
  <si>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</si>
  <si>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</si>
  <si>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</si>
  <si>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</si>
  <si>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</si>
  <si>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</si>
  <si>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</si>
  <si>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</si>
  <si>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</si>
  <si>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</si>
  <si>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</si>
  <si>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</si>
  <si>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</si>
  <si>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</si>
  <si>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</si>
  <si>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</si>
  <si>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</si>
  <si>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</si>
  <si>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</si>
  <si>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</si>
  <si>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</si>
  <si>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</si>
  <si>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</si>
  <si>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</si>
  <si>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</si>
  <si>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</si>
  <si>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</si>
  <si>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</si>
  <si>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</si>
  <si>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</si>
  <si>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</si>
  <si>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</si>
  <si>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</si>
  <si>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</si>
  <si>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</si>
  <si>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</si>
  <si>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</si>
  <si>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</si>
  <si>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</si>
  <si>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</si>
  <si>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</si>
  <si>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</si>
  <si>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</si>
  <si>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</si>
  <si>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</si>
  <si>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</si>
  <si>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</si>
  <si>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</si>
  <si>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</si>
  <si>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</si>
  <si>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</si>
  <si>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</si>
  <si>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</si>
  <si>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</si>
  <si>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</si>
  <si>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</si>
  <si>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</si>
  <si>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</si>
  <si>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</si>
  <si>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</si>
  <si>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</si>
  <si>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</si>
  <si>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</si>
  <si>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</si>
  <si>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</si>
  <si>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</si>
  <si>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</si>
  <si>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</si>
  <si>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</si>
  <si>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</si>
  <si>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</si>
  <si>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</si>
  <si>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</si>
  <si>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</si>
  <si>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</si>
  <si>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</si>
  <si>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</si>
  <si>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</si>
  <si>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</si>
  <si>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</si>
  <si>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</si>
  <si>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</si>
  <si>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</si>
  <si>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</si>
  <si>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</si>
  <si>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</si>
  <si>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</si>
  <si>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</si>
  <si>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</si>
  <si>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</si>
  <si>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</si>
  <si>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</si>
  <si>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</si>
  <si>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</si>
  <si>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</si>
  <si>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</si>
  <si>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</si>
  <si>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</si>
  <si>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</si>
  <si>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</si>
  <si>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</si>
  <si>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</si>
  <si>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</si>
  <si>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</si>
  <si>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</si>
  <si>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</si>
  <si>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</si>
  <si>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</si>
  <si>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</si>
  <si>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</si>
  <si>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</si>
  <si>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</si>
  <si>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</si>
  <si>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</si>
  <si>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</si>
  <si>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</si>
  <si>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</si>
  <si>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</si>
  <si>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</si>
  <si>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</si>
  <si>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</si>
  <si>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</si>
  <si>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</si>
  <si>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</si>
  <si>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</si>
  <si>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</si>
  <si>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</si>
  <si>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</si>
  <si>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</si>
  <si>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</si>
  <si>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</si>
  <si>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</si>
  <si>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</si>
  <si>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</si>
  <si>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</si>
  <si>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</si>
  <si>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</si>
  <si>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</si>
  <si>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</si>
  <si>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</si>
  <si>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</si>
  <si>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</si>
  <si>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</si>
  <si>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</si>
  <si>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</si>
  <si>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</si>
  <si>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</si>
  <si>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</si>
  <si>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</si>
  <si>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</si>
  <si>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</si>
  <si>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</si>
  <si>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</si>
  <si>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</si>
  <si>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</si>
  <si>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</si>
  <si>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</si>
  <si>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</si>
  <si>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</si>
  <si>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</si>
  <si>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</si>
  <si>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</si>
  <si>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</si>
  <si>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</si>
  <si>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</si>
  <si>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</si>
  <si>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III.5.aa</t>
  </si>
  <si>
    <t>III.5.ab</t>
  </si>
  <si>
    <t>Egyéb önkormányzati feladatok támogatása (beszámítás után)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</si>
  <si>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</si>
  <si>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</si>
  <si>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</si>
  <si>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</si>
  <si>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</si>
  <si>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</si>
  <si>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</si>
  <si>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</si>
  <si>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</si>
  <si>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</si>
  <si>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</si>
  <si>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</si>
  <si>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</si>
  <si>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</si>
  <si>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</si>
  <si>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</si>
  <si>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</si>
  <si>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</si>
  <si>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</si>
  <si>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</si>
  <si>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</si>
  <si>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</si>
  <si>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</si>
  <si>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</si>
  <si>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</si>
  <si>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</si>
  <si>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</si>
  <si>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</si>
  <si>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</si>
  <si>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</si>
  <si>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</si>
  <si>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</si>
  <si>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</si>
  <si>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</si>
  <si>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</si>
  <si>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</si>
  <si>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</si>
  <si>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</si>
  <si>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</si>
  <si>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</si>
  <si>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</si>
  <si>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</si>
  <si>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</si>
  <si>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</si>
  <si>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</si>
  <si>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</si>
  <si>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</si>
  <si>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</si>
  <si>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</si>
  <si>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EFOP-3.3.2-16-2016-00284 "Kulturával az oktatás színesítéséért"pr.műk. c.támogatása</t>
  </si>
  <si>
    <t>EFOP-3.3.2-16-2016-00284 "Kulturával az oktatás színesítéséért"pr. felh. c.  támogatása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</si>
  <si>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</si>
  <si>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</si>
  <si>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</si>
  <si>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</si>
  <si>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</si>
  <si>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</si>
  <si>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A települési önkormányzatok szociális feladatainak egyéb támogatása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</si>
  <si>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</si>
  <si>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</si>
  <si>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</si>
  <si>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</si>
  <si>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</si>
  <si>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</si>
  <si>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</si>
  <si>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</si>
  <si>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</si>
  <si>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</si>
  <si>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</si>
  <si>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</si>
  <si>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</si>
  <si>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</si>
  <si>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EFOP-1.5.3-16-2017-00082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</si>
  <si>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</si>
  <si>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</si>
  <si>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21. Egészségügyi ellátás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</si>
  <si>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</si>
  <si>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</si>
  <si>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</si>
  <si>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</si>
  <si>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</si>
  <si>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</si>
  <si>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</si>
  <si>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</si>
  <si>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</si>
  <si>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</si>
  <si>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Jánoshalma Városi Önkormányzat 2020. évi költségvetésében tervezett köponti költségvetési támogatások</t>
  </si>
  <si>
    <t>Alapfokú végzettségű pedagógus II. kategóriába sorolt óvodapedagógusok kiegészítő támogatása, akik a minősítést 209.01.01-ig szerezték meg</t>
  </si>
  <si>
    <t>Alapfokú végzettségű pedagógus II. kategóriába sorolt óvodapedagógusok kiegészítő támogatása, akik a minősítést a 2020. január 1-jei átsorolással szerezték meg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</si>
  <si>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</si>
  <si>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</si>
  <si>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 xml:space="preserve">III.2.a </t>
  </si>
  <si>
    <t>III.2.b</t>
  </si>
  <si>
    <t>III.2.n</t>
  </si>
  <si>
    <t xml:space="preserve">III.3. </t>
  </si>
  <si>
    <t>III.3. a (1)</t>
  </si>
  <si>
    <t>III.3. a (2)</t>
  </si>
  <si>
    <t>IV.b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</si>
  <si>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</si>
  <si>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</si>
  <si>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</si>
  <si>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</si>
  <si>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</si>
  <si>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Jánoshalma belterületi összközműves, digitális formátumú térképei síkrajzának 2018-2019. évi felújítása</t>
  </si>
  <si>
    <t>Jánoshalma külterületi összközműves, digitális formátumú térképei síkrajzának 2014-2017. évi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</si>
  <si>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</si>
  <si>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</si>
  <si>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</si>
  <si>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</si>
  <si>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</si>
  <si>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</si>
  <si>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</si>
  <si>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</si>
  <si>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</si>
  <si>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</si>
  <si>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</si>
  <si>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</si>
  <si>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</si>
  <si>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</si>
  <si>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</si>
  <si>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</si>
  <si>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</si>
  <si>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</si>
  <si>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</si>
  <si>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</si>
  <si>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</si>
  <si>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</si>
  <si>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</si>
  <si>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</si>
  <si>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</si>
  <si>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</si>
  <si>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</si>
  <si>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</si>
  <si>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</si>
  <si>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</si>
  <si>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</si>
  <si>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</si>
  <si>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</si>
  <si>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</si>
  <si>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</si>
  <si>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</si>
  <si>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</si>
  <si>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</si>
  <si>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</si>
  <si>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</si>
  <si>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</si>
  <si>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</si>
  <si>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</si>
  <si>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</si>
  <si>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</si>
  <si>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</si>
  <si>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</si>
  <si>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</si>
  <si>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</si>
  <si>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</si>
  <si>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</si>
  <si>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</si>
  <si>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Járdaépítés (fedezet: képviselői felajánlásból)</t>
  </si>
  <si>
    <t>Polgármesteri Hivatal udvarán garázs kialakítása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</si>
  <si>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</si>
  <si>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</si>
  <si>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</si>
  <si>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</si>
  <si>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</si>
  <si>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</si>
  <si>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</si>
  <si>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</si>
  <si>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</si>
  <si>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</si>
  <si>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</si>
  <si>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Óvodai nevelés eszközbeszerzési (udvari játékok, sportszerek, óvodai ágyak, ágytároló szekrény, kuka, porszívó, takarítógép, létra)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</si>
  <si>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</si>
  <si>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</si>
  <si>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</si>
  <si>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</si>
  <si>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</si>
  <si>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</si>
  <si>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</si>
  <si>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</si>
  <si>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</si>
  <si>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</si>
  <si>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</si>
  <si>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</si>
  <si>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</si>
  <si>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</si>
  <si>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</si>
  <si>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</si>
  <si>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</si>
  <si>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</si>
  <si>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</si>
  <si>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</si>
  <si>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</si>
  <si>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</si>
  <si>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</si>
  <si>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</si>
  <si>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</si>
  <si>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 xml:space="preserve"> Hosszabb időtartamú közfoglalkoztatás (2020.03.01-2021.02.28.) - kisértékű tárgyi eszköz beszerzés </t>
  </si>
  <si>
    <t>Könyvtár részére beszerzett könyvek</t>
  </si>
  <si>
    <t>Helyi önkormányzatok kiegészítő támogatásai</t>
  </si>
  <si>
    <t xml:space="preserve">11. </t>
  </si>
  <si>
    <t>A költségvetési szerveknél foglalkoztatottak 2019. évi áthúzódó és 2020. évi kompenzációja</t>
  </si>
  <si>
    <t>12.</t>
  </si>
  <si>
    <t>Szociális ágazati összevont pótlék és egészségügyi kiegészítő pótlék</t>
  </si>
  <si>
    <t>14.</t>
  </si>
  <si>
    <t>Kulturális illetménypótlék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</si>
  <si>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</si>
  <si>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</si>
  <si>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</si>
  <si>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</si>
  <si>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</si>
  <si>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28/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</si>
  <si>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</si>
  <si>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</si>
  <si>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</si>
  <si>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</si>
  <si>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</si>
  <si>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</si>
  <si>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</si>
  <si>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</si>
  <si>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</si>
  <si>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</si>
  <si>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</si>
  <si>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Polgármesteri Hivatal épületének felújításával kapcsolatosan irodabútorok beszerzése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</si>
  <si>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</si>
  <si>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</si>
  <si>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Bölcsődében foglalkoztatott kisgyermeknevelők, dajkák és szaktanácsadók 2020. évi illetményéhez kapcsolódó bölcsődei kiegészítő támogatás</t>
  </si>
  <si>
    <t>a Magyarország 2020. évi központi költségvetéséről szóló 2019. évi LXXI. törvény 2. sz. és 3. sz. mellékletének jogcímei szerint</t>
  </si>
  <si>
    <t>2.mell. I.</t>
  </si>
  <si>
    <t>3.mell. I.</t>
  </si>
  <si>
    <t>2.mell. II.</t>
  </si>
  <si>
    <t>2.mell. III.</t>
  </si>
  <si>
    <t>Gyermekétkeztetés támogatása</t>
  </si>
  <si>
    <t>Települési önkormányzatok egyes szociális és gyermekjóléti feladatainak támogatása</t>
  </si>
  <si>
    <t>Települési önkormányzatok gyermekétkeztetési feladatainak támogatása</t>
  </si>
  <si>
    <t>2.mell. IV.</t>
  </si>
  <si>
    <t>Jogcímek mindösszesen: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</si>
  <si>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</si>
  <si>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</si>
  <si>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</si>
  <si>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</si>
  <si>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</si>
  <si>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</si>
  <si>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</si>
  <si>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</si>
  <si>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</si>
  <si>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</si>
  <si>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</si>
  <si>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</si>
  <si>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</si>
  <si>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</si>
  <si>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</si>
  <si>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</si>
  <si>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</si>
  <si>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</si>
  <si>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</si>
  <si>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</si>
  <si>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</si>
  <si>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</si>
  <si>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</si>
  <si>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</si>
  <si>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</si>
  <si>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</si>
  <si>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</si>
  <si>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</si>
  <si>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</si>
  <si>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</si>
  <si>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</si>
  <si>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</si>
  <si>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</si>
  <si>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</si>
  <si>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</si>
  <si>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</si>
  <si>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</si>
  <si>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</si>
  <si>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</si>
  <si>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</si>
  <si>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</si>
  <si>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</si>
  <si>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</si>
  <si>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</si>
  <si>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</si>
  <si>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</si>
  <si>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</si>
  <si>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</si>
  <si>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</si>
  <si>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</si>
  <si>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</si>
  <si>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</si>
  <si>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</si>
  <si>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</si>
  <si>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</si>
  <si>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</si>
  <si>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</si>
  <si>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</si>
  <si>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III.2.c</t>
  </si>
  <si>
    <t>Házi segítségnyújtás - személyi gondozás</t>
  </si>
  <si>
    <t>III.2.d-db)</t>
  </si>
  <si>
    <t>1. melléklet a 10/2020.(VI.26.) önkormányzati rendelethez</t>
  </si>
  <si>
    <t>2. melléklet a 10/2020.(VI.26.) önkormányzati rendelethez</t>
  </si>
  <si>
    <t>3. melléklet a 10/2020.(VI.26.) önkormányzati rendelethez</t>
  </si>
  <si>
    <t>4. melléklet a 10/2020.(VI.26.) önkormányzati rendelethez</t>
  </si>
  <si>
    <t>5. melléklet a 10/2020.(VI.26.) önkormányzati rendelethez</t>
  </si>
  <si>
    <t>6. melléklet a 10/2020.(VI.26.) önkormányzati rendelethez</t>
  </si>
  <si>
    <t>7. melléklet a 10/2020.VI.26.) önkormányzati rendelethez</t>
  </si>
  <si>
    <t>8. melléklet a 10/2020. (VI.26.) önkormányzati rendelethez</t>
  </si>
  <si>
    <t>9. melléklet a 10/2020.(VI.26.) önkormányzati rendelethez</t>
  </si>
  <si>
    <t>10. melléklet a 10/2020.(VI.26.) önkormányzati rendelethez</t>
  </si>
  <si>
    <t>11. melléklet a 10/2020. (VI.26.) önkormányzati rendelethez</t>
  </si>
  <si>
    <t>12. melléklet a 10/2020. (VI.26.)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</si>
</sst>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0" fillId="21" borderId="7" applyNumberFormat="0" applyFont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105" fillId="28" borderId="0" applyNumberFormat="0" applyBorder="0" applyAlignment="0" applyProtection="0"/>
    <xf numFmtId="0" fontId="106" fillId="29" borderId="8" applyNumberFormat="0" applyAlignment="0" applyProtection="0"/>
    <xf numFmtId="0" fontId="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0" borderId="0" applyNumberFormat="0" applyBorder="0" applyAlignment="0" applyProtection="0"/>
    <xf numFmtId="0" fontId="110" fillId="31" borderId="0" applyNumberFormat="0" applyBorder="0" applyAlignment="0" applyProtection="0"/>
    <xf numFmtId="0" fontId="111" fillId="29" borderId="1" applyNumberFormat="0" applyAlignment="0" applyProtection="0"/>
    <xf numFmtId="9" fontId="0" fillId="0" borderId="0" applyFont="0" applyFill="0" applyBorder="0" applyAlignment="0" applyProtection="0"/>
  </cellStyleXfs>
  <cellXfs count="13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8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2" applyNumberFormat="1" applyFont="1" applyBorder="1" applyAlignment="1">
      <alignment horizontal="right"/>
    </xf>
    <xf numFmtId="3" fontId="18" fillId="0" borderId="22" xfId="42" applyNumberFormat="1" applyFont="1" applyBorder="1" applyAlignment="1">
      <alignment horizontal="right"/>
    </xf>
    <xf numFmtId="3" fontId="22" fillId="0" borderId="22" xfId="42" applyNumberFormat="1" applyFont="1" applyBorder="1" applyAlignment="1">
      <alignment horizontal="right"/>
    </xf>
    <xf numFmtId="0" fontId="29" fillId="0" borderId="22" xfId="57" applyFont="1" applyBorder="1" applyAlignment="1">
      <alignment horizontal="left" vertical="center" wrapText="1"/>
      <protection/>
    </xf>
    <xf numFmtId="0" fontId="29" fillId="0" borderId="0" xfId="57" applyFont="1" applyAlignment="1">
      <alignment horizontal="center" vertical="center" wrapText="1"/>
      <protection/>
    </xf>
    <xf numFmtId="3" fontId="29" fillId="0" borderId="22" xfId="42" applyNumberFormat="1" applyFont="1" applyBorder="1" applyAlignment="1">
      <alignment horizontal="right"/>
    </xf>
    <xf numFmtId="0" fontId="29" fillId="0" borderId="22" xfId="57" applyFont="1" applyBorder="1">
      <alignment/>
      <protection/>
    </xf>
    <xf numFmtId="0" fontId="30" fillId="0" borderId="0" xfId="57" applyFont="1">
      <alignment/>
      <protection/>
    </xf>
    <xf numFmtId="0" fontId="31" fillId="0" borderId="22" xfId="57" applyFont="1" applyBorder="1" applyAlignment="1">
      <alignment horizontal="right"/>
      <protection/>
    </xf>
    <xf numFmtId="0" fontId="32" fillId="0" borderId="0" xfId="57" applyFont="1">
      <alignment/>
      <protection/>
    </xf>
    <xf numFmtId="0" fontId="33" fillId="0" borderId="22" xfId="57" applyFont="1" applyBorder="1" applyAlignment="1">
      <alignment vertical="center"/>
      <protection/>
    </xf>
    <xf numFmtId="3" fontId="33" fillId="0" borderId="22" xfId="42" applyNumberFormat="1" applyFont="1" applyBorder="1" applyAlignment="1">
      <alignment horizontal="right"/>
    </xf>
    <xf numFmtId="0" fontId="33" fillId="0" borderId="22" xfId="57" applyFont="1" applyBorder="1">
      <alignment/>
      <protection/>
    </xf>
    <xf numFmtId="0" fontId="33" fillId="0" borderId="0" xfId="57" applyFont="1">
      <alignment/>
      <protection/>
    </xf>
    <xf numFmtId="0" fontId="33" fillId="0" borderId="22" xfId="57" applyFont="1" applyBorder="1" applyAlignment="1">
      <alignment vertical="center" wrapText="1"/>
      <protection/>
    </xf>
    <xf numFmtId="0" fontId="33" fillId="0" borderId="22" xfId="57" applyFont="1" applyBorder="1" applyAlignment="1">
      <alignment horizontal="left" vertical="center"/>
      <protection/>
    </xf>
    <xf numFmtId="0" fontId="34" fillId="0" borderId="0" xfId="57" applyFont="1">
      <alignment/>
      <protection/>
    </xf>
    <xf numFmtId="0" fontId="33" fillId="0" borderId="22" xfId="57" applyFont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6" fillId="0" borderId="22" xfId="57" applyNumberFormat="1" applyFont="1" applyBorder="1" applyAlignment="1">
      <alignment horizontal="right" vertical="center"/>
      <protection/>
    </xf>
    <xf numFmtId="3" fontId="36" fillId="0" borderId="22" xfId="42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1" fillId="0" borderId="22" xfId="0" applyFont="1" applyBorder="1" applyAlignment="1">
      <alignment horizontal="center"/>
    </xf>
    <xf numFmtId="0" fontId="21" fillId="32" borderId="2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1" fillId="33" borderId="22" xfId="61" applyFont="1" applyFill="1" applyBorder="1" applyAlignment="1">
      <alignment vertical="center"/>
      <protection/>
    </xf>
    <xf numFmtId="0" fontId="21" fillId="33" borderId="14" xfId="61" applyFont="1" applyFill="1" applyBorder="1" applyAlignment="1">
      <alignment vertical="center" wrapText="1"/>
      <protection/>
    </xf>
    <xf numFmtId="3" fontId="21" fillId="33" borderId="21" xfId="61" applyNumberFormat="1" applyFont="1" applyFill="1" applyBorder="1" applyAlignment="1">
      <alignment vertical="center"/>
      <protection/>
    </xf>
    <xf numFmtId="3" fontId="21" fillId="33" borderId="22" xfId="61" applyNumberFormat="1" applyFont="1" applyFill="1" applyBorder="1" applyAlignment="1">
      <alignment vertical="center"/>
      <protection/>
    </xf>
    <xf numFmtId="3" fontId="21" fillId="33" borderId="23" xfId="61" applyNumberFormat="1" applyFont="1" applyFill="1" applyBorder="1" applyAlignment="1">
      <alignment vertical="center"/>
      <protection/>
    </xf>
    <xf numFmtId="3" fontId="21" fillId="33" borderId="17" xfId="61" applyNumberFormat="1" applyFont="1" applyFill="1" applyBorder="1" applyAlignment="1">
      <alignment vertical="center"/>
      <protection/>
    </xf>
    <xf numFmtId="0" fontId="13" fillId="33" borderId="22" xfId="61" applyFill="1" applyBorder="1">
      <alignment/>
      <protection/>
    </xf>
    <xf numFmtId="0" fontId="21" fillId="33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21" fillId="32" borderId="2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6" fillId="0" borderId="21" xfId="0" applyFont="1" applyBorder="1" applyAlignment="1">
      <alignment wrapText="1"/>
    </xf>
    <xf numFmtId="0" fontId="21" fillId="32" borderId="21" xfId="0" applyFont="1" applyFill="1" applyBorder="1" applyAlignment="1">
      <alignment vertical="center" wrapText="1"/>
    </xf>
    <xf numFmtId="49" fontId="26" fillId="0" borderId="21" xfId="0" applyNumberFormat="1" applyFont="1" applyBorder="1" applyAlignment="1">
      <alignment/>
    </xf>
    <xf numFmtId="49" fontId="26" fillId="0" borderId="21" xfId="0" applyNumberFormat="1" applyFont="1" applyBorder="1" applyAlignment="1">
      <alignment wrapText="1"/>
    </xf>
    <xf numFmtId="0" fontId="21" fillId="0" borderId="21" xfId="0" applyFont="1" applyFill="1" applyBorder="1" applyAlignment="1">
      <alignment/>
    </xf>
    <xf numFmtId="49" fontId="27" fillId="0" borderId="21" xfId="0" applyNumberFormat="1" applyFont="1" applyBorder="1" applyAlignment="1">
      <alignment/>
    </xf>
    <xf numFmtId="0" fontId="37" fillId="0" borderId="30" xfId="61" applyFont="1" applyBorder="1" applyAlignment="1">
      <alignment horizontal="center" vertical="center" wrapText="1"/>
      <protection/>
    </xf>
    <xf numFmtId="3" fontId="21" fillId="33" borderId="31" xfId="61" applyNumberFormat="1" applyFont="1" applyFill="1" applyBorder="1" applyAlignment="1">
      <alignment vertical="center"/>
      <protection/>
    </xf>
    <xf numFmtId="3" fontId="112" fillId="0" borderId="0" xfId="61" applyNumberFormat="1" applyFont="1">
      <alignment/>
      <protection/>
    </xf>
    <xf numFmtId="3" fontId="112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6" fillId="0" borderId="22" xfId="0" applyFont="1" applyFill="1" applyBorder="1" applyAlignment="1">
      <alignment/>
    </xf>
    <xf numFmtId="0" fontId="13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32" borderId="21" xfId="0" applyFont="1" applyFill="1" applyBorder="1" applyAlignment="1">
      <alignment vertical="center"/>
    </xf>
    <xf numFmtId="49" fontId="13" fillId="34" borderId="21" xfId="0" applyNumberFormat="1" applyFont="1" applyFill="1" applyBorder="1" applyAlignment="1">
      <alignment vertical="center" wrapText="1"/>
    </xf>
    <xf numFmtId="0" fontId="13" fillId="34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6" fillId="0" borderId="0" xfId="0" applyFont="1" applyFill="1" applyAlignment="1">
      <alignment/>
    </xf>
    <xf numFmtId="49" fontId="26" fillId="0" borderId="21" xfId="0" applyNumberFormat="1" applyFont="1" applyBorder="1" applyAlignment="1">
      <alignment/>
    </xf>
    <xf numFmtId="0" fontId="21" fillId="0" borderId="0" xfId="0" applyFont="1" applyFill="1" applyAlignment="1">
      <alignment vertical="center"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0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43" fillId="0" borderId="41" xfId="60" applyNumberFormat="1" applyFont="1" applyFill="1" applyBorder="1" applyAlignment="1">
      <alignment vertical="center" wrapText="1"/>
      <protection/>
    </xf>
    <xf numFmtId="0" fontId="20" fillId="0" borderId="42" xfId="60" applyFont="1" applyFill="1" applyBorder="1" applyAlignment="1">
      <alignment vertical="center" wrapText="1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3" fontId="43" fillId="0" borderId="42" xfId="60" applyNumberFormat="1" applyFont="1" applyFill="1" applyBorder="1" applyAlignment="1">
      <alignment vertical="center" wrapText="1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4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5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6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3" fillId="0" borderId="41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48" xfId="59" applyFont="1" applyBorder="1" applyAlignment="1">
      <alignment horizontal="center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22" fillId="0" borderId="50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1" xfId="59" applyFont="1" applyBorder="1">
      <alignment/>
      <protection/>
    </xf>
    <xf numFmtId="0" fontId="22" fillId="0" borderId="52" xfId="59" applyFont="1" applyBorder="1">
      <alignment/>
      <protection/>
    </xf>
    <xf numFmtId="0" fontId="22" fillId="0" borderId="53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4" xfId="59" applyNumberFormat="1" applyFont="1" applyBorder="1">
      <alignment/>
      <protection/>
    </xf>
    <xf numFmtId="0" fontId="22" fillId="0" borderId="0" xfId="59" applyFont="1" applyBorder="1" applyAlignment="1">
      <alignment horizontal="left"/>
      <protection/>
    </xf>
    <xf numFmtId="3" fontId="15" fillId="0" borderId="55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6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0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60" fillId="0" borderId="53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2" xfId="59" applyFont="1" applyBorder="1" applyAlignment="1">
      <alignment horizontal="right"/>
      <protection/>
    </xf>
    <xf numFmtId="3" fontId="19" fillId="0" borderId="5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3" xfId="59" applyNumberFormat="1" applyFont="1" applyBorder="1">
      <alignment/>
      <protection/>
    </xf>
    <xf numFmtId="3" fontId="60" fillId="0" borderId="50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2" fillId="0" borderId="50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60" fillId="0" borderId="53" xfId="59" applyNumberFormat="1" applyFont="1" applyBorder="1" applyAlignment="1">
      <alignment horizontal="right" vertical="center"/>
      <protection/>
    </xf>
    <xf numFmtId="0" fontId="22" fillId="0" borderId="50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2" xfId="59" applyFont="1" applyBorder="1" applyAlignment="1">
      <alignment horizontal="right"/>
      <protection/>
    </xf>
    <xf numFmtId="0" fontId="60" fillId="0" borderId="53" xfId="59" applyFont="1" applyBorder="1">
      <alignment/>
      <protection/>
    </xf>
    <xf numFmtId="3" fontId="22" fillId="0" borderId="58" xfId="59" applyNumberFormat="1" applyFont="1" applyBorder="1">
      <alignment/>
      <protection/>
    </xf>
    <xf numFmtId="3" fontId="60" fillId="0" borderId="50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57" xfId="59" applyNumberFormat="1" applyFont="1" applyBorder="1">
      <alignment/>
      <protection/>
    </xf>
    <xf numFmtId="3" fontId="60" fillId="0" borderId="53" xfId="59" applyNumberFormat="1" applyFont="1" applyBorder="1">
      <alignment/>
      <protection/>
    </xf>
    <xf numFmtId="0" fontId="18" fillId="0" borderId="50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3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0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55" xfId="59" applyFont="1" applyBorder="1" applyAlignment="1">
      <alignment horizontal="left"/>
      <protection/>
    </xf>
    <xf numFmtId="0" fontId="61" fillId="0" borderId="54" xfId="59" applyFont="1" applyBorder="1" applyAlignment="1">
      <alignment horizontal="left"/>
      <protection/>
    </xf>
    <xf numFmtId="0" fontId="61" fillId="0" borderId="54" xfId="59" applyFont="1" applyBorder="1">
      <alignment/>
      <protection/>
    </xf>
    <xf numFmtId="3" fontId="22" fillId="0" borderId="59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8" fillId="0" borderId="47" xfId="59" applyFont="1" applyBorder="1" applyAlignment="1">
      <alignment horizontal="right"/>
      <protection/>
    </xf>
    <xf numFmtId="0" fontId="18" fillId="0" borderId="60" xfId="59" applyFont="1" applyBorder="1" applyAlignment="1">
      <alignment horizontal="right"/>
      <protection/>
    </xf>
    <xf numFmtId="0" fontId="18" fillId="0" borderId="47" xfId="59" applyFont="1" applyBorder="1">
      <alignment/>
      <protection/>
    </xf>
    <xf numFmtId="0" fontId="18" fillId="0" borderId="61" xfId="59" applyFont="1" applyBorder="1">
      <alignment/>
      <protection/>
    </xf>
    <xf numFmtId="0" fontId="22" fillId="0" borderId="47" xfId="59" applyFont="1" applyBorder="1" applyAlignment="1">
      <alignment horizontal="left"/>
      <protection/>
    </xf>
    <xf numFmtId="0" fontId="61" fillId="0" borderId="62" xfId="59" applyFont="1" applyBorder="1" applyAlignment="1">
      <alignment horizontal="left"/>
      <protection/>
    </xf>
    <xf numFmtId="0" fontId="61" fillId="0" borderId="47" xfId="59" applyFont="1" applyBorder="1" applyAlignment="1">
      <alignment horizontal="left"/>
      <protection/>
    </xf>
    <xf numFmtId="3" fontId="61" fillId="0" borderId="47" xfId="59" applyNumberFormat="1" applyFont="1" applyFill="1" applyBorder="1">
      <alignment/>
      <protection/>
    </xf>
    <xf numFmtId="3" fontId="15" fillId="0" borderId="62" xfId="59" applyNumberFormat="1" applyFont="1" applyBorder="1" applyAlignment="1">
      <alignment horizontal="right" vertical="center"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0" fillId="0" borderId="64" xfId="59" applyNumberFormat="1" applyFont="1" applyBorder="1" applyAlignment="1">
      <alignment horizontal="right" vertical="center"/>
      <protection/>
    </xf>
    <xf numFmtId="3" fontId="22" fillId="0" borderId="65" xfId="59" applyNumberFormat="1" applyFont="1" applyBorder="1">
      <alignment/>
      <protection/>
    </xf>
    <xf numFmtId="3" fontId="22" fillId="0" borderId="63" xfId="59" applyNumberFormat="1" applyFont="1" applyBorder="1">
      <alignment/>
      <protection/>
    </xf>
    <xf numFmtId="3" fontId="22" fillId="0" borderId="64" xfId="59" applyNumberFormat="1" applyFont="1" applyBorder="1">
      <alignment/>
      <protection/>
    </xf>
    <xf numFmtId="3" fontId="60" fillId="0" borderId="61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0" fontId="18" fillId="0" borderId="67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>
      <alignment/>
      <protection/>
    </xf>
    <xf numFmtId="3" fontId="61" fillId="0" borderId="58" xfId="59" applyNumberFormat="1" applyFont="1" applyBorder="1" applyAlignment="1">
      <alignment/>
      <protection/>
    </xf>
    <xf numFmtId="0" fontId="18" fillId="0" borderId="68" xfId="59" applyFont="1" applyBorder="1">
      <alignment/>
      <protection/>
    </xf>
    <xf numFmtId="0" fontId="18" fillId="0" borderId="64" xfId="59" applyFont="1" applyBorder="1">
      <alignment/>
      <protection/>
    </xf>
    <xf numFmtId="0" fontId="18" fillId="0" borderId="69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0" xfId="59" applyFont="1" applyBorder="1" applyAlignment="1">
      <alignment horizontal="left"/>
      <protection/>
    </xf>
    <xf numFmtId="3" fontId="60" fillId="0" borderId="70" xfId="59" applyNumberFormat="1" applyFont="1" applyBorder="1" applyAlignment="1">
      <alignment horizontal="right"/>
      <protection/>
    </xf>
    <xf numFmtId="3" fontId="60" fillId="0" borderId="50" xfId="59" applyNumberFormat="1" applyFont="1" applyBorder="1" applyAlignment="1">
      <alignment horizontal="right"/>
      <protection/>
    </xf>
    <xf numFmtId="0" fontId="18" fillId="0" borderId="71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2" xfId="59" applyFont="1" applyBorder="1" applyAlignment="1">
      <alignment horizontal="right" vertical="center"/>
      <protection/>
    </xf>
    <xf numFmtId="0" fontId="22" fillId="0" borderId="57" xfId="59" applyFont="1" applyBorder="1">
      <alignment/>
      <protection/>
    </xf>
    <xf numFmtId="0" fontId="18" fillId="0" borderId="50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60" fillId="0" borderId="73" xfId="59" applyNumberFormat="1" applyFont="1" applyBorder="1">
      <alignment/>
      <protection/>
    </xf>
    <xf numFmtId="0" fontId="18" fillId="0" borderId="74" xfId="59" applyFont="1" applyBorder="1">
      <alignment/>
      <protection/>
    </xf>
    <xf numFmtId="0" fontId="18" fillId="0" borderId="75" xfId="59" applyFont="1" applyBorder="1" applyAlignment="1">
      <alignment horizontal="right"/>
      <protection/>
    </xf>
    <xf numFmtId="0" fontId="18" fillId="0" borderId="76" xfId="59" applyFont="1" applyBorder="1" applyAlignment="1">
      <alignment horizontal="right"/>
      <protection/>
    </xf>
    <xf numFmtId="0" fontId="18" fillId="0" borderId="75" xfId="59" applyFont="1" applyBorder="1">
      <alignment/>
      <protection/>
    </xf>
    <xf numFmtId="0" fontId="18" fillId="0" borderId="66" xfId="59" applyFont="1" applyBorder="1">
      <alignment/>
      <protection/>
    </xf>
    <xf numFmtId="0" fontId="18" fillId="0" borderId="75" xfId="59" applyFont="1" applyBorder="1" applyAlignment="1">
      <alignment/>
      <protection/>
    </xf>
    <xf numFmtId="0" fontId="15" fillId="0" borderId="77" xfId="59" applyFont="1" applyBorder="1" applyAlignment="1">
      <alignment horizontal="right"/>
      <protection/>
    </xf>
    <xf numFmtId="0" fontId="18" fillId="0" borderId="78" xfId="59" applyFont="1" applyBorder="1">
      <alignment/>
      <protection/>
    </xf>
    <xf numFmtId="3" fontId="15" fillId="0" borderId="79" xfId="59" applyNumberFormat="1" applyFont="1" applyBorder="1" applyAlignment="1">
      <alignment horizontal="right"/>
      <protection/>
    </xf>
    <xf numFmtId="0" fontId="15" fillId="0" borderId="75" xfId="59" applyFont="1" applyBorder="1" applyAlignment="1">
      <alignment horizontal="right"/>
      <protection/>
    </xf>
    <xf numFmtId="0" fontId="15" fillId="0" borderId="76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76" xfId="59" applyFont="1" applyBorder="1">
      <alignment/>
      <protection/>
    </xf>
    <xf numFmtId="0" fontId="60" fillId="0" borderId="81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57" xfId="59" applyFont="1" applyBorder="1">
      <alignment/>
      <protection/>
    </xf>
    <xf numFmtId="0" fontId="22" fillId="0" borderId="58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0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58" xfId="59" applyFont="1" applyBorder="1">
      <alignment/>
      <protection/>
    </xf>
    <xf numFmtId="0" fontId="23" fillId="0" borderId="55" xfId="59" applyFont="1" applyBorder="1" applyAlignment="1">
      <alignment horizontal="right"/>
      <protection/>
    </xf>
    <xf numFmtId="0" fontId="18" fillId="0" borderId="54" xfId="0" applyFont="1" applyBorder="1" applyAlignment="1">
      <alignment horizontal="right"/>
    </xf>
    <xf numFmtId="3" fontId="19" fillId="0" borderId="72" xfId="59" applyNumberFormat="1" applyFont="1" applyBorder="1" applyAlignment="1">
      <alignment horizontal="right"/>
      <protection/>
    </xf>
    <xf numFmtId="3" fontId="19" fillId="0" borderId="54" xfId="59" applyNumberFormat="1" applyFont="1" applyBorder="1">
      <alignment/>
      <protection/>
    </xf>
    <xf numFmtId="3" fontId="19" fillId="0" borderId="56" xfId="59" applyNumberFormat="1" applyFont="1" applyBorder="1">
      <alignment/>
      <protection/>
    </xf>
    <xf numFmtId="3" fontId="22" fillId="0" borderId="59" xfId="59" applyNumberFormat="1" applyFont="1" applyBorder="1" applyAlignment="1">
      <alignment/>
      <protection/>
    </xf>
    <xf numFmtId="0" fontId="18" fillId="0" borderId="59" xfId="59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82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15" fillId="0" borderId="83" xfId="59" applyNumberFormat="1" applyFont="1" applyBorder="1">
      <alignment/>
      <protection/>
    </xf>
    <xf numFmtId="0" fontId="62" fillId="0" borderId="84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6" xfId="59" applyFont="1" applyBorder="1">
      <alignment/>
      <protection/>
    </xf>
    <xf numFmtId="3" fontId="60" fillId="0" borderId="84" xfId="59" applyNumberFormat="1" applyFont="1" applyBorder="1" applyAlignment="1">
      <alignment horizontal="right" vertical="center"/>
      <protection/>
    </xf>
    <xf numFmtId="3" fontId="60" fillId="0" borderId="85" xfId="59" applyNumberFormat="1" applyFont="1" applyBorder="1" applyAlignment="1">
      <alignment horizontal="right" vertical="center"/>
      <protection/>
    </xf>
    <xf numFmtId="3" fontId="60" fillId="0" borderId="84" xfId="59" applyNumberFormat="1" applyFont="1" applyBorder="1">
      <alignment/>
      <protection/>
    </xf>
    <xf numFmtId="3" fontId="60" fillId="0" borderId="85" xfId="59" applyNumberFormat="1" applyFont="1" applyBorder="1">
      <alignment/>
      <protection/>
    </xf>
    <xf numFmtId="3" fontId="60" fillId="0" borderId="83" xfId="59" applyNumberFormat="1" applyFont="1" applyBorder="1" applyAlignment="1">
      <alignment horizontal="right" vertical="center"/>
      <protection/>
    </xf>
    <xf numFmtId="3" fontId="46" fillId="0" borderId="86" xfId="59" applyNumberFormat="1" applyFont="1" applyBorder="1" applyAlignment="1">
      <alignment horizontal="center"/>
      <protection/>
    </xf>
    <xf numFmtId="3" fontId="46" fillId="0" borderId="87" xfId="59" applyNumberFormat="1" applyFont="1" applyBorder="1">
      <alignment/>
      <protection/>
    </xf>
    <xf numFmtId="0" fontId="22" fillId="0" borderId="88" xfId="59" applyFont="1" applyBorder="1" applyAlignment="1">
      <alignment horizontal="left"/>
      <protection/>
    </xf>
    <xf numFmtId="0" fontId="18" fillId="0" borderId="88" xfId="59" applyFont="1" applyBorder="1">
      <alignment/>
      <protection/>
    </xf>
    <xf numFmtId="3" fontId="15" fillId="0" borderId="89" xfId="59" applyNumberFormat="1" applyFont="1" applyBorder="1">
      <alignment/>
      <protection/>
    </xf>
    <xf numFmtId="0" fontId="18" fillId="0" borderId="71" xfId="59" applyFont="1" applyBorder="1">
      <alignment/>
      <protection/>
    </xf>
    <xf numFmtId="3" fontId="46" fillId="0" borderId="86" xfId="59" applyNumberFormat="1" applyFont="1" applyBorder="1">
      <alignment/>
      <protection/>
    </xf>
    <xf numFmtId="3" fontId="46" fillId="0" borderId="90" xfId="59" applyNumberFormat="1" applyFont="1" applyBorder="1">
      <alignment/>
      <protection/>
    </xf>
    <xf numFmtId="0" fontId="22" fillId="0" borderId="47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8" fillId="0" borderId="27" xfId="59" applyNumberFormat="1" applyFont="1" applyBorder="1">
      <alignment/>
      <protection/>
    </xf>
    <xf numFmtId="0" fontId="18" fillId="0" borderId="27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1" xfId="59" applyFont="1" applyBorder="1" applyAlignment="1">
      <alignment horizontal="center"/>
      <protection/>
    </xf>
    <xf numFmtId="0" fontId="19" fillId="0" borderId="84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49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21" fillId="5" borderId="2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67" xfId="59" applyFont="1" applyBorder="1" applyAlignment="1">
      <alignment horizontal="left" wrapText="1"/>
      <protection/>
    </xf>
    <xf numFmtId="0" fontId="61" fillId="0" borderId="6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22" fillId="0" borderId="59" xfId="0" applyNumberFormat="1" applyFont="1" applyBorder="1" applyAlignment="1">
      <alignment/>
    </xf>
    <xf numFmtId="3" fontId="22" fillId="0" borderId="58" xfId="0" applyNumberFormat="1" applyFont="1" applyBorder="1" applyAlignment="1">
      <alignment/>
    </xf>
    <xf numFmtId="3" fontId="60" fillId="36" borderId="92" xfId="59" applyNumberFormat="1" applyFont="1" applyFill="1" applyBorder="1" applyAlignment="1">
      <alignment horizontal="right" vertical="center"/>
      <protection/>
    </xf>
    <xf numFmtId="0" fontId="18" fillId="0" borderId="51" xfId="0" applyFont="1" applyBorder="1" applyAlignment="1">
      <alignment horizontal="right"/>
    </xf>
    <xf numFmtId="0" fontId="18" fillId="36" borderId="93" xfId="59" applyFont="1" applyFill="1" applyBorder="1" applyAlignment="1">
      <alignment vertical="center"/>
      <protection/>
    </xf>
    <xf numFmtId="3" fontId="15" fillId="36" borderId="94" xfId="59" applyNumberFormat="1" applyFont="1" applyFill="1" applyBorder="1" applyAlignment="1">
      <alignment vertical="center"/>
      <protection/>
    </xf>
    <xf numFmtId="0" fontId="18" fillId="36" borderId="95" xfId="59" applyFont="1" applyFill="1" applyBorder="1" applyAlignment="1">
      <alignment vertical="center"/>
      <protection/>
    </xf>
    <xf numFmtId="3" fontId="60" fillId="36" borderId="96" xfId="59" applyNumberFormat="1" applyFont="1" applyFill="1" applyBorder="1" applyAlignment="1">
      <alignment vertical="center"/>
      <protection/>
    </xf>
    <xf numFmtId="3" fontId="60" fillId="36" borderId="86" xfId="59" applyNumberFormat="1" applyFont="1" applyFill="1" applyBorder="1" applyAlignment="1">
      <alignment vertical="center"/>
      <protection/>
    </xf>
    <xf numFmtId="3" fontId="60" fillId="36" borderId="81" xfId="59" applyNumberFormat="1" applyFont="1" applyFill="1" applyBorder="1" applyAlignment="1">
      <alignment vertical="center"/>
      <protection/>
    </xf>
    <xf numFmtId="3" fontId="60" fillId="36" borderId="9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/>
      <protection/>
    </xf>
    <xf numFmtId="3" fontId="22" fillId="0" borderId="58" xfId="59" applyNumberFormat="1" applyFont="1" applyBorder="1" applyAlignment="1">
      <alignment vertical="center"/>
      <protection/>
    </xf>
    <xf numFmtId="3" fontId="22" fillId="0" borderId="46" xfId="59" applyNumberFormat="1" applyFont="1" applyFill="1" applyBorder="1" applyAlignment="1">
      <alignment vertical="center"/>
      <protection/>
    </xf>
    <xf numFmtId="3" fontId="22" fillId="0" borderId="58" xfId="59" applyNumberFormat="1" applyFont="1" applyFill="1" applyBorder="1" applyAlignment="1">
      <alignment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59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5" xfId="60" applyFont="1" applyFill="1" applyBorder="1" applyAlignment="1">
      <alignment vertical="center" wrapText="1"/>
      <protection/>
    </xf>
    <xf numFmtId="0" fontId="18" fillId="0" borderId="63" xfId="59" applyFont="1" applyBorder="1" applyAlignment="1">
      <alignment horizontal="right"/>
      <protection/>
    </xf>
    <xf numFmtId="3" fontId="22" fillId="0" borderId="98" xfId="0" applyNumberFormat="1" applyFont="1" applyBorder="1" applyAlignment="1">
      <alignment/>
    </xf>
    <xf numFmtId="3" fontId="60" fillId="0" borderId="99" xfId="60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3" xfId="0" applyNumberFormat="1" applyFont="1" applyFill="1" applyBorder="1" applyAlignment="1">
      <alignment horizontal="center" vertical="center"/>
    </xf>
    <xf numFmtId="3" fontId="43" fillId="0" borderId="42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2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3" borderId="21" xfId="61" applyNumberFormat="1" applyFill="1" applyBorder="1" applyAlignment="1">
      <alignment vertical="center"/>
      <protection/>
    </xf>
    <xf numFmtId="3" fontId="13" fillId="33" borderId="22" xfId="61" applyNumberFormat="1" applyFill="1" applyBorder="1" applyAlignment="1">
      <alignment vertical="center"/>
      <protection/>
    </xf>
    <xf numFmtId="3" fontId="13" fillId="33" borderId="17" xfId="61" applyNumberFormat="1" applyFill="1" applyBorder="1" applyAlignment="1">
      <alignment vertical="center"/>
      <protection/>
    </xf>
    <xf numFmtId="171" fontId="13" fillId="0" borderId="21" xfId="61" applyNumberFormat="1" applyBorder="1" applyAlignment="1">
      <alignment vertical="center"/>
      <protection/>
    </xf>
    <xf numFmtId="171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71" fontId="21" fillId="0" borderId="21" xfId="61" applyNumberFormat="1" applyFont="1" applyBorder="1" applyAlignment="1">
      <alignment vertical="center"/>
      <protection/>
    </xf>
    <xf numFmtId="171" fontId="21" fillId="0" borderId="17" xfId="61" applyNumberFormat="1" applyFont="1" applyBorder="1" applyAlignment="1">
      <alignment vertical="center"/>
      <protection/>
    </xf>
    <xf numFmtId="4" fontId="21" fillId="33" borderId="21" xfId="61" applyNumberFormat="1" applyFont="1" applyFill="1" applyBorder="1" applyAlignment="1">
      <alignment vertical="center"/>
      <protection/>
    </xf>
    <xf numFmtId="4" fontId="21" fillId="33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1" fillId="33" borderId="31" xfId="61" applyNumberFormat="1" applyFont="1" applyFill="1" applyBorder="1" applyAlignment="1">
      <alignment vertical="center"/>
      <protection/>
    </xf>
    <xf numFmtId="0" fontId="42" fillId="0" borderId="22" xfId="0" applyFont="1" applyBorder="1" applyAlignment="1">
      <alignment horizontal="left"/>
    </xf>
    <xf numFmtId="49" fontId="66" fillId="34" borderId="21" xfId="0" applyNumberFormat="1" applyFont="1" applyFill="1" applyBorder="1" applyAlignment="1">
      <alignment vertical="center" wrapText="1"/>
    </xf>
    <xf numFmtId="0" fontId="66" fillId="34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6" fillId="0" borderId="0" xfId="0" applyFont="1" applyBorder="1" applyAlignment="1">
      <alignment/>
    </xf>
    <xf numFmtId="3" fontId="49" fillId="0" borderId="101" xfId="0" applyNumberFormat="1" applyFont="1" applyBorder="1" applyAlignment="1">
      <alignment/>
    </xf>
    <xf numFmtId="3" fontId="20" fillId="0" borderId="101" xfId="0" applyNumberFormat="1" applyFont="1" applyBorder="1" applyAlignment="1">
      <alignment/>
    </xf>
    <xf numFmtId="3" fontId="47" fillId="0" borderId="101" xfId="0" applyNumberFormat="1" applyFont="1" applyBorder="1" applyAlignment="1">
      <alignment/>
    </xf>
    <xf numFmtId="3" fontId="52" fillId="0" borderId="101" xfId="0" applyNumberFormat="1" applyFont="1" applyBorder="1" applyAlignment="1">
      <alignment/>
    </xf>
    <xf numFmtId="3" fontId="54" fillId="0" borderId="101" xfId="0" applyNumberFormat="1" applyFont="1" applyBorder="1" applyAlignment="1">
      <alignment/>
    </xf>
    <xf numFmtId="3" fontId="56" fillId="0" borderId="101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5" fillId="0" borderId="101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0" xfId="59" applyFont="1" applyBorder="1" applyAlignment="1">
      <alignment horizontal="left" wrapText="1"/>
      <protection/>
    </xf>
    <xf numFmtId="0" fontId="22" fillId="0" borderId="55" xfId="59" applyFont="1" applyBorder="1" applyAlignment="1">
      <alignment horizontal="left"/>
      <protection/>
    </xf>
    <xf numFmtId="0" fontId="22" fillId="0" borderId="54" xfId="59" applyFont="1" applyBorder="1" applyAlignment="1">
      <alignment horizontal="left"/>
      <protection/>
    </xf>
    <xf numFmtId="0" fontId="18" fillId="0" borderId="52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19" fillId="0" borderId="101" xfId="58" applyNumberFormat="1" applyFont="1" applyBorder="1">
      <alignment/>
      <protection/>
    </xf>
    <xf numFmtId="3" fontId="47" fillId="0" borderId="101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3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99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center"/>
    </xf>
    <xf numFmtId="3" fontId="17" fillId="0" borderId="102" xfId="0" applyNumberFormat="1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13" fillId="0" borderId="37" xfId="60" applyNumberFormat="1" applyFont="1" applyFill="1" applyBorder="1" applyAlignment="1">
      <alignment vertical="center" wrapText="1"/>
      <protection/>
    </xf>
    <xf numFmtId="3" fontId="113" fillId="0" borderId="38" xfId="60" applyNumberFormat="1" applyFont="1" applyFill="1" applyBorder="1" applyAlignment="1">
      <alignment vertical="center" wrapText="1"/>
      <protection/>
    </xf>
    <xf numFmtId="3" fontId="113" fillId="0" borderId="21" xfId="60" applyNumberFormat="1" applyFont="1" applyFill="1" applyBorder="1" applyAlignment="1">
      <alignment vertical="center" wrapText="1"/>
      <protection/>
    </xf>
    <xf numFmtId="3" fontId="113" fillId="0" borderId="22" xfId="60" applyNumberFormat="1" applyFont="1" applyFill="1" applyBorder="1" applyAlignment="1">
      <alignment vertical="center" wrapText="1"/>
      <protection/>
    </xf>
    <xf numFmtId="3" fontId="113" fillId="0" borderId="21" xfId="60" applyNumberFormat="1" applyFont="1" applyFill="1" applyBorder="1" applyAlignment="1">
      <alignment vertical="center"/>
      <protection/>
    </xf>
    <xf numFmtId="3" fontId="113" fillId="0" borderId="22" xfId="60" applyNumberFormat="1" applyFont="1" applyFill="1" applyBorder="1" applyAlignment="1">
      <alignment vertical="center"/>
      <protection/>
    </xf>
    <xf numFmtId="3" fontId="113" fillId="0" borderId="39" xfId="60" applyNumberFormat="1" applyFont="1" applyFill="1" applyBorder="1" applyAlignment="1">
      <alignment vertical="center" wrapText="1"/>
      <protection/>
    </xf>
    <xf numFmtId="3" fontId="113" fillId="0" borderId="17" xfId="60" applyNumberFormat="1" applyFont="1" applyFill="1" applyBorder="1" applyAlignment="1">
      <alignment vertical="center" wrapText="1"/>
      <protection/>
    </xf>
    <xf numFmtId="3" fontId="113" fillId="35" borderId="17" xfId="60" applyNumberFormat="1" applyFont="1" applyFill="1" applyBorder="1" applyAlignment="1">
      <alignment horizontal="right" vertical="center" wrapText="1"/>
      <protection/>
    </xf>
    <xf numFmtId="3" fontId="113" fillId="0" borderId="17" xfId="60" applyNumberFormat="1" applyFont="1" applyFill="1" applyBorder="1" applyAlignment="1">
      <alignment vertical="center"/>
      <protection/>
    </xf>
    <xf numFmtId="3" fontId="60" fillId="0" borderId="103" xfId="60" applyNumberFormat="1" applyFont="1" applyFill="1" applyBorder="1" applyAlignment="1">
      <alignment vertical="center"/>
      <protection/>
    </xf>
    <xf numFmtId="3" fontId="60" fillId="0" borderId="102" xfId="60" applyNumberFormat="1" applyFont="1" applyFill="1" applyBorder="1" applyAlignment="1">
      <alignment vertical="center"/>
      <protection/>
    </xf>
    <xf numFmtId="3" fontId="60" fillId="0" borderId="104" xfId="60" applyNumberFormat="1" applyFont="1" applyFill="1" applyBorder="1" applyAlignment="1">
      <alignment vertical="center"/>
      <protection/>
    </xf>
    <xf numFmtId="3" fontId="113" fillId="0" borderId="43" xfId="60" applyNumberFormat="1" applyFont="1" applyFill="1" applyBorder="1" applyAlignment="1">
      <alignment vertical="center"/>
      <protection/>
    </xf>
    <xf numFmtId="3" fontId="113" fillId="0" borderId="42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0" fillId="0" borderId="105" xfId="60" applyNumberFormat="1" applyFont="1" applyFill="1" applyBorder="1" applyAlignment="1">
      <alignment vertical="center"/>
      <protection/>
    </xf>
    <xf numFmtId="3" fontId="22" fillId="0" borderId="46" xfId="59" applyNumberFormat="1" applyFont="1" applyBorder="1" applyAlignment="1">
      <alignment vertical="center"/>
      <protection/>
    </xf>
    <xf numFmtId="3" fontId="46" fillId="0" borderId="81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3" fontId="22" fillId="0" borderId="59" xfId="59" applyNumberFormat="1" applyFont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22" fillId="0" borderId="106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0" fontId="22" fillId="36" borderId="93" xfId="59" applyFont="1" applyFill="1" applyBorder="1" applyAlignment="1">
      <alignment horizontal="left" vertical="center" wrapText="1"/>
      <protection/>
    </xf>
    <xf numFmtId="3" fontId="19" fillId="36" borderId="107" xfId="59" applyNumberFormat="1" applyFont="1" applyFill="1" applyBorder="1" applyAlignment="1">
      <alignment horizontal="right" vertical="center"/>
      <protection/>
    </xf>
    <xf numFmtId="3" fontId="19" fillId="36" borderId="95" xfId="59" applyNumberFormat="1" applyFont="1" applyFill="1" applyBorder="1" applyAlignment="1">
      <alignment vertical="center"/>
      <protection/>
    </xf>
    <xf numFmtId="3" fontId="19" fillId="36" borderId="92" xfId="59" applyNumberFormat="1" applyFont="1" applyFill="1" applyBorder="1" applyAlignment="1">
      <alignment vertical="center"/>
      <protection/>
    </xf>
    <xf numFmtId="0" fontId="22" fillId="36" borderId="108" xfId="59" applyFont="1" applyFill="1" applyBorder="1" applyAlignment="1">
      <alignment horizontal="left" vertical="center"/>
      <protection/>
    </xf>
    <xf numFmtId="3" fontId="15" fillId="36" borderId="94" xfId="59" applyNumberFormat="1" applyFont="1" applyFill="1" applyBorder="1" applyAlignment="1">
      <alignment horizontal="right" vertical="center"/>
      <protection/>
    </xf>
    <xf numFmtId="3" fontId="15" fillId="36" borderId="109" xfId="59" applyNumberFormat="1" applyFont="1" applyFill="1" applyBorder="1" applyAlignment="1">
      <alignment horizontal="right" vertical="center"/>
      <protection/>
    </xf>
    <xf numFmtId="3" fontId="60" fillId="36" borderId="95" xfId="59" applyNumberFormat="1" applyFont="1" applyFill="1" applyBorder="1" applyAlignment="1">
      <alignment horizontal="right" vertical="center"/>
      <protection/>
    </xf>
    <xf numFmtId="3" fontId="60" fillId="36" borderId="107" xfId="59" applyNumberFormat="1" applyFont="1" applyFill="1" applyBorder="1" applyAlignment="1">
      <alignment horizontal="right" vertical="center"/>
      <protection/>
    </xf>
    <xf numFmtId="3" fontId="60" fillId="36" borderId="110" xfId="59" applyNumberFormat="1" applyFont="1" applyFill="1" applyBorder="1" applyAlignment="1">
      <alignment vertical="center"/>
      <protection/>
    </xf>
    <xf numFmtId="3" fontId="60" fillId="36" borderId="108" xfId="59" applyNumberFormat="1" applyFont="1" applyFill="1" applyBorder="1" applyAlignment="1">
      <alignment vertical="center"/>
      <protection/>
    </xf>
    <xf numFmtId="3" fontId="60" fillId="36" borderId="10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11" xfId="59" applyFont="1" applyBorder="1" applyAlignment="1">
      <alignment horizontal="center" vertical="center"/>
      <protection/>
    </xf>
    <xf numFmtId="3" fontId="15" fillId="0" borderId="88" xfId="59" applyNumberFormat="1" applyFont="1" applyBorder="1">
      <alignment/>
      <protection/>
    </xf>
    <xf numFmtId="3" fontId="46" fillId="0" borderId="96" xfId="59" applyNumberFormat="1" applyFont="1" applyBorder="1">
      <alignment/>
      <protection/>
    </xf>
    <xf numFmtId="3" fontId="60" fillId="0" borderId="70" xfId="59" applyNumberFormat="1" applyFont="1" applyBorder="1" applyAlignment="1">
      <alignment horizontal="right" vertical="center"/>
      <protection/>
    </xf>
    <xf numFmtId="0" fontId="15" fillId="0" borderId="112" xfId="59" applyFont="1" applyBorder="1" applyAlignment="1">
      <alignment horizontal="right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19" fillId="0" borderId="113" xfId="60" applyFont="1" applyFill="1" applyBorder="1" applyAlignment="1">
      <alignment horizontal="center" vertical="center" wrapText="1"/>
      <protection/>
    </xf>
    <xf numFmtId="0" fontId="19" fillId="0" borderId="114" xfId="59" applyFont="1" applyBorder="1" applyAlignment="1">
      <alignment horizontal="center" vertical="center"/>
      <protection/>
    </xf>
    <xf numFmtId="0" fontId="19" fillId="0" borderId="115" xfId="59" applyFont="1" applyBorder="1" applyAlignment="1">
      <alignment horizontal="center" vertical="center"/>
      <protection/>
    </xf>
    <xf numFmtId="0" fontId="23" fillId="0" borderId="74" xfId="59" applyFont="1" applyBorder="1" applyAlignment="1">
      <alignment horizontal="right" vertical="center"/>
      <protection/>
    </xf>
    <xf numFmtId="3" fontId="19" fillId="0" borderId="76" xfId="59" applyNumberFormat="1" applyFont="1" applyBorder="1" applyAlignment="1">
      <alignment horizontal="right" vertical="center"/>
      <protection/>
    </xf>
    <xf numFmtId="3" fontId="19" fillId="0" borderId="75" xfId="59" applyNumberFormat="1" applyFont="1" applyBorder="1" applyAlignment="1">
      <alignment vertical="center"/>
      <protection/>
    </xf>
    <xf numFmtId="3" fontId="19" fillId="0" borderId="66" xfId="59" applyNumberFormat="1" applyFont="1" applyBorder="1" applyAlignment="1">
      <alignment vertical="center"/>
      <protection/>
    </xf>
    <xf numFmtId="3" fontId="61" fillId="0" borderId="75" xfId="59" applyNumberFormat="1" applyFont="1" applyBorder="1" applyAlignment="1">
      <alignment vertical="center"/>
      <protection/>
    </xf>
    <xf numFmtId="3" fontId="23" fillId="0" borderId="75" xfId="59" applyNumberFormat="1" applyFont="1" applyFill="1" applyBorder="1" applyAlignment="1">
      <alignment vertical="center"/>
      <protection/>
    </xf>
    <xf numFmtId="3" fontId="15" fillId="0" borderId="78" xfId="59" applyNumberFormat="1" applyFont="1" applyBorder="1" applyAlignment="1">
      <alignment vertical="center"/>
      <protection/>
    </xf>
    <xf numFmtId="3" fontId="60" fillId="0" borderId="74" xfId="59" applyNumberFormat="1" applyFont="1" applyBorder="1" applyAlignment="1">
      <alignment vertical="center"/>
      <protection/>
    </xf>
    <xf numFmtId="3" fontId="60" fillId="0" borderId="76" xfId="59" applyNumberFormat="1" applyFont="1" applyBorder="1" applyAlignment="1">
      <alignment vertical="center"/>
      <protection/>
    </xf>
    <xf numFmtId="3" fontId="60" fillId="0" borderId="80" xfId="59" applyNumberFormat="1" applyFont="1" applyBorder="1" applyAlignment="1">
      <alignment vertical="center"/>
      <protection/>
    </xf>
    <xf numFmtId="0" fontId="19" fillId="0" borderId="116" xfId="59" applyFont="1" applyBorder="1" applyAlignment="1">
      <alignment horizontal="center"/>
      <protection/>
    </xf>
    <xf numFmtId="0" fontId="19" fillId="0" borderId="116" xfId="59" applyFont="1" applyBorder="1" applyAlignment="1">
      <alignment horizontal="center" vertical="center"/>
      <protection/>
    </xf>
    <xf numFmtId="3" fontId="13" fillId="0" borderId="21" xfId="61" applyNumberFormat="1" applyFont="1" applyFill="1" applyBorder="1" applyAlignment="1">
      <alignment vertical="center"/>
      <protection/>
    </xf>
    <xf numFmtId="3" fontId="13" fillId="0" borderId="22" xfId="61" applyNumberFormat="1" applyFont="1" applyFill="1" applyBorder="1" applyAlignment="1">
      <alignment vertical="center"/>
      <protection/>
    </xf>
    <xf numFmtId="3" fontId="13" fillId="0" borderId="23" xfId="61" applyNumberFormat="1" applyFont="1" applyBorder="1" applyAlignment="1">
      <alignment vertical="center"/>
      <protection/>
    </xf>
    <xf numFmtId="0" fontId="22" fillId="0" borderId="6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3" fillId="35" borderId="23" xfId="61" applyNumberFormat="1" applyFill="1" applyBorder="1" applyAlignment="1">
      <alignment vertical="center"/>
      <protection/>
    </xf>
    <xf numFmtId="3" fontId="17" fillId="0" borderId="104" xfId="0" applyNumberFormat="1" applyFont="1" applyFill="1" applyBorder="1" applyAlignment="1">
      <alignment vertical="center"/>
    </xf>
    <xf numFmtId="0" fontId="22" fillId="0" borderId="0" xfId="59" applyFont="1" applyBorder="1" applyAlignment="1">
      <alignment horizontal="left" vertical="center" wrapText="1"/>
      <protection/>
    </xf>
    <xf numFmtId="3" fontId="15" fillId="0" borderId="117" xfId="59" applyNumberFormat="1" applyFont="1" applyBorder="1" applyAlignment="1">
      <alignment horizontal="right" vertical="center"/>
      <protection/>
    </xf>
    <xf numFmtId="3" fontId="15" fillId="0" borderId="118" xfId="59" applyNumberFormat="1" applyFont="1" applyBorder="1" applyAlignment="1">
      <alignment horizontal="right" vertical="center"/>
      <protection/>
    </xf>
    <xf numFmtId="3" fontId="43" fillId="35" borderId="17" xfId="60" applyNumberFormat="1" applyFont="1" applyFill="1" applyBorder="1" applyAlignment="1">
      <alignment horizontal="right" vertical="center" wrapText="1"/>
      <protection/>
    </xf>
    <xf numFmtId="3" fontId="43" fillId="0" borderId="43" xfId="60" applyNumberFormat="1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18" fillId="0" borderId="70" xfId="59" applyFont="1" applyBorder="1">
      <alignment/>
      <protection/>
    </xf>
    <xf numFmtId="0" fontId="0" fillId="0" borderId="0" xfId="0" applyFont="1" applyAlignment="1">
      <alignment/>
    </xf>
    <xf numFmtId="3" fontId="15" fillId="0" borderId="119" xfId="59" applyNumberFormat="1" applyFont="1" applyBorder="1" applyAlignment="1">
      <alignment horizontal="right" vertical="center"/>
      <protection/>
    </xf>
    <xf numFmtId="3" fontId="15" fillId="0" borderId="120" xfId="59" applyNumberFormat="1" applyFont="1" applyBorder="1" applyAlignment="1">
      <alignment horizontal="right" vertical="center"/>
      <protection/>
    </xf>
    <xf numFmtId="3" fontId="19" fillId="36" borderId="107" xfId="59" applyNumberFormat="1" applyFont="1" applyFill="1" applyBorder="1" applyAlignment="1">
      <alignment vertical="center"/>
      <protection/>
    </xf>
    <xf numFmtId="3" fontId="19" fillId="36" borderId="121" xfId="59" applyNumberFormat="1" applyFont="1" applyFill="1" applyBorder="1" applyAlignment="1">
      <alignment vertical="center"/>
      <protection/>
    </xf>
    <xf numFmtId="3" fontId="19" fillId="36" borderId="122" xfId="59" applyNumberFormat="1" applyFont="1" applyFill="1" applyBorder="1" applyAlignment="1">
      <alignment vertical="center"/>
      <protection/>
    </xf>
    <xf numFmtId="3" fontId="114" fillId="0" borderId="22" xfId="58" applyNumberFormat="1" applyFont="1" applyBorder="1">
      <alignment/>
      <protection/>
    </xf>
    <xf numFmtId="0" fontId="43" fillId="0" borderId="22" xfId="0" applyFont="1" applyBorder="1" applyAlignment="1">
      <alignment vertical="center"/>
    </xf>
    <xf numFmtId="3" fontId="115" fillId="0" borderId="22" xfId="0" applyNumberFormat="1" applyFont="1" applyBorder="1" applyAlignment="1">
      <alignment/>
    </xf>
    <xf numFmtId="49" fontId="26" fillId="35" borderId="21" xfId="0" applyNumberFormat="1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0" fillId="35" borderId="0" xfId="0" applyFill="1" applyAlignment="1">
      <alignment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0" borderId="21" xfId="61" applyNumberFormat="1" applyFont="1" applyBorder="1" applyAlignment="1">
      <alignment vertical="center"/>
      <protection/>
    </xf>
    <xf numFmtId="49" fontId="13" fillId="0" borderId="21" xfId="61" applyNumberFormat="1" applyBorder="1" applyAlignment="1">
      <alignment vertical="center"/>
      <protection/>
    </xf>
    <xf numFmtId="3" fontId="39" fillId="33" borderId="29" xfId="61" applyNumberFormat="1" applyFont="1" applyFill="1" applyBorder="1" applyAlignment="1">
      <alignment horizontal="center" vertical="center"/>
      <protection/>
    </xf>
    <xf numFmtId="3" fontId="39" fillId="33" borderId="18" xfId="61" applyNumberFormat="1" applyFont="1" applyFill="1" applyBorder="1" applyAlignment="1">
      <alignment horizontal="center" vertical="center"/>
      <protection/>
    </xf>
    <xf numFmtId="3" fontId="39" fillId="33" borderId="34" xfId="61" applyNumberFormat="1" applyFont="1" applyFill="1" applyBorder="1" applyAlignment="1">
      <alignment vertical="center"/>
      <protection/>
    </xf>
    <xf numFmtId="3" fontId="39" fillId="33" borderId="20" xfId="61" applyNumberFormat="1" applyFont="1" applyFill="1" applyBorder="1" applyAlignment="1">
      <alignment horizontal="center" vertical="center"/>
      <protection/>
    </xf>
    <xf numFmtId="3" fontId="40" fillId="33" borderId="123" xfId="61" applyNumberFormat="1" applyFont="1" applyFill="1" applyBorder="1" applyAlignment="1">
      <alignment vertical="center"/>
      <protection/>
    </xf>
    <xf numFmtId="166" fontId="6" fillId="35" borderId="4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22" fillId="35" borderId="58" xfId="59" applyNumberFormat="1" applyFont="1" applyFill="1" applyBorder="1" applyAlignment="1">
      <alignment vertical="center"/>
      <protection/>
    </xf>
    <xf numFmtId="3" fontId="22" fillId="35" borderId="58" xfId="59" applyNumberFormat="1" applyFont="1" applyFill="1" applyBorder="1" applyAlignment="1">
      <alignment horizontal="right" vertical="center"/>
      <protection/>
    </xf>
    <xf numFmtId="0" fontId="18" fillId="0" borderId="114" xfId="59" applyFont="1" applyBorder="1">
      <alignment/>
      <protection/>
    </xf>
    <xf numFmtId="0" fontId="18" fillId="0" borderId="116" xfId="59" applyFont="1" applyBorder="1">
      <alignment/>
      <protection/>
    </xf>
    <xf numFmtId="0" fontId="18" fillId="0" borderId="104" xfId="59" applyFont="1" applyBorder="1">
      <alignment/>
      <protection/>
    </xf>
    <xf numFmtId="3" fontId="22" fillId="35" borderId="59" xfId="59" applyNumberFormat="1" applyFont="1" applyFill="1" applyBorder="1" applyAlignment="1">
      <alignment/>
      <protection/>
    </xf>
    <xf numFmtId="3" fontId="22" fillId="35" borderId="58" xfId="59" applyNumberFormat="1" applyFont="1" applyFill="1" applyBorder="1" applyAlignment="1">
      <alignment/>
      <protection/>
    </xf>
    <xf numFmtId="3" fontId="22" fillId="35" borderId="0" xfId="59" applyNumberFormat="1" applyFont="1" applyFill="1" applyBorder="1" applyAlignment="1">
      <alignment vertical="center"/>
      <protection/>
    </xf>
    <xf numFmtId="3" fontId="48" fillId="0" borderId="22" xfId="58" applyNumberFormat="1" applyFont="1" applyBorder="1" applyAlignment="1">
      <alignment vertical="center"/>
      <protection/>
    </xf>
    <xf numFmtId="3" fontId="47" fillId="0" borderId="22" xfId="58" applyNumberFormat="1" applyFont="1" applyBorder="1" applyAlignment="1">
      <alignment vertical="center"/>
      <protection/>
    </xf>
    <xf numFmtId="3" fontId="18" fillId="0" borderId="22" xfId="58" applyNumberFormat="1" applyFont="1" applyBorder="1">
      <alignment/>
      <protection/>
    </xf>
    <xf numFmtId="3" fontId="43" fillId="0" borderId="22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/>
    </xf>
    <xf numFmtId="3" fontId="29" fillId="0" borderId="22" xfId="42" applyNumberFormat="1" applyFont="1" applyBorder="1" applyAlignment="1">
      <alignment horizontal="right" vertical="center"/>
    </xf>
    <xf numFmtId="0" fontId="29" fillId="0" borderId="22" xfId="57" applyFont="1" applyBorder="1" applyAlignment="1">
      <alignment vertical="center"/>
      <protection/>
    </xf>
    <xf numFmtId="3" fontId="53" fillId="0" borderId="23" xfId="60" applyNumberFormat="1" applyFont="1" applyFill="1" applyBorder="1" applyAlignment="1">
      <alignment horizontal="left" vertical="center" wrapText="1"/>
      <protection/>
    </xf>
    <xf numFmtId="0" fontId="20" fillId="0" borderId="18" xfId="60" applyFont="1" applyFill="1" applyBorder="1" applyAlignment="1">
      <alignment vertical="center" wrapText="1"/>
      <protection/>
    </xf>
    <xf numFmtId="3" fontId="116" fillId="0" borderId="99" xfId="60" applyNumberFormat="1" applyFont="1" applyFill="1" applyBorder="1" applyAlignment="1">
      <alignment vertical="center"/>
      <protection/>
    </xf>
    <xf numFmtId="3" fontId="116" fillId="0" borderId="102" xfId="60" applyNumberFormat="1" applyFont="1" applyFill="1" applyBorder="1" applyAlignment="1">
      <alignment vertical="center"/>
      <protection/>
    </xf>
    <xf numFmtId="3" fontId="116" fillId="0" borderId="103" xfId="60" applyNumberFormat="1" applyFont="1" applyFill="1" applyBorder="1" applyAlignment="1">
      <alignment vertical="center"/>
      <protection/>
    </xf>
    <xf numFmtId="0" fontId="117" fillId="0" borderId="0" xfId="0" applyFont="1" applyAlignment="1">
      <alignment/>
    </xf>
    <xf numFmtId="3" fontId="117" fillId="0" borderId="0" xfId="0" applyNumberFormat="1" applyFont="1" applyAlignment="1">
      <alignment/>
    </xf>
    <xf numFmtId="3" fontId="116" fillId="0" borderId="114" xfId="60" applyNumberFormat="1" applyFont="1" applyFill="1" applyBorder="1" applyAlignment="1">
      <alignment horizontal="right" vertical="center"/>
      <protection/>
    </xf>
    <xf numFmtId="3" fontId="116" fillId="0" borderId="91" xfId="60" applyNumberFormat="1" applyFont="1" applyFill="1" applyBorder="1" applyAlignment="1">
      <alignment horizontal="right" vertical="center"/>
      <protection/>
    </xf>
    <xf numFmtId="3" fontId="116" fillId="0" borderId="116" xfId="60" applyNumberFormat="1" applyFont="1" applyFill="1" applyBorder="1" applyAlignment="1">
      <alignment horizontal="right" vertical="center"/>
      <protection/>
    </xf>
    <xf numFmtId="3" fontId="116" fillId="0" borderId="44" xfId="60" applyNumberFormat="1" applyFont="1" applyFill="1" applyBorder="1" applyAlignment="1">
      <alignment vertical="center"/>
      <protection/>
    </xf>
    <xf numFmtId="0" fontId="118" fillId="0" borderId="0" xfId="0" applyFont="1" applyAlignment="1">
      <alignment/>
    </xf>
    <xf numFmtId="3" fontId="117" fillId="0" borderId="0" xfId="0" applyNumberFormat="1" applyFont="1" applyAlignment="1">
      <alignment vertical="center"/>
    </xf>
    <xf numFmtId="0" fontId="21" fillId="5" borderId="2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15" fillId="0" borderId="67" xfId="59" applyNumberFormat="1" applyFont="1" applyBorder="1" applyAlignment="1">
      <alignment horizontal="right" vertical="center"/>
      <protection/>
    </xf>
    <xf numFmtId="0" fontId="22" fillId="0" borderId="119" xfId="59" applyFont="1" applyBorder="1" applyAlignment="1">
      <alignment horizontal="left" wrapText="1"/>
      <protection/>
    </xf>
    <xf numFmtId="0" fontId="22" fillId="0" borderId="54" xfId="59" applyFont="1" applyBorder="1" applyAlignment="1">
      <alignment horizontal="left" wrapText="1"/>
      <protection/>
    </xf>
    <xf numFmtId="3" fontId="15" fillId="0" borderId="124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vertical="center" wrapText="1"/>
      <protection/>
    </xf>
    <xf numFmtId="0" fontId="22" fillId="0" borderId="55" xfId="59" applyFont="1" applyBorder="1" applyAlignment="1">
      <alignment horizontal="left" vertical="center" wrapText="1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3" xfId="59" applyNumberFormat="1" applyFont="1" applyBorder="1" applyAlignment="1">
      <alignment horizontal="right" vertical="center"/>
      <protection/>
    </xf>
    <xf numFmtId="3" fontId="60" fillId="0" borderId="70" xfId="59" applyNumberFormat="1" applyFont="1" applyBorder="1" applyAlignment="1">
      <alignment horizontal="center" vertical="center"/>
      <protection/>
    </xf>
    <xf numFmtId="0" fontId="22" fillId="0" borderId="59" xfId="59" applyFont="1" applyBorder="1">
      <alignment/>
      <protection/>
    </xf>
    <xf numFmtId="3" fontId="60" fillId="0" borderId="54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 horizontal="right" vertical="center"/>
      <protection/>
    </xf>
    <xf numFmtId="0" fontId="22" fillId="0" borderId="67" xfId="59" applyFont="1" applyBorder="1" applyAlignment="1">
      <alignment horizontal="left" vertical="center" wrapText="1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22" fillId="0" borderId="58" xfId="0" applyNumberFormat="1" applyFont="1" applyBorder="1" applyAlignment="1">
      <alignment horizontal="center" vertical="center"/>
    </xf>
    <xf numFmtId="3" fontId="19" fillId="0" borderId="91" xfId="59" applyNumberFormat="1" applyFont="1" applyBorder="1" applyAlignment="1">
      <alignment horizontal="right"/>
      <protection/>
    </xf>
    <xf numFmtId="3" fontId="18" fillId="0" borderId="116" xfId="59" applyNumberFormat="1" applyFont="1" applyBorder="1">
      <alignment/>
      <protection/>
    </xf>
    <xf numFmtId="3" fontId="19" fillId="0" borderId="49" xfId="59" applyNumberFormat="1" applyFont="1" applyBorder="1">
      <alignment/>
      <protection/>
    </xf>
    <xf numFmtId="0" fontId="22" fillId="0" borderId="116" xfId="59" applyFont="1" applyBorder="1" applyAlignment="1">
      <alignment horizontal="left"/>
      <protection/>
    </xf>
    <xf numFmtId="0" fontId="22" fillId="0" borderId="116" xfId="0" applyFont="1" applyFill="1" applyBorder="1" applyAlignment="1">
      <alignment/>
    </xf>
    <xf numFmtId="3" fontId="15" fillId="0" borderId="44" xfId="59" applyNumberFormat="1" applyFont="1" applyBorder="1" applyAlignment="1">
      <alignment horizontal="right" vertical="center"/>
      <protection/>
    </xf>
    <xf numFmtId="0" fontId="22" fillId="0" borderId="114" xfId="59" applyFont="1" applyBorder="1" applyAlignment="1">
      <alignment horizontal="left" vertical="center" wrapText="1"/>
      <protection/>
    </xf>
    <xf numFmtId="0" fontId="22" fillId="0" borderId="116" xfId="59" applyFont="1" applyBorder="1" applyAlignment="1">
      <alignment horizontal="left" vertical="center" wrapText="1"/>
      <protection/>
    </xf>
    <xf numFmtId="3" fontId="22" fillId="0" borderId="104" xfId="59" applyNumberFormat="1" applyFont="1" applyBorder="1" applyAlignment="1">
      <alignment vertical="center"/>
      <protection/>
    </xf>
    <xf numFmtId="3" fontId="22" fillId="0" borderId="116" xfId="59" applyNumberFormat="1" applyFont="1" applyBorder="1" applyAlignment="1">
      <alignment vertical="center"/>
      <protection/>
    </xf>
    <xf numFmtId="3" fontId="15" fillId="0" borderId="125" xfId="59" applyNumberFormat="1" applyFont="1" applyBorder="1" applyAlignment="1">
      <alignment horizontal="right" vertical="center"/>
      <protection/>
    </xf>
    <xf numFmtId="3" fontId="60" fillId="0" borderId="116" xfId="59" applyNumberFormat="1" applyFont="1" applyBorder="1" applyAlignment="1">
      <alignment horizontal="right" vertical="center"/>
      <protection/>
    </xf>
    <xf numFmtId="3" fontId="60" fillId="0" borderId="91" xfId="59" applyNumberFormat="1" applyFont="1" applyBorder="1" applyAlignment="1">
      <alignment horizontal="right" vertical="center"/>
      <protection/>
    </xf>
    <xf numFmtId="3" fontId="60" fillId="0" borderId="49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>
      <alignment/>
      <protection/>
    </xf>
    <xf numFmtId="3" fontId="22" fillId="0" borderId="91" xfId="59" applyNumberFormat="1" applyFont="1" applyBorder="1">
      <alignment/>
      <protection/>
    </xf>
    <xf numFmtId="0" fontId="18" fillId="0" borderId="47" xfId="0" applyFont="1" applyBorder="1" applyAlignment="1">
      <alignment horizontal="center"/>
    </xf>
    <xf numFmtId="0" fontId="19" fillId="0" borderId="12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19" fillId="0" borderId="12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 vertical="center" wrapText="1"/>
    </xf>
    <xf numFmtId="0" fontId="18" fillId="37" borderId="89" xfId="0" applyFont="1" applyFill="1" applyBorder="1" applyAlignment="1">
      <alignment horizontal="center"/>
    </xf>
    <xf numFmtId="0" fontId="18" fillId="0" borderId="126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18" fillId="0" borderId="30" xfId="0" applyFont="1" applyBorder="1" applyAlignment="1">
      <alignment horizontal="center"/>
    </xf>
    <xf numFmtId="0" fontId="0" fillId="0" borderId="133" xfId="0" applyBorder="1" applyAlignment="1">
      <alignment/>
    </xf>
    <xf numFmtId="3" fontId="13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3" fontId="0" fillId="4" borderId="134" xfId="0" applyNumberFormat="1" applyFill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0" fillId="0" borderId="135" xfId="0" applyBorder="1" applyAlignment="1">
      <alignment/>
    </xf>
    <xf numFmtId="3" fontId="13" fillId="4" borderId="43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4" borderId="31" xfId="0" applyNumberFormat="1" applyFill="1" applyBorder="1" applyAlignment="1">
      <alignment/>
    </xf>
    <xf numFmtId="0" fontId="18" fillId="0" borderId="31" xfId="0" applyFont="1" applyBorder="1" applyAlignment="1">
      <alignment horizontal="center"/>
    </xf>
    <xf numFmtId="0" fontId="21" fillId="0" borderId="44" xfId="0" applyFont="1" applyBorder="1" applyAlignment="1">
      <alignment/>
    </xf>
    <xf numFmtId="3" fontId="21" fillId="4" borderId="114" xfId="0" applyNumberFormat="1" applyFont="1" applyFill="1" applyBorder="1" applyAlignment="1">
      <alignment/>
    </xf>
    <xf numFmtId="3" fontId="21" fillId="38" borderId="91" xfId="0" applyNumberFormat="1" applyFont="1" applyFill="1" applyBorder="1" applyAlignment="1">
      <alignment/>
    </xf>
    <xf numFmtId="3" fontId="21" fillId="4" borderId="99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3" fontId="0" fillId="4" borderId="35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0" fontId="18" fillId="0" borderId="105" xfId="0" applyFont="1" applyBorder="1" applyAlignment="1">
      <alignment horizontal="center"/>
    </xf>
    <xf numFmtId="0" fontId="0" fillId="0" borderId="43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0" fillId="0" borderId="37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4" borderId="126" xfId="0" applyNumberFormat="1" applyFill="1" applyBorder="1" applyAlignment="1">
      <alignment/>
    </xf>
    <xf numFmtId="0" fontId="18" fillId="0" borderId="130" xfId="0" applyFont="1" applyBorder="1" applyAlignment="1">
      <alignment horizontal="center"/>
    </xf>
    <xf numFmtId="0" fontId="21" fillId="0" borderId="94" xfId="0" applyFont="1" applyBorder="1" applyAlignment="1">
      <alignment/>
    </xf>
    <xf numFmtId="3" fontId="21" fillId="4" borderId="93" xfId="0" applyNumberFormat="1" applyFont="1" applyFill="1" applyBorder="1" applyAlignment="1">
      <alignment/>
    </xf>
    <xf numFmtId="3" fontId="21" fillId="38" borderId="107" xfId="0" applyNumberFormat="1" applyFont="1" applyFill="1" applyBorder="1" applyAlignment="1">
      <alignment/>
    </xf>
    <xf numFmtId="3" fontId="21" fillId="4" borderId="94" xfId="0" applyNumberFormat="1" applyFont="1" applyFill="1" applyBorder="1" applyAlignment="1">
      <alignment/>
    </xf>
    <xf numFmtId="0" fontId="18" fillId="0" borderId="89" xfId="0" applyFont="1" applyBorder="1" applyAlignment="1">
      <alignment horizontal="center" vertical="center"/>
    </xf>
    <xf numFmtId="0" fontId="0" fillId="0" borderId="134" xfId="0" applyBorder="1" applyAlignment="1">
      <alignment/>
    </xf>
    <xf numFmtId="3" fontId="0" fillId="0" borderId="136" xfId="0" applyNumberFormat="1" applyBorder="1" applyAlignment="1">
      <alignment/>
    </xf>
    <xf numFmtId="3" fontId="0" fillId="39" borderId="72" xfId="0" applyNumberFormat="1" applyFill="1" applyBorder="1" applyAlignment="1">
      <alignment/>
    </xf>
    <xf numFmtId="3" fontId="0" fillId="39" borderId="18" xfId="0" applyNumberFormat="1" applyFill="1" applyBorder="1" applyAlignment="1">
      <alignment/>
    </xf>
    <xf numFmtId="3" fontId="0" fillId="39" borderId="34" xfId="0" applyNumberFormat="1" applyFill="1" applyBorder="1" applyAlignment="1">
      <alignment/>
    </xf>
    <xf numFmtId="3" fontId="0" fillId="39" borderId="36" xfId="0" applyNumberFormat="1" applyFill="1" applyBorder="1" applyAlignment="1">
      <alignment/>
    </xf>
    <xf numFmtId="3" fontId="0" fillId="4" borderId="137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138" xfId="0" applyBorder="1" applyAlignment="1">
      <alignment/>
    </xf>
    <xf numFmtId="3" fontId="0" fillId="39" borderId="91" xfId="0" applyNumberFormat="1" applyFill="1" applyBorder="1" applyAlignment="1">
      <alignment/>
    </xf>
    <xf numFmtId="3" fontId="0" fillId="39" borderId="103" xfId="0" applyNumberFormat="1" applyFill="1" applyBorder="1" applyAlignment="1">
      <alignment/>
    </xf>
    <xf numFmtId="0" fontId="0" fillId="0" borderId="139" xfId="0" applyBorder="1" applyAlignment="1">
      <alignment horizontal="left"/>
    </xf>
    <xf numFmtId="3" fontId="0" fillId="39" borderId="107" xfId="0" applyNumberFormat="1" applyFill="1" applyBorder="1" applyAlignment="1">
      <alignment/>
    </xf>
    <xf numFmtId="3" fontId="0" fillId="39" borderId="36" xfId="0" applyNumberFormat="1" applyFill="1" applyBorder="1" applyAlignment="1">
      <alignment horizontal="right" vertical="center"/>
    </xf>
    <xf numFmtId="3" fontId="0" fillId="39" borderId="17" xfId="0" applyNumberFormat="1" applyFill="1" applyBorder="1" applyAlignment="1">
      <alignment/>
    </xf>
    <xf numFmtId="3" fontId="21" fillId="39" borderId="91" xfId="0" applyNumberFormat="1" applyFont="1" applyFill="1" applyBorder="1" applyAlignment="1">
      <alignment/>
    </xf>
    <xf numFmtId="3" fontId="0" fillId="39" borderId="140" xfId="0" applyNumberFormat="1" applyFill="1" applyBorder="1" applyAlignment="1">
      <alignment horizontal="right" vertical="center"/>
    </xf>
    <xf numFmtId="0" fontId="18" fillId="0" borderId="141" xfId="0" applyFont="1" applyBorder="1" applyAlignment="1">
      <alignment horizontal="center"/>
    </xf>
    <xf numFmtId="0" fontId="0" fillId="0" borderId="35" xfId="0" applyBorder="1" applyAlignment="1">
      <alignment horizontal="left" wrapText="1"/>
    </xf>
    <xf numFmtId="3" fontId="0" fillId="39" borderId="101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4" borderId="30" xfId="0" applyNumberFormat="1" applyFill="1" applyBorder="1" applyAlignment="1">
      <alignment/>
    </xf>
    <xf numFmtId="3" fontId="0" fillId="4" borderId="138" xfId="0" applyNumberFormat="1" applyFill="1" applyBorder="1" applyAlignment="1">
      <alignment horizontal="right" vertical="center"/>
    </xf>
    <xf numFmtId="3" fontId="0" fillId="4" borderId="135" xfId="0" applyNumberFormat="1" applyFill="1" applyBorder="1" applyAlignment="1">
      <alignment/>
    </xf>
    <xf numFmtId="3" fontId="0" fillId="39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38" xfId="0" applyNumberFormat="1" applyFill="1" applyBorder="1" applyAlignment="1">
      <alignment/>
    </xf>
    <xf numFmtId="3" fontId="21" fillId="39" borderId="14" xfId="0" applyNumberFormat="1" applyFont="1" applyFill="1" applyBorder="1" applyAlignment="1">
      <alignment/>
    </xf>
    <xf numFmtId="0" fontId="0" fillId="0" borderId="123" xfId="0" applyBorder="1" applyAlignment="1">
      <alignment horizontal="left"/>
    </xf>
    <xf numFmtId="3" fontId="0" fillId="39" borderId="142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23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21" fillId="39" borderId="22" xfId="0" applyNumberFormat="1" applyFont="1" applyFill="1" applyBorder="1" applyAlignment="1">
      <alignment/>
    </xf>
    <xf numFmtId="3" fontId="0" fillId="39" borderId="22" xfId="0" applyNumberFormat="1" applyFill="1" applyBorder="1" applyAlignment="1">
      <alignment/>
    </xf>
    <xf numFmtId="3" fontId="0" fillId="39" borderId="23" xfId="0" applyNumberFormat="1" applyFill="1" applyBorder="1" applyAlignment="1">
      <alignment/>
    </xf>
    <xf numFmtId="3" fontId="21" fillId="39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9" borderId="42" xfId="0" applyNumberFormat="1" applyFill="1" applyBorder="1" applyAlignment="1">
      <alignment/>
    </xf>
    <xf numFmtId="3" fontId="0" fillId="39" borderId="41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18" fillId="0" borderId="126" xfId="0" applyFont="1" applyBorder="1" applyAlignment="1">
      <alignment horizontal="center"/>
    </xf>
    <xf numFmtId="0" fontId="21" fillId="0" borderId="67" xfId="0" applyFont="1" applyBorder="1" applyAlignment="1">
      <alignment/>
    </xf>
    <xf numFmtId="3" fontId="21" fillId="4" borderId="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21" fillId="38" borderId="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 horizontal="center"/>
    </xf>
    <xf numFmtId="3" fontId="21" fillId="4" borderId="58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1" fillId="0" borderId="78" xfId="0" applyFont="1" applyBorder="1" applyAlignment="1">
      <alignment/>
    </xf>
    <xf numFmtId="3" fontId="21" fillId="35" borderId="75" xfId="0" applyNumberFormat="1" applyFont="1" applyFill="1" applyBorder="1" applyAlignment="1">
      <alignment/>
    </xf>
    <xf numFmtId="3" fontId="0" fillId="35" borderId="75" xfId="0" applyNumberFormat="1" applyFill="1" applyBorder="1" applyAlignment="1">
      <alignment/>
    </xf>
    <xf numFmtId="3" fontId="0" fillId="35" borderId="75" xfId="0" applyNumberFormat="1" applyFill="1" applyBorder="1" applyAlignment="1">
      <alignment horizontal="center"/>
    </xf>
    <xf numFmtId="3" fontId="21" fillId="35" borderId="106" xfId="0" applyNumberFormat="1" applyFont="1" applyFill="1" applyBorder="1" applyAlignment="1">
      <alignment/>
    </xf>
    <xf numFmtId="3" fontId="0" fillId="35" borderId="72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0" fillId="0" borderId="58" xfId="0" applyBorder="1" applyAlignment="1">
      <alignment vertical="center"/>
    </xf>
    <xf numFmtId="3" fontId="21" fillId="4" borderId="133" xfId="0" applyNumberFormat="1" applyFont="1" applyFill="1" applyBorder="1" applyAlignment="1">
      <alignment/>
    </xf>
    <xf numFmtId="3" fontId="21" fillId="4" borderId="143" xfId="0" applyNumberFormat="1" applyFont="1" applyFill="1" applyBorder="1" applyAlignment="1">
      <alignment/>
    </xf>
    <xf numFmtId="3" fontId="21" fillId="39" borderId="103" xfId="0" applyNumberFormat="1" applyFont="1" applyFill="1" applyBorder="1" applyAlignment="1">
      <alignment/>
    </xf>
    <xf numFmtId="0" fontId="18" fillId="0" borderId="130" xfId="0" applyFont="1" applyBorder="1" applyAlignment="1">
      <alignment horizontal="center" vertical="center"/>
    </xf>
    <xf numFmtId="0" fontId="21" fillId="0" borderId="93" xfId="0" applyFont="1" applyBorder="1" applyAlignment="1">
      <alignment/>
    </xf>
    <xf numFmtId="3" fontId="21" fillId="38" borderId="144" xfId="0" applyNumberFormat="1" applyFont="1" applyFill="1" applyBorder="1" applyAlignment="1">
      <alignment horizontal="right"/>
    </xf>
    <xf numFmtId="0" fontId="21" fillId="35" borderId="78" xfId="0" applyFont="1" applyFill="1" applyBorder="1" applyAlignment="1">
      <alignment/>
    </xf>
    <xf numFmtId="0" fontId="18" fillId="37" borderId="89" xfId="0" applyFont="1" applyFill="1" applyBorder="1" applyAlignment="1">
      <alignment horizontal="center" vertical="center"/>
    </xf>
    <xf numFmtId="0" fontId="0" fillId="0" borderId="145" xfId="0" applyBorder="1" applyAlignment="1">
      <alignment vertical="center"/>
    </xf>
    <xf numFmtId="3" fontId="13" fillId="4" borderId="37" xfId="0" applyNumberFormat="1" applyFont="1" applyFill="1" applyBorder="1" applyAlignment="1">
      <alignment horizontal="right"/>
    </xf>
    <xf numFmtId="3" fontId="0" fillId="39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0" fillId="0" borderId="47" xfId="0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0" fontId="16" fillId="0" borderId="22" xfId="0" applyFont="1" applyBorder="1" applyAlignment="1">
      <alignment vertical="center" wrapText="1"/>
    </xf>
    <xf numFmtId="166" fontId="16" fillId="0" borderId="22" xfId="0" applyNumberFormat="1" applyFont="1" applyBorder="1" applyAlignment="1">
      <alignment vertical="center"/>
    </xf>
    <xf numFmtId="166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166" fontId="119" fillId="0" borderId="22" xfId="0" applyNumberFormat="1" applyFont="1" applyBorder="1" applyAlignment="1">
      <alignment vertical="center"/>
    </xf>
    <xf numFmtId="3" fontId="13" fillId="4" borderId="139" xfId="0" applyNumberFormat="1" applyFont="1" applyFill="1" applyBorder="1" applyAlignment="1">
      <alignment horizontal="right"/>
    </xf>
    <xf numFmtId="3" fontId="0" fillId="39" borderId="39" xfId="0" applyNumberFormat="1" applyFill="1" applyBorder="1" applyAlignment="1">
      <alignment horizontal="right" vertical="center"/>
    </xf>
    <xf numFmtId="3" fontId="0" fillId="39" borderId="32" xfId="0" applyNumberFormat="1" applyFill="1" applyBorder="1" applyAlignment="1">
      <alignment/>
    </xf>
    <xf numFmtId="3" fontId="0" fillId="39" borderId="101" xfId="0" applyNumberFormat="1" applyFill="1" applyBorder="1" applyAlignment="1">
      <alignment/>
    </xf>
    <xf numFmtId="3" fontId="0" fillId="39" borderId="38" xfId="0" applyNumberFormat="1" applyFill="1" applyBorder="1" applyAlignment="1">
      <alignment/>
    </xf>
    <xf numFmtId="0" fontId="0" fillId="0" borderId="39" xfId="0" applyBorder="1" applyAlignment="1">
      <alignment horizontal="right"/>
    </xf>
    <xf numFmtId="3" fontId="0" fillId="39" borderId="40" xfId="0" applyNumberFormat="1" applyFill="1" applyBorder="1" applyAlignment="1">
      <alignment/>
    </xf>
    <xf numFmtId="0" fontId="18" fillId="0" borderId="89" xfId="0" applyFont="1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42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18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7" xfId="0" applyNumberFormat="1" applyFont="1" applyFill="1" applyBorder="1" applyAlignment="1">
      <alignment horizontal="center" vertical="center"/>
    </xf>
    <xf numFmtId="49" fontId="20" fillId="0" borderId="139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64" fillId="0" borderId="140" xfId="0" applyFont="1" applyFill="1" applyBorder="1" applyAlignment="1">
      <alignment horizontal="center" vertical="center" wrapText="1"/>
    </xf>
    <xf numFmtId="0" fontId="64" fillId="0" borderId="101" xfId="0" applyFont="1" applyFill="1" applyBorder="1" applyAlignment="1">
      <alignment horizontal="center" vertical="center" wrapText="1"/>
    </xf>
    <xf numFmtId="0" fontId="64" fillId="0" borderId="10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0" fillId="0" borderId="146" xfId="0" applyFont="1" applyFill="1" applyBorder="1" applyAlignment="1">
      <alignment horizontal="center" vertical="center"/>
    </xf>
    <xf numFmtId="0" fontId="20" fillId="0" borderId="147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20" fillId="0" borderId="148" xfId="0" applyFont="1" applyFill="1" applyBorder="1" applyAlignment="1">
      <alignment horizontal="center" vertical="center" wrapText="1"/>
    </xf>
    <xf numFmtId="0" fontId="20" fillId="0" borderId="14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6" fillId="0" borderId="135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38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46" fillId="0" borderId="133" xfId="0" applyNumberFormat="1" applyFont="1" applyFill="1" applyBorder="1" applyAlignment="1">
      <alignment horizontal="left" vertical="center"/>
    </xf>
    <xf numFmtId="49" fontId="46" fillId="0" borderId="147" xfId="0" applyNumberFormat="1" applyFont="1" applyFill="1" applyBorder="1" applyAlignment="1">
      <alignment horizontal="left" vertical="center"/>
    </xf>
    <xf numFmtId="49" fontId="46" fillId="0" borderId="150" xfId="0" applyNumberFormat="1" applyFont="1" applyFill="1" applyBorder="1" applyAlignment="1">
      <alignment horizontal="left" vertical="center"/>
    </xf>
    <xf numFmtId="0" fontId="60" fillId="0" borderId="143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116" fillId="0" borderId="114" xfId="60" applyFont="1" applyFill="1" applyBorder="1" applyAlignment="1">
      <alignment horizontal="left" vertical="center"/>
      <protection/>
    </xf>
    <xf numFmtId="0" fontId="116" fillId="0" borderId="116" xfId="60" applyFont="1" applyFill="1" applyBorder="1" applyAlignment="1">
      <alignment horizontal="left" vertical="center"/>
      <protection/>
    </xf>
    <xf numFmtId="0" fontId="116" fillId="0" borderId="104" xfId="60" applyFont="1" applyFill="1" applyBorder="1" applyAlignment="1">
      <alignment horizontal="left" vertical="center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116" fillId="0" borderId="114" xfId="60" applyFont="1" applyFill="1" applyBorder="1" applyAlignment="1">
      <alignment horizontal="left" vertical="center" wrapText="1"/>
      <protection/>
    </xf>
    <xf numFmtId="0" fontId="116" fillId="0" borderId="116" xfId="60" applyFont="1" applyFill="1" applyBorder="1" applyAlignment="1">
      <alignment horizontal="left" vertical="center" wrapText="1"/>
      <protection/>
    </xf>
    <xf numFmtId="0" fontId="116" fillId="0" borderId="104" xfId="60" applyFont="1" applyFill="1" applyBorder="1" applyAlignment="1">
      <alignment horizontal="left" vertical="center" wrapText="1"/>
      <protection/>
    </xf>
    <xf numFmtId="0" fontId="20" fillId="0" borderId="72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85" xfId="60" applyFont="1" applyFill="1" applyBorder="1" applyAlignment="1">
      <alignment horizontal="center" vertical="center"/>
      <protection/>
    </xf>
    <xf numFmtId="49" fontId="20" fillId="0" borderId="137" xfId="60" applyNumberFormat="1" applyFont="1" applyFill="1" applyBorder="1" applyAlignment="1">
      <alignment horizontal="center" vertical="center"/>
      <protection/>
    </xf>
    <xf numFmtId="49" fontId="20" fillId="0" borderId="139" xfId="60" applyNumberFormat="1" applyFont="1" applyFill="1" applyBorder="1" applyAlignment="1">
      <alignment horizontal="center" vertical="center"/>
      <protection/>
    </xf>
    <xf numFmtId="49" fontId="20" fillId="0" borderId="151" xfId="60" applyNumberFormat="1" applyFont="1" applyFill="1" applyBorder="1" applyAlignment="1">
      <alignment horizontal="center" vertical="center"/>
      <protection/>
    </xf>
    <xf numFmtId="0" fontId="15" fillId="0" borderId="116" xfId="60" applyFont="1" applyFill="1" applyBorder="1" applyAlignment="1">
      <alignment horizontal="center" vertical="center"/>
      <protection/>
    </xf>
    <xf numFmtId="0" fontId="15" fillId="0" borderId="104" xfId="60" applyFont="1" applyFill="1" applyBorder="1" applyAlignment="1">
      <alignment horizontal="center" vertical="center"/>
      <protection/>
    </xf>
    <xf numFmtId="3" fontId="43" fillId="0" borderId="41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Alignment="1">
      <alignment horizontal="right"/>
      <protection/>
    </xf>
    <xf numFmtId="0" fontId="17" fillId="0" borderId="118" xfId="60" applyFont="1" applyFill="1" applyBorder="1" applyAlignment="1">
      <alignment horizontal="center" vertical="center" wrapText="1"/>
      <protection/>
    </xf>
    <xf numFmtId="0" fontId="17" fillId="0" borderId="126" xfId="60" applyFont="1" applyFill="1" applyBorder="1" applyAlignment="1">
      <alignment horizontal="center" vertical="center" wrapText="1"/>
      <protection/>
    </xf>
    <xf numFmtId="0" fontId="17" fillId="0" borderId="117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59" xfId="60" applyFont="1" applyFill="1" applyBorder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46" xfId="60" applyFont="1" applyFill="1" applyBorder="1" applyAlignment="1">
      <alignment horizontal="center" vertical="center" wrapText="1"/>
      <protection/>
    </xf>
    <xf numFmtId="3" fontId="15" fillId="0" borderId="120" xfId="59" applyNumberFormat="1" applyFont="1" applyBorder="1" applyAlignment="1">
      <alignment horizontal="right" vertical="center"/>
      <protection/>
    </xf>
    <xf numFmtId="3" fontId="15" fillId="0" borderId="124" xfId="59" applyNumberFormat="1" applyFont="1" applyBorder="1" applyAlignment="1">
      <alignment horizontal="right" vertical="center"/>
      <protection/>
    </xf>
    <xf numFmtId="0" fontId="22" fillId="0" borderId="114" xfId="59" applyFont="1" applyBorder="1" applyAlignment="1">
      <alignment horizontal="left" vertical="center"/>
      <protection/>
    </xf>
    <xf numFmtId="0" fontId="22" fillId="0" borderId="116" xfId="59" applyFont="1" applyBorder="1" applyAlignment="1">
      <alignment horizontal="left" vertical="center"/>
      <protection/>
    </xf>
    <xf numFmtId="0" fontId="22" fillId="0" borderId="6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6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6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22" fillId="0" borderId="59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 horizontal="right" vertical="center"/>
      <protection/>
    </xf>
    <xf numFmtId="3" fontId="15" fillId="0" borderId="118" xfId="59" applyNumberFormat="1" applyFont="1" applyBorder="1" applyAlignment="1">
      <alignment horizontal="right" vertical="center"/>
      <protection/>
    </xf>
    <xf numFmtId="3" fontId="15" fillId="0" borderId="126" xfId="59" applyNumberFormat="1" applyFont="1" applyBorder="1" applyAlignment="1">
      <alignment horizontal="right" vertical="center"/>
      <protection/>
    </xf>
    <xf numFmtId="0" fontId="60" fillId="36" borderId="95" xfId="59" applyFont="1" applyFill="1" applyBorder="1" applyAlignment="1">
      <alignment vertical="center"/>
      <protection/>
    </xf>
    <xf numFmtId="0" fontId="60" fillId="36" borderId="152" xfId="59" applyFont="1" applyFill="1" applyBorder="1" applyAlignment="1">
      <alignment vertical="center"/>
      <protection/>
    </xf>
    <xf numFmtId="0" fontId="22" fillId="0" borderId="119" xfId="59" applyFont="1" applyBorder="1" applyAlignment="1">
      <alignment horizontal="left" wrapText="1"/>
      <protection/>
    </xf>
    <xf numFmtId="0" fontId="22" fillId="0" borderId="54" xfId="59" applyFont="1" applyBorder="1" applyAlignment="1">
      <alignment horizontal="left" wrapText="1"/>
      <protection/>
    </xf>
    <xf numFmtId="0" fontId="22" fillId="0" borderId="50" xfId="59" applyFont="1" applyBorder="1" applyAlignment="1">
      <alignment horizontal="left" wrapText="1"/>
      <protection/>
    </xf>
    <xf numFmtId="0" fontId="22" fillId="0" borderId="119" xfId="59" applyFont="1" applyBorder="1" applyAlignment="1">
      <alignment horizontal="left" vertical="center" wrapText="1"/>
      <protection/>
    </xf>
    <xf numFmtId="0" fontId="22" fillId="0" borderId="54" xfId="59" applyFont="1" applyBorder="1" applyAlignment="1">
      <alignment horizontal="left" vertical="center" wrapText="1"/>
      <protection/>
    </xf>
    <xf numFmtId="3" fontId="15" fillId="0" borderId="153" xfId="59" applyNumberFormat="1" applyFont="1" applyBorder="1" applyAlignment="1">
      <alignment horizontal="right" vertical="center"/>
      <protection/>
    </xf>
    <xf numFmtId="3" fontId="15" fillId="0" borderId="117" xfId="59" applyNumberFormat="1" applyFont="1" applyBorder="1" applyAlignment="1">
      <alignment horizontal="right" vertical="center"/>
      <protection/>
    </xf>
    <xf numFmtId="0" fontId="22" fillId="0" borderId="119" xfId="59" applyFont="1" applyBorder="1" applyAlignment="1">
      <alignment horizontal="left" vertical="center"/>
      <protection/>
    </xf>
    <xf numFmtId="0" fontId="22" fillId="0" borderId="54" xfId="59" applyFont="1" applyBorder="1" applyAlignment="1">
      <alignment horizontal="left" vertical="center"/>
      <protection/>
    </xf>
    <xf numFmtId="3" fontId="15" fillId="0" borderId="77" xfId="59" applyNumberFormat="1" applyFont="1" applyBorder="1" applyAlignment="1">
      <alignment horizontal="right" vertical="center"/>
      <protection/>
    </xf>
    <xf numFmtId="0" fontId="22" fillId="0" borderId="6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60" fillId="0" borderId="63" xfId="59" applyFont="1" applyBorder="1" applyAlignment="1">
      <alignment horizontal="center" wrapText="1"/>
      <protection/>
    </xf>
    <xf numFmtId="0" fontId="60" fillId="0" borderId="47" xfId="59" applyFont="1" applyBorder="1" applyAlignment="1">
      <alignment horizontal="center" wrapText="1"/>
      <protection/>
    </xf>
    <xf numFmtId="0" fontId="60" fillId="0" borderId="84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6" fillId="0" borderId="0" xfId="0" applyFont="1" applyAlignment="1">
      <alignment/>
    </xf>
    <xf numFmtId="0" fontId="15" fillId="0" borderId="63" xfId="60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 vertical="center" wrapText="1"/>
    </xf>
    <xf numFmtId="0" fontId="15" fillId="0" borderId="154" xfId="60" applyFont="1" applyFill="1" applyBorder="1" applyAlignment="1">
      <alignment horizontal="center" vertical="center" wrapText="1"/>
      <protection/>
    </xf>
    <xf numFmtId="0" fontId="18" fillId="0" borderId="155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45" fillId="0" borderId="0" xfId="60" applyFont="1" applyFill="1" applyAlignment="1">
      <alignment horizontal="center" vertical="center" wrapText="1"/>
      <protection/>
    </xf>
    <xf numFmtId="0" fontId="22" fillId="0" borderId="119" xfId="59" applyFont="1" applyBorder="1" applyAlignment="1">
      <alignment horizontal="left"/>
      <protection/>
    </xf>
    <xf numFmtId="0" fontId="22" fillId="0" borderId="54" xfId="59" applyFont="1" applyBorder="1" applyAlignment="1">
      <alignment horizontal="left"/>
      <protection/>
    </xf>
    <xf numFmtId="0" fontId="60" fillId="0" borderId="62" xfId="60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/>
    </xf>
    <xf numFmtId="0" fontId="18" fillId="0" borderId="98" xfId="0" applyFont="1" applyBorder="1" applyAlignment="1">
      <alignment/>
    </xf>
    <xf numFmtId="0" fontId="18" fillId="0" borderId="15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6" xfId="0" applyFont="1" applyBorder="1" applyAlignment="1">
      <alignment/>
    </xf>
    <xf numFmtId="0" fontId="22" fillId="0" borderId="78" xfId="59" applyFont="1" applyBorder="1" applyAlignment="1">
      <alignment horizontal="left" vertical="center"/>
      <protection/>
    </xf>
    <xf numFmtId="0" fontId="22" fillId="0" borderId="75" xfId="59" applyFont="1" applyBorder="1" applyAlignment="1">
      <alignment horizontal="left" vertical="center"/>
      <protection/>
    </xf>
    <xf numFmtId="0" fontId="60" fillId="0" borderId="47" xfId="60" applyFont="1" applyFill="1" applyBorder="1" applyAlignment="1">
      <alignment horizontal="center" vertical="center" wrapText="1"/>
      <protection/>
    </xf>
    <xf numFmtId="0" fontId="60" fillId="0" borderId="98" xfId="60" applyFont="1" applyFill="1" applyBorder="1" applyAlignment="1">
      <alignment horizontal="center" vertical="center" wrapText="1"/>
      <protection/>
    </xf>
    <xf numFmtId="0" fontId="60" fillId="0" borderId="157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46" xfId="60" applyFont="1" applyFill="1" applyBorder="1" applyAlignment="1">
      <alignment horizontal="center" vertical="center" wrapText="1"/>
      <protection/>
    </xf>
    <xf numFmtId="0" fontId="15" fillId="0" borderId="69" xfId="60" applyFont="1" applyFill="1" applyBorder="1" applyAlignment="1">
      <alignment horizontal="center" vertical="center" wrapText="1"/>
      <protection/>
    </xf>
    <xf numFmtId="0" fontId="18" fillId="0" borderId="65" xfId="0" applyFont="1" applyBorder="1" applyAlignment="1">
      <alignment/>
    </xf>
    <xf numFmtId="0" fontId="60" fillId="0" borderId="63" xfId="59" applyFont="1" applyBorder="1" applyAlignment="1">
      <alignment horizontal="center" vertical="center"/>
      <protection/>
    </xf>
    <xf numFmtId="0" fontId="18" fillId="0" borderId="47" xfId="59" applyFont="1" applyBorder="1" applyAlignment="1">
      <alignment horizontal="center" vertical="center"/>
      <protection/>
    </xf>
    <xf numFmtId="0" fontId="18" fillId="0" borderId="98" xfId="59" applyFont="1" applyBorder="1" applyAlignment="1">
      <alignment horizontal="center" vertical="center"/>
      <protection/>
    </xf>
    <xf numFmtId="0" fontId="18" fillId="0" borderId="84" xfId="59" applyFont="1" applyBorder="1" applyAlignment="1">
      <alignment horizontal="center" vertical="center"/>
      <protection/>
    </xf>
    <xf numFmtId="0" fontId="18" fillId="0" borderId="33" xfId="59" applyFont="1" applyBorder="1" applyAlignment="1">
      <alignment horizontal="center" vertical="center"/>
      <protection/>
    </xf>
    <xf numFmtId="0" fontId="18" fillId="0" borderId="46" xfId="59" applyFont="1" applyBorder="1" applyAlignment="1">
      <alignment horizontal="center" vertical="center"/>
      <protection/>
    </xf>
    <xf numFmtId="3" fontId="15" fillId="0" borderId="118" xfId="59" applyNumberFormat="1" applyFont="1" applyBorder="1" applyAlignment="1">
      <alignment horizontal="right" vertical="center" wrapText="1"/>
      <protection/>
    </xf>
    <xf numFmtId="3" fontId="15" fillId="0" borderId="126" xfId="59" applyNumberFormat="1" applyFont="1" applyBorder="1" applyAlignment="1">
      <alignment horizontal="right" vertical="center" wrapText="1"/>
      <protection/>
    </xf>
    <xf numFmtId="0" fontId="22" fillId="0" borderId="55" xfId="59" applyFont="1" applyBorder="1" applyAlignment="1">
      <alignment horizontal="left" wrapText="1"/>
      <protection/>
    </xf>
    <xf numFmtId="3" fontId="15" fillId="0" borderId="120" xfId="59" applyNumberFormat="1" applyFont="1" applyBorder="1" applyAlignment="1">
      <alignment horizontal="center" vertical="center"/>
      <protection/>
    </xf>
    <xf numFmtId="3" fontId="15" fillId="0" borderId="124" xfId="59" applyNumberFormat="1" applyFont="1" applyBorder="1" applyAlignment="1">
      <alignment horizontal="center" vertical="center"/>
      <protection/>
    </xf>
    <xf numFmtId="0" fontId="22" fillId="0" borderId="157" xfId="59" applyFont="1" applyBorder="1" applyAlignment="1">
      <alignment horizontal="left" wrapText="1"/>
      <protection/>
    </xf>
    <xf numFmtId="0" fontId="22" fillId="0" borderId="33" xfId="59" applyFont="1" applyBorder="1" applyAlignment="1">
      <alignment horizontal="left" wrapText="1"/>
      <protection/>
    </xf>
    <xf numFmtId="3" fontId="15" fillId="0" borderId="119" xfId="59" applyNumberFormat="1" applyFont="1" applyBorder="1" applyAlignment="1">
      <alignment horizontal="right" vertical="center"/>
      <protection/>
    </xf>
    <xf numFmtId="3" fontId="15" fillId="0" borderId="67" xfId="59" applyNumberFormat="1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2" xfId="59" applyFont="1" applyBorder="1" applyAlignment="1">
      <alignment horizontal="right"/>
      <protection/>
    </xf>
    <xf numFmtId="0" fontId="22" fillId="0" borderId="62" xfId="59" applyFont="1" applyBorder="1" applyAlignment="1">
      <alignment horizontal="left" vertical="center"/>
      <protection/>
    </xf>
    <xf numFmtId="0" fontId="22" fillId="0" borderId="47" xfId="59" applyFont="1" applyBorder="1" applyAlignment="1">
      <alignment horizontal="left" vertical="center"/>
      <protection/>
    </xf>
    <xf numFmtId="0" fontId="15" fillId="36" borderId="108" xfId="59" applyFont="1" applyFill="1" applyBorder="1" applyAlignment="1">
      <alignment horizontal="right" vertical="center" wrapText="1"/>
      <protection/>
    </xf>
    <xf numFmtId="0" fontId="18" fillId="36" borderId="95" xfId="0" applyFont="1" applyFill="1" applyBorder="1" applyAlignment="1">
      <alignment horizontal="right" vertical="center" wrapText="1"/>
    </xf>
    <xf numFmtId="0" fontId="18" fillId="36" borderId="121" xfId="0" applyFont="1" applyFill="1" applyBorder="1" applyAlignment="1">
      <alignment horizontal="right" vertical="center" wrapText="1"/>
    </xf>
    <xf numFmtId="0" fontId="15" fillId="36" borderId="95" xfId="59" applyFont="1" applyFill="1" applyBorder="1" applyAlignment="1">
      <alignment vertical="center"/>
      <protection/>
    </xf>
    <xf numFmtId="0" fontId="15" fillId="36" borderId="95" xfId="0" applyFont="1" applyFill="1" applyBorder="1" applyAlignment="1">
      <alignment vertical="center"/>
    </xf>
    <xf numFmtId="0" fontId="15" fillId="36" borderId="152" xfId="0" applyFont="1" applyFill="1" applyBorder="1" applyAlignment="1">
      <alignment vertical="center"/>
    </xf>
    <xf numFmtId="0" fontId="22" fillId="0" borderId="63" xfId="59" applyFont="1" applyBorder="1" applyAlignment="1">
      <alignment horizontal="left"/>
      <protection/>
    </xf>
    <xf numFmtId="0" fontId="22" fillId="0" borderId="47" xfId="59" applyFont="1" applyBorder="1" applyAlignment="1">
      <alignment horizontal="left"/>
      <protection/>
    </xf>
    <xf numFmtId="0" fontId="61" fillId="0" borderId="74" xfId="59" applyFont="1" applyBorder="1" applyAlignment="1">
      <alignment horizontal="left" vertical="center"/>
      <protection/>
    </xf>
    <xf numFmtId="0" fontId="61" fillId="0" borderId="75" xfId="59" applyFont="1" applyBorder="1" applyAlignment="1">
      <alignment horizontal="left" vertical="center"/>
      <protection/>
    </xf>
    <xf numFmtId="0" fontId="18" fillId="0" borderId="73" xfId="0" applyFont="1" applyBorder="1" applyAlignment="1">
      <alignment/>
    </xf>
    <xf numFmtId="0" fontId="15" fillId="0" borderId="62" xfId="60" applyFont="1" applyFill="1" applyBorder="1" applyAlignment="1">
      <alignment horizontal="center" vertical="center" wrapText="1"/>
      <protection/>
    </xf>
    <xf numFmtId="0" fontId="23" fillId="0" borderId="75" xfId="59" applyFont="1" applyBorder="1" applyAlignment="1">
      <alignment horizontal="right" vertical="center"/>
      <protection/>
    </xf>
    <xf numFmtId="0" fontId="23" fillId="0" borderId="158" xfId="59" applyFont="1" applyBorder="1" applyAlignment="1">
      <alignment horizontal="right" vertical="center"/>
      <protection/>
    </xf>
    <xf numFmtId="3" fontId="15" fillId="0" borderId="62" xfId="59" applyNumberFormat="1" applyFont="1" applyBorder="1" applyAlignment="1">
      <alignment horizontal="right" vertical="center"/>
      <protection/>
    </xf>
    <xf numFmtId="3" fontId="15" fillId="0" borderId="157" xfId="59" applyNumberFormat="1" applyFont="1" applyBorder="1" applyAlignment="1">
      <alignment horizontal="right" vertical="center"/>
      <protection/>
    </xf>
    <xf numFmtId="0" fontId="60" fillId="0" borderId="63" xfId="59" applyFont="1" applyBorder="1" applyAlignment="1">
      <alignment horizontal="center" vertical="center" wrapText="1"/>
      <protection/>
    </xf>
    <xf numFmtId="0" fontId="18" fillId="0" borderId="47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84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59" xfId="59" applyNumberFormat="1" applyFont="1" applyBorder="1" applyAlignment="1">
      <alignment horizontal="right" vertical="center"/>
      <protection/>
    </xf>
    <xf numFmtId="0" fontId="22" fillId="0" borderId="55" xfId="59" applyFont="1" applyBorder="1" applyAlignment="1">
      <alignment horizontal="center" vertical="center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22" fillId="0" borderId="59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center" vertical="center"/>
    </xf>
    <xf numFmtId="0" fontId="22" fillId="0" borderId="50" xfId="59" applyFont="1" applyBorder="1" applyAlignment="1">
      <alignment horizontal="left" vertical="center" wrapText="1"/>
      <protection/>
    </xf>
    <xf numFmtId="0" fontId="22" fillId="0" borderId="50" xfId="59" applyFont="1" applyBorder="1" applyAlignment="1">
      <alignment horizontal="left" vertical="center"/>
      <protection/>
    </xf>
    <xf numFmtId="0" fontId="46" fillId="0" borderId="159" xfId="59" applyFont="1" applyBorder="1" applyAlignment="1">
      <alignment horizontal="center"/>
      <protection/>
    </xf>
    <xf numFmtId="0" fontId="18" fillId="0" borderId="71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46" fillId="0" borderId="47" xfId="59" applyFont="1" applyBorder="1" applyAlignment="1">
      <alignment horizontal="center"/>
      <protection/>
    </xf>
    <xf numFmtId="0" fontId="18" fillId="0" borderId="47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60" fillId="36" borderId="108" xfId="59" applyFont="1" applyFill="1" applyBorder="1" applyAlignment="1">
      <alignment vertical="center" wrapText="1"/>
      <protection/>
    </xf>
    <xf numFmtId="0" fontId="14" fillId="36" borderId="95" xfId="0" applyFont="1" applyFill="1" applyBorder="1" applyAlignment="1">
      <alignment vertical="center" wrapText="1"/>
    </xf>
    <xf numFmtId="0" fontId="14" fillId="36" borderId="121" xfId="0" applyFont="1" applyFill="1" applyBorder="1" applyAlignment="1">
      <alignment vertical="center" wrapText="1"/>
    </xf>
    <xf numFmtId="0" fontId="15" fillId="0" borderId="75" xfId="59" applyFont="1" applyBorder="1" applyAlignment="1">
      <alignment/>
      <protection/>
    </xf>
    <xf numFmtId="0" fontId="15" fillId="0" borderId="75" xfId="0" applyFont="1" applyBorder="1" applyAlignment="1">
      <alignment/>
    </xf>
    <xf numFmtId="0" fontId="15" fillId="0" borderId="106" xfId="0" applyFont="1" applyBorder="1" applyAlignment="1">
      <alignment/>
    </xf>
    <xf numFmtId="0" fontId="22" fillId="0" borderId="50" xfId="59" applyFont="1" applyBorder="1" applyAlignment="1">
      <alignment horizontal="left"/>
      <protection/>
    </xf>
    <xf numFmtId="0" fontId="23" fillId="0" borderId="50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0" fontId="60" fillId="0" borderId="75" xfId="59" applyFont="1" applyBorder="1" applyAlignment="1">
      <alignment/>
      <protection/>
    </xf>
    <xf numFmtId="0" fontId="60" fillId="0" borderId="106" xfId="59" applyFont="1" applyBorder="1" applyAlignment="1">
      <alignment/>
      <protection/>
    </xf>
    <xf numFmtId="0" fontId="18" fillId="0" borderId="0" xfId="59" applyFont="1" applyAlignment="1">
      <alignment horizontal="center"/>
      <protection/>
    </xf>
    <xf numFmtId="0" fontId="60" fillId="0" borderId="65" xfId="60" applyFont="1" applyFill="1" applyBorder="1" applyAlignment="1">
      <alignment horizontal="center" vertical="center" wrapText="1"/>
      <protection/>
    </xf>
    <xf numFmtId="0" fontId="60" fillId="0" borderId="73" xfId="60" applyFont="1" applyFill="1" applyBorder="1" applyAlignment="1">
      <alignment horizontal="center" vertical="center" wrapText="1"/>
      <protection/>
    </xf>
    <xf numFmtId="0" fontId="61" fillId="0" borderId="6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15" fillId="0" borderId="118" xfId="59" applyNumberFormat="1" applyFont="1" applyBorder="1" applyAlignment="1">
      <alignment horizontal="center" vertical="center"/>
      <protection/>
    </xf>
    <xf numFmtId="3" fontId="15" fillId="0" borderId="126" xfId="59" applyNumberFormat="1" applyFont="1" applyBorder="1" applyAlignment="1">
      <alignment horizontal="center" vertical="center"/>
      <protection/>
    </xf>
    <xf numFmtId="3" fontId="15" fillId="0" borderId="119" xfId="59" applyNumberFormat="1" applyFont="1" applyBorder="1" applyAlignment="1">
      <alignment horizontal="center" vertical="center"/>
      <protection/>
    </xf>
    <xf numFmtId="3" fontId="15" fillId="0" borderId="157" xfId="59" applyNumberFormat="1" applyFont="1" applyBorder="1" applyAlignment="1">
      <alignment horizontal="center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116" xfId="59" applyFont="1" applyBorder="1" applyAlignment="1">
      <alignment horizontal="right"/>
      <protection/>
    </xf>
    <xf numFmtId="0" fontId="23" fillId="0" borderId="102" xfId="59" applyFont="1" applyBorder="1" applyAlignment="1">
      <alignment horizontal="right"/>
      <protection/>
    </xf>
    <xf numFmtId="0" fontId="22" fillId="0" borderId="55" xfId="59" applyFont="1" applyBorder="1" applyAlignment="1">
      <alignment horizontal="left"/>
      <protection/>
    </xf>
    <xf numFmtId="0" fontId="60" fillId="0" borderId="47" xfId="59" applyFont="1" applyBorder="1" applyAlignment="1">
      <alignment horizontal="center" vertical="center"/>
      <protection/>
    </xf>
    <xf numFmtId="0" fontId="60" fillId="0" borderId="98" xfId="59" applyFont="1" applyBorder="1" applyAlignment="1">
      <alignment horizontal="center" vertical="center"/>
      <protection/>
    </xf>
    <xf numFmtId="0" fontId="60" fillId="0" borderId="84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6" xfId="59" applyFont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41" fillId="0" borderId="0" xfId="0" applyFont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39" fillId="33" borderId="29" xfId="61" applyFont="1" applyFill="1" applyBorder="1" applyAlignment="1">
      <alignment horizontal="left"/>
      <protection/>
    </xf>
    <xf numFmtId="0" fontId="39" fillId="33" borderId="18" xfId="61" applyFont="1" applyFill="1" applyBorder="1" applyAlignment="1">
      <alignment horizontal="left"/>
      <protection/>
    </xf>
    <xf numFmtId="0" fontId="39" fillId="33" borderId="142" xfId="61" applyFont="1" applyFill="1" applyBorder="1" applyAlignment="1">
      <alignment horizontal="left"/>
      <protection/>
    </xf>
    <xf numFmtId="0" fontId="1" fillId="0" borderId="118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41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46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6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1" xfId="61" applyFont="1" applyFill="1" applyBorder="1" applyAlignment="1">
      <alignment horizontal="right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0" fillId="0" borderId="0" xfId="0" applyBorder="1" applyAlignment="1">
      <alignment horizontal="center"/>
    </xf>
    <xf numFmtId="3" fontId="21" fillId="35" borderId="159" xfId="0" applyNumberFormat="1" applyFont="1" applyFill="1" applyBorder="1" applyAlignment="1">
      <alignment horizontal="center"/>
    </xf>
    <xf numFmtId="3" fontId="21" fillId="35" borderId="71" xfId="0" applyNumberFormat="1" applyFont="1" applyFill="1" applyBorder="1" applyAlignment="1">
      <alignment horizontal="center"/>
    </xf>
    <xf numFmtId="3" fontId="21" fillId="35" borderId="90" xfId="0" applyNumberFormat="1" applyFont="1" applyFill="1" applyBorder="1" applyAlignment="1">
      <alignment horizontal="center"/>
    </xf>
    <xf numFmtId="0" fontId="69" fillId="0" borderId="62" xfId="0" applyFont="1" applyBorder="1" applyAlignment="1">
      <alignment horizontal="left" vertical="center" wrapText="1"/>
    </xf>
    <xf numFmtId="0" fontId="69" fillId="0" borderId="47" xfId="0" applyFont="1" applyBorder="1" applyAlignment="1">
      <alignment horizontal="left" vertical="center" wrapText="1"/>
    </xf>
    <xf numFmtId="0" fontId="69" fillId="0" borderId="98" xfId="0" applyFont="1" applyBorder="1" applyAlignment="1">
      <alignment horizontal="left" vertical="center" wrapText="1"/>
    </xf>
    <xf numFmtId="3" fontId="0" fillId="39" borderId="118" xfId="0" applyNumberFormat="1" applyFill="1" applyBorder="1" applyAlignment="1">
      <alignment horizontal="center"/>
    </xf>
    <xf numFmtId="3" fontId="0" fillId="39" borderId="126" xfId="0" applyNumberFormat="1" applyFill="1" applyBorder="1" applyAlignment="1">
      <alignment horizontal="center"/>
    </xf>
    <xf numFmtId="3" fontId="0" fillId="39" borderId="117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39" borderId="77" xfId="0" applyNumberFormat="1" applyFill="1" applyBorder="1" applyAlignment="1">
      <alignment horizontal="center"/>
    </xf>
    <xf numFmtId="0" fontId="69" fillId="0" borderId="160" xfId="0" applyFont="1" applyBorder="1" applyAlignment="1">
      <alignment horizontal="left" vertical="center" wrapText="1"/>
    </xf>
    <xf numFmtId="0" fontId="69" fillId="0" borderId="155" xfId="0" applyFont="1" applyBorder="1" applyAlignment="1">
      <alignment horizontal="left" vertical="center" wrapText="1"/>
    </xf>
    <xf numFmtId="0" fontId="68" fillId="40" borderId="88" xfId="0" applyFont="1" applyFill="1" applyBorder="1" applyAlignment="1">
      <alignment horizontal="center" vertical="center"/>
    </xf>
    <xf numFmtId="0" fontId="68" fillId="40" borderId="71" xfId="0" applyFont="1" applyFill="1" applyBorder="1" applyAlignment="1">
      <alignment horizontal="center" vertical="center"/>
    </xf>
    <xf numFmtId="0" fontId="68" fillId="40" borderId="161" xfId="0" applyFont="1" applyFill="1" applyBorder="1" applyAlignment="1">
      <alignment horizontal="center" vertical="center"/>
    </xf>
    <xf numFmtId="0" fontId="69" fillId="0" borderId="162" xfId="0" applyFont="1" applyBorder="1" applyAlignment="1">
      <alignment horizontal="left" vertical="center"/>
    </xf>
    <xf numFmtId="0" fontId="69" fillId="0" borderId="163" xfId="0" applyFont="1" applyBorder="1" applyAlignment="1">
      <alignment horizontal="left" vertical="center"/>
    </xf>
    <xf numFmtId="0" fontId="69" fillId="0" borderId="164" xfId="0" applyFont="1" applyBorder="1" applyAlignment="1">
      <alignment horizontal="left" vertical="center"/>
    </xf>
    <xf numFmtId="0" fontId="21" fillId="0" borderId="62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161" xfId="0" applyFill="1" applyBorder="1" applyAlignment="1">
      <alignment horizontal="center"/>
    </xf>
    <xf numFmtId="3" fontId="0" fillId="39" borderId="59" xfId="0" applyNumberFormat="1" applyFill="1" applyBorder="1" applyAlignment="1">
      <alignment horizontal="center"/>
    </xf>
    <xf numFmtId="3" fontId="0" fillId="39" borderId="58" xfId="0" applyNumberFormat="1" applyFill="1" applyBorder="1" applyAlignment="1">
      <alignment horizontal="center"/>
    </xf>
    <xf numFmtId="0" fontId="69" fillId="0" borderId="162" xfId="0" applyFont="1" applyBorder="1" applyAlignment="1">
      <alignment horizontal="left" vertical="center" wrapText="1"/>
    </xf>
    <xf numFmtId="0" fontId="69" fillId="0" borderId="163" xfId="0" applyFont="1" applyBorder="1" applyAlignment="1">
      <alignment horizontal="left" vertical="center" wrapText="1"/>
    </xf>
    <xf numFmtId="0" fontId="69" fillId="0" borderId="164" xfId="0" applyFont="1" applyBorder="1" applyAlignment="1">
      <alignment horizontal="left" vertical="center" wrapText="1"/>
    </xf>
    <xf numFmtId="3" fontId="0" fillId="4" borderId="137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6" fillId="0" borderId="119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138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46" xfId="0" applyFont="1" applyBorder="1" applyAlignment="1">
      <alignment horizontal="center" vertical="center" wrapText="1"/>
    </xf>
    <xf numFmtId="0" fontId="67" fillId="0" borderId="118" xfId="0" applyFont="1" applyBorder="1" applyAlignment="1">
      <alignment horizontal="center" vertical="center" wrapText="1"/>
    </xf>
    <xf numFmtId="0" fontId="67" fillId="0" borderId="126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47" fillId="0" borderId="0" xfId="0" applyFont="1" applyFill="1" applyBorder="1" applyAlignment="1">
      <alignment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tabSelected="1" zoomScale="120" zoomScaleNormal="120" zoomScalePageLayoutView="0" workbookViewId="0" topLeftCell="A1">
      <selection activeCell="E143" sqref="E143"/>
    </sheetView>
  </sheetViews>
  <sheetFormatPr defaultColWidth="9.00390625" defaultRowHeight="12.75"/>
  <cols>
    <col min="1" max="1" width="5.125" style="168" customWidth="1"/>
    <col min="2" max="3" width="9.125" style="168" customWidth="1"/>
    <col min="4" max="4" width="5.875" style="168" customWidth="1"/>
    <col min="5" max="5" width="49.875" style="168" customWidth="1"/>
    <col min="6" max="6" width="16.125" style="168" bestFit="1" customWidth="1"/>
    <col min="7" max="7" width="13.625" style="168" customWidth="1"/>
    <col min="8" max="9" width="15.125" style="168" customWidth="1"/>
    <col min="10" max="10" width="15.875" style="168" bestFit="1" customWidth="1"/>
    <col min="11" max="11" width="9.125" style="298" customWidth="1"/>
    <col min="12" max="16384" width="9.125" style="168" customWidth="1"/>
  </cols>
  <sheetData>
    <row r="1" spans="1:10" ht="12.75">
      <c r="A1" s="85"/>
      <c r="B1" s="194"/>
      <c r="C1" s="194"/>
      <c r="D1" s="194"/>
      <c r="E1" s="195"/>
      <c r="F1" s="959" t="s">
        <v>1081</v>
      </c>
      <c r="G1" s="960"/>
      <c r="H1" s="960"/>
      <c r="I1" s="960"/>
      <c r="J1" s="960"/>
    </row>
    <row r="2" spans="1:10" ht="15.75">
      <c r="A2" s="964" t="s">
        <v>848</v>
      </c>
      <c r="B2" s="964"/>
      <c r="C2" s="964"/>
      <c r="D2" s="964"/>
      <c r="E2" s="964"/>
      <c r="F2" s="964"/>
      <c r="G2" s="964"/>
      <c r="H2" s="964"/>
      <c r="I2" s="964"/>
      <c r="J2" s="964"/>
    </row>
    <row r="3" spans="1:10" ht="12.75">
      <c r="A3" s="85"/>
      <c r="B3" s="85"/>
      <c r="C3" s="85"/>
      <c r="D3" s="85"/>
      <c r="E3" s="85"/>
      <c r="F3" s="194"/>
      <c r="G3" s="194"/>
      <c r="H3" s="194"/>
      <c r="I3" s="194"/>
      <c r="J3" s="194"/>
    </row>
    <row r="4" spans="1:10" ht="12.75">
      <c r="A4" s="85"/>
      <c r="B4" s="194"/>
      <c r="C4" s="194"/>
      <c r="D4" s="194"/>
      <c r="E4" s="194"/>
      <c r="F4" s="194"/>
      <c r="G4" s="194"/>
      <c r="H4" s="194"/>
      <c r="I4" s="194"/>
      <c r="J4" s="195" t="s">
        <v>612</v>
      </c>
    </row>
    <row r="5" spans="1:10" ht="60">
      <c r="A5" s="971" t="s">
        <v>0</v>
      </c>
      <c r="B5" s="972"/>
      <c r="C5" s="972"/>
      <c r="D5" s="972"/>
      <c r="E5" s="973"/>
      <c r="F5" s="175" t="s">
        <v>86</v>
      </c>
      <c r="G5" s="175" t="s">
        <v>371</v>
      </c>
      <c r="H5" s="175" t="s">
        <v>732</v>
      </c>
      <c r="I5" s="175" t="s">
        <v>769</v>
      </c>
      <c r="J5" s="175" t="s">
        <v>365</v>
      </c>
    </row>
    <row r="6" spans="1:11" s="179" customFormat="1" ht="15">
      <c r="A6" s="196" t="s">
        <v>426</v>
      </c>
      <c r="B6" s="961" t="s">
        <v>427</v>
      </c>
      <c r="C6" s="962"/>
      <c r="D6" s="962"/>
      <c r="E6" s="963"/>
      <c r="F6" s="197" t="s">
        <v>428</v>
      </c>
      <c r="G6" s="197" t="s">
        <v>429</v>
      </c>
      <c r="H6" s="197" t="s">
        <v>430</v>
      </c>
      <c r="I6" s="197" t="s">
        <v>431</v>
      </c>
      <c r="J6" s="197" t="s">
        <v>433</v>
      </c>
      <c r="K6" s="593"/>
    </row>
    <row r="7" spans="1:11" s="200" customFormat="1" ht="12.75">
      <c r="A7" s="198" t="s">
        <v>209</v>
      </c>
      <c r="B7" s="966" t="s">
        <v>210</v>
      </c>
      <c r="C7" s="966"/>
      <c r="D7" s="966"/>
      <c r="E7" s="966"/>
      <c r="F7" s="199">
        <f>SUM(F8+F16+F17+F18+F29+F30)</f>
        <v>781347945</v>
      </c>
      <c r="G7" s="199">
        <f>SUM(G8+G16+G17+G18+G29+G30)</f>
        <v>1484730</v>
      </c>
      <c r="H7" s="199">
        <f>SUM(H8+H16+H17+H18+H29+H30)</f>
        <v>5354163</v>
      </c>
      <c r="I7" s="199">
        <f>SUM(I8+I16+I17+I18+I29+I30)</f>
        <v>2576000</v>
      </c>
      <c r="J7" s="199">
        <f>SUM(F7:I7)</f>
        <v>790762838</v>
      </c>
      <c r="K7" s="594"/>
    </row>
    <row r="8" spans="1:11" ht="12.75">
      <c r="A8" s="201"/>
      <c r="B8" s="201" t="s">
        <v>211</v>
      </c>
      <c r="C8" s="958" t="s">
        <v>212</v>
      </c>
      <c r="D8" s="958"/>
      <c r="E8" s="958"/>
      <c r="F8" s="202">
        <f>SUM(F9:F15)</f>
        <v>525869524</v>
      </c>
      <c r="G8" s="202">
        <f>SUM(G9:G15)</f>
        <v>0</v>
      </c>
      <c r="H8" s="202">
        <f>SUM(H9:H15)</f>
        <v>0</v>
      </c>
      <c r="I8" s="202">
        <f>SUM(I9:I15)</f>
        <v>0</v>
      </c>
      <c r="J8" s="203">
        <f aca="true" t="shared" si="0" ref="J8:J73">SUM(F8:I8)</f>
        <v>525869524</v>
      </c>
      <c r="K8" s="595"/>
    </row>
    <row r="9" spans="1:11" ht="12.75">
      <c r="A9" s="204"/>
      <c r="B9" s="204"/>
      <c r="C9" s="204" t="s">
        <v>213</v>
      </c>
      <c r="D9" s="204"/>
      <c r="E9" s="204" t="s">
        <v>632</v>
      </c>
      <c r="F9" s="205">
        <f>186857281+22486700+426173</f>
        <v>209770154</v>
      </c>
      <c r="G9" s="205">
        <v>0</v>
      </c>
      <c r="H9" s="205">
        <v>0</v>
      </c>
      <c r="I9" s="205">
        <v>0</v>
      </c>
      <c r="J9" s="206">
        <f t="shared" si="0"/>
        <v>209770154</v>
      </c>
      <c r="K9" s="596"/>
    </row>
    <row r="10" spans="1:11" ht="12.75">
      <c r="A10" s="204"/>
      <c r="B10" s="207"/>
      <c r="C10" s="204" t="s">
        <v>214</v>
      </c>
      <c r="D10" s="204"/>
      <c r="E10" s="204" t="s">
        <v>638</v>
      </c>
      <c r="F10" s="205">
        <v>118098200</v>
      </c>
      <c r="G10" s="205">
        <v>0</v>
      </c>
      <c r="H10" s="205">
        <v>0</v>
      </c>
      <c r="I10" s="205">
        <v>0</v>
      </c>
      <c r="J10" s="206">
        <f t="shared" si="0"/>
        <v>118098200</v>
      </c>
      <c r="K10" s="596"/>
    </row>
    <row r="11" spans="1:11" ht="12.75">
      <c r="A11" s="204"/>
      <c r="B11" s="204"/>
      <c r="C11" s="204" t="s">
        <v>989</v>
      </c>
      <c r="D11" s="204"/>
      <c r="E11" s="204" t="s">
        <v>991</v>
      </c>
      <c r="F11" s="205">
        <f>90378059+1038000+10068391+8095006</f>
        <v>109579456</v>
      </c>
      <c r="G11" s="205">
        <v>0</v>
      </c>
      <c r="H11" s="205">
        <v>0</v>
      </c>
      <c r="I11" s="205">
        <v>0</v>
      </c>
      <c r="J11" s="206">
        <f t="shared" si="0"/>
        <v>109579456</v>
      </c>
      <c r="K11" s="596"/>
    </row>
    <row r="12" spans="1:11" ht="12.75">
      <c r="A12" s="204"/>
      <c r="B12" s="204"/>
      <c r="C12" s="204" t="s">
        <v>990</v>
      </c>
      <c r="D12" s="204"/>
      <c r="E12" s="204" t="s">
        <v>992</v>
      </c>
      <c r="F12" s="205">
        <v>76751744</v>
      </c>
      <c r="G12" s="205"/>
      <c r="H12" s="205"/>
      <c r="I12" s="205"/>
      <c r="J12" s="206">
        <f t="shared" si="0"/>
        <v>76751744</v>
      </c>
      <c r="K12" s="596"/>
    </row>
    <row r="13" spans="1:11" ht="12.75">
      <c r="A13" s="204"/>
      <c r="B13" s="204"/>
      <c r="C13" s="204" t="s">
        <v>215</v>
      </c>
      <c r="D13" s="204"/>
      <c r="E13" s="204" t="s">
        <v>639</v>
      </c>
      <c r="F13" s="205">
        <f>10821150+848820</f>
        <v>11669970</v>
      </c>
      <c r="G13" s="205">
        <v>0</v>
      </c>
      <c r="H13" s="205">
        <v>0</v>
      </c>
      <c r="I13" s="205">
        <v>0</v>
      </c>
      <c r="J13" s="206">
        <f t="shared" si="0"/>
        <v>11669970</v>
      </c>
      <c r="K13" s="596"/>
    </row>
    <row r="14" spans="1:11" ht="12.75">
      <c r="A14" s="204"/>
      <c r="B14" s="204"/>
      <c r="C14" s="204" t="s">
        <v>216</v>
      </c>
      <c r="D14" s="204"/>
      <c r="E14" s="204" t="s">
        <v>633</v>
      </c>
      <c r="F14" s="205">
        <f>383873+10959511-11343384</f>
        <v>0</v>
      </c>
      <c r="G14" s="205">
        <v>0</v>
      </c>
      <c r="H14" s="205">
        <v>0</v>
      </c>
      <c r="I14" s="205">
        <v>0</v>
      </c>
      <c r="J14" s="206">
        <f t="shared" si="0"/>
        <v>0</v>
      </c>
      <c r="K14" s="596"/>
    </row>
    <row r="15" spans="1:11" ht="0.75" customHeight="1">
      <c r="A15" s="208"/>
      <c r="B15" s="208"/>
      <c r="C15" s="204" t="s">
        <v>217</v>
      </c>
      <c r="D15" s="208"/>
      <c r="E15" s="204" t="s">
        <v>529</v>
      </c>
      <c r="F15" s="205">
        <v>0</v>
      </c>
      <c r="G15" s="205">
        <v>0</v>
      </c>
      <c r="H15" s="205">
        <v>0</v>
      </c>
      <c r="I15" s="205">
        <v>0</v>
      </c>
      <c r="J15" s="206">
        <f t="shared" si="0"/>
        <v>0</v>
      </c>
      <c r="K15" s="596"/>
    </row>
    <row r="16" spans="1:11" ht="12.75">
      <c r="A16" s="201"/>
      <c r="B16" s="201" t="s">
        <v>218</v>
      </c>
      <c r="C16" s="958" t="s">
        <v>219</v>
      </c>
      <c r="D16" s="958"/>
      <c r="E16" s="958"/>
      <c r="F16" s="202">
        <v>0</v>
      </c>
      <c r="G16" s="202">
        <v>0</v>
      </c>
      <c r="H16" s="202">
        <v>0</v>
      </c>
      <c r="I16" s="202">
        <v>0</v>
      </c>
      <c r="J16" s="203">
        <f t="shared" si="0"/>
        <v>0</v>
      </c>
      <c r="K16" s="595"/>
    </row>
    <row r="17" spans="1:11" ht="12.75">
      <c r="A17" s="201"/>
      <c r="B17" s="201" t="s">
        <v>220</v>
      </c>
      <c r="C17" s="958" t="s">
        <v>634</v>
      </c>
      <c r="D17" s="958"/>
      <c r="E17" s="958"/>
      <c r="F17" s="202">
        <v>0</v>
      </c>
      <c r="G17" s="202">
        <v>0</v>
      </c>
      <c r="H17" s="202">
        <v>0</v>
      </c>
      <c r="I17" s="202">
        <v>0</v>
      </c>
      <c r="J17" s="203">
        <f t="shared" si="0"/>
        <v>0</v>
      </c>
      <c r="K17" s="595"/>
    </row>
    <row r="18" spans="1:11" ht="12.75">
      <c r="A18" s="201"/>
      <c r="B18" s="201" t="s">
        <v>221</v>
      </c>
      <c r="C18" s="958" t="s">
        <v>635</v>
      </c>
      <c r="D18" s="958"/>
      <c r="E18" s="958"/>
      <c r="F18" s="202">
        <f>SUM(F19:F28)</f>
        <v>0</v>
      </c>
      <c r="G18" s="202">
        <f>SUM(G19:G28)</f>
        <v>0</v>
      </c>
      <c r="H18" s="202">
        <f>SUM(H19:H28)</f>
        <v>0</v>
      </c>
      <c r="I18" s="202">
        <f>SUM(I19:I28)</f>
        <v>0</v>
      </c>
      <c r="J18" s="203">
        <f t="shared" si="0"/>
        <v>0</v>
      </c>
      <c r="K18" s="595"/>
    </row>
    <row r="19" spans="1:11" ht="12.75" hidden="1">
      <c r="A19" s="209"/>
      <c r="B19" s="209"/>
      <c r="C19" s="210" t="s">
        <v>2</v>
      </c>
      <c r="D19" s="210" t="s">
        <v>147</v>
      </c>
      <c r="E19" s="210" t="s">
        <v>148</v>
      </c>
      <c r="F19" s="211">
        <v>0</v>
      </c>
      <c r="G19" s="211">
        <v>0</v>
      </c>
      <c r="H19" s="211">
        <v>0</v>
      </c>
      <c r="I19" s="211">
        <v>0</v>
      </c>
      <c r="J19" s="212">
        <f t="shared" si="0"/>
        <v>0</v>
      </c>
      <c r="K19" s="597"/>
    </row>
    <row r="20" spans="1:11" ht="12.75" hidden="1">
      <c r="A20" s="209"/>
      <c r="B20" s="209"/>
      <c r="C20" s="210"/>
      <c r="D20" s="210" t="s">
        <v>149</v>
      </c>
      <c r="E20" s="210" t="s">
        <v>150</v>
      </c>
      <c r="F20" s="211">
        <v>0</v>
      </c>
      <c r="G20" s="211">
        <v>0</v>
      </c>
      <c r="H20" s="211">
        <v>0</v>
      </c>
      <c r="I20" s="211">
        <v>0</v>
      </c>
      <c r="J20" s="212">
        <f t="shared" si="0"/>
        <v>0</v>
      </c>
      <c r="K20" s="597"/>
    </row>
    <row r="21" spans="1:11" ht="12.75" hidden="1">
      <c r="A21" s="209"/>
      <c r="B21" s="209"/>
      <c r="C21" s="210"/>
      <c r="D21" s="210" t="s">
        <v>151</v>
      </c>
      <c r="E21" s="210" t="s">
        <v>222</v>
      </c>
      <c r="F21" s="211">
        <v>0</v>
      </c>
      <c r="G21" s="211">
        <v>0</v>
      </c>
      <c r="H21" s="211">
        <v>0</v>
      </c>
      <c r="I21" s="211">
        <v>0</v>
      </c>
      <c r="J21" s="212">
        <f t="shared" si="0"/>
        <v>0</v>
      </c>
      <c r="K21" s="597"/>
    </row>
    <row r="22" spans="1:11" ht="12.75" hidden="1">
      <c r="A22" s="209"/>
      <c r="B22" s="209"/>
      <c r="C22" s="210"/>
      <c r="D22" s="210" t="s">
        <v>153</v>
      </c>
      <c r="E22" s="210" t="s">
        <v>154</v>
      </c>
      <c r="F22" s="211">
        <v>0</v>
      </c>
      <c r="G22" s="211">
        <v>0</v>
      </c>
      <c r="H22" s="211">
        <v>0</v>
      </c>
      <c r="I22" s="211">
        <v>0</v>
      </c>
      <c r="J22" s="212">
        <f t="shared" si="0"/>
        <v>0</v>
      </c>
      <c r="K22" s="597"/>
    </row>
    <row r="23" spans="1:11" ht="12.75" hidden="1">
      <c r="A23" s="209"/>
      <c r="B23" s="209"/>
      <c r="C23" s="210"/>
      <c r="D23" s="210" t="s">
        <v>155</v>
      </c>
      <c r="E23" s="210" t="s">
        <v>156</v>
      </c>
      <c r="F23" s="211">
        <v>0</v>
      </c>
      <c r="G23" s="211">
        <v>0</v>
      </c>
      <c r="H23" s="211">
        <v>0</v>
      </c>
      <c r="I23" s="211">
        <v>0</v>
      </c>
      <c r="J23" s="212">
        <f t="shared" si="0"/>
        <v>0</v>
      </c>
      <c r="K23" s="597"/>
    </row>
    <row r="24" spans="1:11" ht="12.75" hidden="1">
      <c r="A24" s="209"/>
      <c r="B24" s="209"/>
      <c r="C24" s="210"/>
      <c r="D24" s="210" t="s">
        <v>157</v>
      </c>
      <c r="E24" s="210" t="s">
        <v>158</v>
      </c>
      <c r="F24" s="211">
        <v>0</v>
      </c>
      <c r="G24" s="211">
        <v>0</v>
      </c>
      <c r="H24" s="211">
        <v>0</v>
      </c>
      <c r="I24" s="211">
        <v>0</v>
      </c>
      <c r="J24" s="212">
        <f t="shared" si="0"/>
        <v>0</v>
      </c>
      <c r="K24" s="597"/>
    </row>
    <row r="25" spans="1:11" ht="12.75" hidden="1">
      <c r="A25" s="209"/>
      <c r="B25" s="209"/>
      <c r="C25" s="210"/>
      <c r="D25" s="210" t="s">
        <v>159</v>
      </c>
      <c r="E25" s="210" t="s">
        <v>160</v>
      </c>
      <c r="F25" s="211">
        <v>0</v>
      </c>
      <c r="G25" s="211">
        <v>0</v>
      </c>
      <c r="H25" s="211">
        <v>0</v>
      </c>
      <c r="I25" s="211">
        <v>0</v>
      </c>
      <c r="J25" s="212">
        <f t="shared" si="0"/>
        <v>0</v>
      </c>
      <c r="K25" s="597"/>
    </row>
    <row r="26" spans="1:11" ht="12.75" hidden="1">
      <c r="A26" s="209"/>
      <c r="B26" s="209"/>
      <c r="C26" s="210"/>
      <c r="D26" s="210" t="s">
        <v>161</v>
      </c>
      <c r="E26" s="210" t="s">
        <v>162</v>
      </c>
      <c r="F26" s="211"/>
      <c r="G26" s="211">
        <v>0</v>
      </c>
      <c r="H26" s="211">
        <v>0</v>
      </c>
      <c r="I26" s="211">
        <v>0</v>
      </c>
      <c r="J26" s="212">
        <f t="shared" si="0"/>
        <v>0</v>
      </c>
      <c r="K26" s="597"/>
    </row>
    <row r="27" spans="1:11" ht="12.75" hidden="1">
      <c r="A27" s="209"/>
      <c r="B27" s="209"/>
      <c r="C27" s="210"/>
      <c r="D27" s="210" t="s">
        <v>163</v>
      </c>
      <c r="E27" s="210" t="s">
        <v>164</v>
      </c>
      <c r="F27" s="211">
        <v>0</v>
      </c>
      <c r="G27" s="211">
        <v>0</v>
      </c>
      <c r="H27" s="211">
        <v>0</v>
      </c>
      <c r="I27" s="211">
        <v>0</v>
      </c>
      <c r="J27" s="212">
        <f t="shared" si="0"/>
        <v>0</v>
      </c>
      <c r="K27" s="597"/>
    </row>
    <row r="28" spans="1:11" ht="12.75" hidden="1">
      <c r="A28" s="209"/>
      <c r="B28" s="209"/>
      <c r="C28" s="210"/>
      <c r="D28" s="210" t="s">
        <v>165</v>
      </c>
      <c r="E28" s="210" t="s">
        <v>166</v>
      </c>
      <c r="F28" s="211">
        <v>0</v>
      </c>
      <c r="G28" s="211">
        <v>0</v>
      </c>
      <c r="H28" s="211">
        <v>0</v>
      </c>
      <c r="I28" s="211">
        <v>0</v>
      </c>
      <c r="J28" s="212">
        <f t="shared" si="0"/>
        <v>0</v>
      </c>
      <c r="K28" s="597"/>
    </row>
    <row r="29" spans="1:11" ht="12.75">
      <c r="A29" s="201"/>
      <c r="B29" s="201" t="s">
        <v>223</v>
      </c>
      <c r="C29" s="958" t="s">
        <v>636</v>
      </c>
      <c r="D29" s="958"/>
      <c r="E29" s="958"/>
      <c r="F29" s="202">
        <v>0</v>
      </c>
      <c r="G29" s="202">
        <v>0</v>
      </c>
      <c r="H29" s="202">
        <v>0</v>
      </c>
      <c r="I29" s="202">
        <v>0</v>
      </c>
      <c r="J29" s="203">
        <f t="shared" si="0"/>
        <v>0</v>
      </c>
      <c r="K29" s="595"/>
    </row>
    <row r="30" spans="1:11" ht="12.75">
      <c r="A30" s="201"/>
      <c r="B30" s="201" t="s">
        <v>224</v>
      </c>
      <c r="C30" s="958" t="s">
        <v>637</v>
      </c>
      <c r="D30" s="958"/>
      <c r="E30" s="958"/>
      <c r="F30" s="202">
        <f>SUM(F31:F40)</f>
        <v>255478421</v>
      </c>
      <c r="G30" s="202">
        <f>SUM(G31:G40)</f>
        <v>1484730</v>
      </c>
      <c r="H30" s="202">
        <f>SUM(H31:H40)</f>
        <v>5354163</v>
      </c>
      <c r="I30" s="202">
        <f>SUM(I31:I40)</f>
        <v>2576000</v>
      </c>
      <c r="J30" s="203">
        <f t="shared" si="0"/>
        <v>264893314</v>
      </c>
      <c r="K30" s="595"/>
    </row>
    <row r="31" spans="1:11" ht="12.75" hidden="1">
      <c r="A31" s="209"/>
      <c r="B31" s="209"/>
      <c r="C31" s="210" t="s">
        <v>2</v>
      </c>
      <c r="D31" s="210" t="s">
        <v>147</v>
      </c>
      <c r="E31" s="210" t="s">
        <v>148</v>
      </c>
      <c r="F31" s="211">
        <v>0</v>
      </c>
      <c r="G31" s="211">
        <v>0</v>
      </c>
      <c r="H31" s="211">
        <v>0</v>
      </c>
      <c r="I31" s="211">
        <v>0</v>
      </c>
      <c r="J31" s="212">
        <f t="shared" si="0"/>
        <v>0</v>
      </c>
      <c r="K31" s="597"/>
    </row>
    <row r="32" spans="1:11" ht="12.75" hidden="1">
      <c r="A32" s="209"/>
      <c r="B32" s="209"/>
      <c r="C32" s="210"/>
      <c r="D32" s="210" t="s">
        <v>149</v>
      </c>
      <c r="E32" s="210" t="s">
        <v>150</v>
      </c>
      <c r="F32" s="211">
        <v>0</v>
      </c>
      <c r="G32" s="211">
        <v>0</v>
      </c>
      <c r="H32" s="211">
        <v>0</v>
      </c>
      <c r="I32" s="211">
        <v>0</v>
      </c>
      <c r="J32" s="212">
        <f t="shared" si="0"/>
        <v>0</v>
      </c>
      <c r="K32" s="597"/>
    </row>
    <row r="33" spans="1:11" ht="12.75">
      <c r="A33" s="213"/>
      <c r="B33" s="213"/>
      <c r="C33" s="210" t="s">
        <v>2</v>
      </c>
      <c r="D33" s="214"/>
      <c r="E33" s="214" t="s">
        <v>640</v>
      </c>
      <c r="F33" s="211">
        <f>2100000+40118910+5788759+1092680+13881090+60657486+23938936</f>
        <v>147577861</v>
      </c>
      <c r="G33" s="211">
        <v>0</v>
      </c>
      <c r="H33" s="211">
        <v>5354163</v>
      </c>
      <c r="I33" s="211"/>
      <c r="J33" s="212">
        <f t="shared" si="0"/>
        <v>152932024</v>
      </c>
      <c r="K33" s="597"/>
    </row>
    <row r="34" spans="1:11" ht="12.75">
      <c r="A34" s="209"/>
      <c r="B34" s="209"/>
      <c r="C34" s="210"/>
      <c r="D34" s="210"/>
      <c r="E34" s="210" t="s">
        <v>154</v>
      </c>
      <c r="F34" s="211">
        <f>7411115+571500</f>
        <v>7982615</v>
      </c>
      <c r="G34" s="211">
        <v>0</v>
      </c>
      <c r="H34" s="211">
        <v>0</v>
      </c>
      <c r="I34" s="211">
        <v>0</v>
      </c>
      <c r="J34" s="212">
        <f t="shared" si="0"/>
        <v>7982615</v>
      </c>
      <c r="K34" s="597"/>
    </row>
    <row r="35" spans="1:11" ht="12.75">
      <c r="A35" s="209"/>
      <c r="B35" s="209"/>
      <c r="C35" s="210"/>
      <c r="D35" s="210"/>
      <c r="E35" s="210" t="s">
        <v>156</v>
      </c>
      <c r="F35" s="211">
        <f>21600000+7959000+2626200+2887500</f>
        <v>35072700</v>
      </c>
      <c r="G35" s="211">
        <v>0</v>
      </c>
      <c r="H35" s="211">
        <v>0</v>
      </c>
      <c r="I35" s="211">
        <v>0</v>
      </c>
      <c r="J35" s="212">
        <f t="shared" si="0"/>
        <v>35072700</v>
      </c>
      <c r="K35" s="597"/>
    </row>
    <row r="36" spans="1:11" ht="12.75">
      <c r="A36" s="209"/>
      <c r="B36" s="209"/>
      <c r="C36" s="210"/>
      <c r="D36" s="210"/>
      <c r="E36" s="210" t="s">
        <v>158</v>
      </c>
      <c r="F36" s="211">
        <f>13227888+4016545+26537427+16490993</f>
        <v>60272853</v>
      </c>
      <c r="G36" s="211">
        <v>1484730</v>
      </c>
      <c r="H36" s="211">
        <v>0</v>
      </c>
      <c r="I36" s="211">
        <v>2576000</v>
      </c>
      <c r="J36" s="212">
        <f t="shared" si="0"/>
        <v>64333583</v>
      </c>
      <c r="K36" s="597"/>
    </row>
    <row r="37" spans="1:11" ht="12.75">
      <c r="A37" s="209"/>
      <c r="B37" s="209"/>
      <c r="C37" s="210"/>
      <c r="D37" s="210"/>
      <c r="E37" s="210" t="s">
        <v>160</v>
      </c>
      <c r="F37" s="211">
        <f>3386445+1185947</f>
        <v>4572392</v>
      </c>
      <c r="G37" s="211">
        <v>0</v>
      </c>
      <c r="H37" s="211">
        <v>0</v>
      </c>
      <c r="I37" s="211">
        <v>0</v>
      </c>
      <c r="J37" s="212">
        <f t="shared" si="0"/>
        <v>4572392</v>
      </c>
      <c r="K37" s="597"/>
    </row>
    <row r="38" spans="1:11" ht="12.75" hidden="1">
      <c r="A38" s="209"/>
      <c r="B38" s="209"/>
      <c r="C38" s="210"/>
      <c r="D38" s="210"/>
      <c r="E38" s="210" t="s">
        <v>162</v>
      </c>
      <c r="F38" s="211">
        <v>0</v>
      </c>
      <c r="G38" s="211">
        <v>0</v>
      </c>
      <c r="H38" s="211">
        <v>0</v>
      </c>
      <c r="I38" s="211">
        <v>0</v>
      </c>
      <c r="J38" s="212">
        <f t="shared" si="0"/>
        <v>0</v>
      </c>
      <c r="K38" s="597"/>
    </row>
    <row r="39" spans="1:11" ht="12.75" hidden="1">
      <c r="A39" s="209"/>
      <c r="B39" s="209"/>
      <c r="C39" s="210"/>
      <c r="D39" s="210"/>
      <c r="E39" s="210" t="s">
        <v>641</v>
      </c>
      <c r="F39" s="211">
        <v>0</v>
      </c>
      <c r="G39" s="211">
        <v>0</v>
      </c>
      <c r="H39" s="211">
        <v>0</v>
      </c>
      <c r="I39" s="211">
        <v>0</v>
      </c>
      <c r="J39" s="212">
        <f t="shared" si="0"/>
        <v>0</v>
      </c>
      <c r="K39" s="597"/>
    </row>
    <row r="40" spans="1:11" ht="12.75" hidden="1">
      <c r="A40" s="209"/>
      <c r="B40" s="209"/>
      <c r="C40" s="210"/>
      <c r="D40" s="210"/>
      <c r="E40" s="210" t="s">
        <v>642</v>
      </c>
      <c r="F40" s="211">
        <v>0</v>
      </c>
      <c r="G40" s="211">
        <v>0</v>
      </c>
      <c r="H40" s="211">
        <v>0</v>
      </c>
      <c r="I40" s="211">
        <v>0</v>
      </c>
      <c r="J40" s="212">
        <f t="shared" si="0"/>
        <v>0</v>
      </c>
      <c r="K40" s="597"/>
    </row>
    <row r="41" spans="1:11" s="200" customFormat="1" ht="12.75">
      <c r="A41" s="198" t="s">
        <v>225</v>
      </c>
      <c r="B41" s="966" t="s">
        <v>648</v>
      </c>
      <c r="C41" s="966"/>
      <c r="D41" s="966"/>
      <c r="E41" s="966"/>
      <c r="F41" s="199">
        <f>SUM(F42:F46)</f>
        <v>6264795</v>
      </c>
      <c r="G41" s="199">
        <f>SUM(G42:G46)</f>
        <v>0</v>
      </c>
      <c r="H41" s="199">
        <f>SUM(H42:H46)</f>
        <v>0</v>
      </c>
      <c r="I41" s="199">
        <f>SUM(I42:I46)</f>
        <v>0</v>
      </c>
      <c r="J41" s="199">
        <f t="shared" si="0"/>
        <v>6264795</v>
      </c>
      <c r="K41" s="594"/>
    </row>
    <row r="42" spans="1:11" ht="12.75" hidden="1">
      <c r="A42" s="201"/>
      <c r="B42" s="201" t="s">
        <v>226</v>
      </c>
      <c r="C42" s="958" t="s">
        <v>643</v>
      </c>
      <c r="D42" s="958"/>
      <c r="E42" s="958"/>
      <c r="F42" s="202">
        <v>0</v>
      </c>
      <c r="G42" s="202">
        <v>0</v>
      </c>
      <c r="H42" s="202">
        <v>0</v>
      </c>
      <c r="I42" s="202">
        <v>0</v>
      </c>
      <c r="J42" s="203">
        <f t="shared" si="0"/>
        <v>0</v>
      </c>
      <c r="K42" s="595"/>
    </row>
    <row r="43" spans="1:11" ht="12.75" hidden="1">
      <c r="A43" s="201"/>
      <c r="B43" s="201" t="s">
        <v>227</v>
      </c>
      <c r="C43" s="958" t="s">
        <v>644</v>
      </c>
      <c r="D43" s="958"/>
      <c r="E43" s="958"/>
      <c r="F43" s="202">
        <v>0</v>
      </c>
      <c r="G43" s="202">
        <v>0</v>
      </c>
      <c r="H43" s="202">
        <v>0</v>
      </c>
      <c r="I43" s="202">
        <v>0</v>
      </c>
      <c r="J43" s="203">
        <f t="shared" si="0"/>
        <v>0</v>
      </c>
      <c r="K43" s="595"/>
    </row>
    <row r="44" spans="1:11" ht="12.75" hidden="1">
      <c r="A44" s="201"/>
      <c r="B44" s="201" t="s">
        <v>228</v>
      </c>
      <c r="C44" s="958" t="s">
        <v>645</v>
      </c>
      <c r="D44" s="958"/>
      <c r="E44" s="958"/>
      <c r="F44" s="202">
        <v>0</v>
      </c>
      <c r="G44" s="202">
        <v>0</v>
      </c>
      <c r="H44" s="202">
        <v>0</v>
      </c>
      <c r="I44" s="202">
        <v>0</v>
      </c>
      <c r="J44" s="203">
        <f t="shared" si="0"/>
        <v>0</v>
      </c>
      <c r="K44" s="595"/>
    </row>
    <row r="45" spans="1:11" ht="12.75" hidden="1">
      <c r="A45" s="201"/>
      <c r="B45" s="201" t="s">
        <v>229</v>
      </c>
      <c r="C45" s="958" t="s">
        <v>646</v>
      </c>
      <c r="D45" s="958"/>
      <c r="E45" s="958"/>
      <c r="F45" s="202">
        <v>0</v>
      </c>
      <c r="G45" s="202">
        <v>0</v>
      </c>
      <c r="H45" s="202">
        <v>0</v>
      </c>
      <c r="I45" s="202">
        <v>0</v>
      </c>
      <c r="J45" s="203">
        <f t="shared" si="0"/>
        <v>0</v>
      </c>
      <c r="K45" s="595"/>
    </row>
    <row r="46" spans="1:11" ht="12.75">
      <c r="A46" s="201"/>
      <c r="B46" s="201" t="s">
        <v>230</v>
      </c>
      <c r="C46" s="958" t="s">
        <v>647</v>
      </c>
      <c r="D46" s="958"/>
      <c r="E46" s="958"/>
      <c r="F46" s="202">
        <f>SUM(F47:F57)</f>
        <v>6264795</v>
      </c>
      <c r="G46" s="202">
        <f>SUM(G47:G57)</f>
        <v>0</v>
      </c>
      <c r="H46" s="202">
        <f>SUM(H47:H57)</f>
        <v>0</v>
      </c>
      <c r="I46" s="202">
        <f>SUM(I47:I57)</f>
        <v>0</v>
      </c>
      <c r="J46" s="203">
        <f t="shared" si="0"/>
        <v>6264795</v>
      </c>
      <c r="K46" s="595"/>
    </row>
    <row r="47" spans="1:11" ht="12.75" hidden="1">
      <c r="A47" s="209"/>
      <c r="B47" s="209"/>
      <c r="C47" s="210" t="s">
        <v>2</v>
      </c>
      <c r="D47" s="210" t="s">
        <v>147</v>
      </c>
      <c r="E47" s="210" t="s">
        <v>148</v>
      </c>
      <c r="F47" s="211">
        <v>0</v>
      </c>
      <c r="G47" s="211">
        <v>0</v>
      </c>
      <c r="H47" s="211">
        <v>0</v>
      </c>
      <c r="I47" s="211">
        <v>0</v>
      </c>
      <c r="J47" s="212">
        <f t="shared" si="0"/>
        <v>0</v>
      </c>
      <c r="K47" s="597"/>
    </row>
    <row r="48" spans="1:11" ht="12.75" hidden="1">
      <c r="A48" s="209"/>
      <c r="B48" s="209"/>
      <c r="C48" s="210"/>
      <c r="D48" s="210" t="s">
        <v>149</v>
      </c>
      <c r="E48" s="210" t="s">
        <v>150</v>
      </c>
      <c r="F48" s="211">
        <v>0</v>
      </c>
      <c r="G48" s="211">
        <v>0</v>
      </c>
      <c r="H48" s="211">
        <v>0</v>
      </c>
      <c r="I48" s="211">
        <v>0</v>
      </c>
      <c r="J48" s="212">
        <f t="shared" si="0"/>
        <v>0</v>
      </c>
      <c r="K48" s="597"/>
    </row>
    <row r="49" spans="1:11" ht="12" customHeight="1">
      <c r="A49" s="213"/>
      <c r="B49" s="213"/>
      <c r="C49" s="210" t="s">
        <v>2</v>
      </c>
      <c r="D49" s="214"/>
      <c r="E49" s="214" t="s">
        <v>222</v>
      </c>
      <c r="F49" s="211">
        <f>6000000-6000000+6000000</f>
        <v>6000000</v>
      </c>
      <c r="G49" s="211">
        <v>0</v>
      </c>
      <c r="H49" s="211">
        <v>0</v>
      </c>
      <c r="I49" s="211"/>
      <c r="J49" s="212">
        <f t="shared" si="0"/>
        <v>6000000</v>
      </c>
      <c r="K49" s="597"/>
    </row>
    <row r="50" spans="1:11" ht="12.75" hidden="1">
      <c r="A50" s="209"/>
      <c r="B50" s="209"/>
      <c r="C50" s="210"/>
      <c r="D50" s="210" t="s">
        <v>153</v>
      </c>
      <c r="E50" s="210" t="s">
        <v>154</v>
      </c>
      <c r="F50" s="211"/>
      <c r="G50" s="211">
        <v>0</v>
      </c>
      <c r="H50" s="211">
        <v>0</v>
      </c>
      <c r="I50" s="211">
        <v>0</v>
      </c>
      <c r="J50" s="212">
        <f t="shared" si="0"/>
        <v>0</v>
      </c>
      <c r="K50" s="597"/>
    </row>
    <row r="51" spans="1:11" ht="12.75" hidden="1">
      <c r="A51" s="209"/>
      <c r="B51" s="209"/>
      <c r="C51" s="210"/>
      <c r="D51" s="210" t="s">
        <v>155</v>
      </c>
      <c r="E51" s="210" t="s">
        <v>156</v>
      </c>
      <c r="F51" s="211"/>
      <c r="G51" s="211">
        <v>0</v>
      </c>
      <c r="H51" s="211">
        <v>0</v>
      </c>
      <c r="I51" s="211">
        <v>0</v>
      </c>
      <c r="J51" s="212">
        <f t="shared" si="0"/>
        <v>0</v>
      </c>
      <c r="K51" s="597"/>
    </row>
    <row r="52" spans="1:11" ht="12.75" hidden="1">
      <c r="A52" s="209"/>
      <c r="B52" s="209"/>
      <c r="C52" s="210"/>
      <c r="D52" s="210" t="s">
        <v>157</v>
      </c>
      <c r="E52" s="210" t="s">
        <v>158</v>
      </c>
      <c r="F52" s="211"/>
      <c r="G52" s="211">
        <v>0</v>
      </c>
      <c r="H52" s="211">
        <v>0</v>
      </c>
      <c r="I52" s="211">
        <v>0</v>
      </c>
      <c r="J52" s="212">
        <f t="shared" si="0"/>
        <v>0</v>
      </c>
      <c r="K52" s="597"/>
    </row>
    <row r="53" spans="1:11" ht="12.75" hidden="1">
      <c r="A53" s="209"/>
      <c r="B53" s="209"/>
      <c r="C53" s="210"/>
      <c r="D53" s="210" t="s">
        <v>159</v>
      </c>
      <c r="E53" s="210" t="s">
        <v>160</v>
      </c>
      <c r="F53" s="211"/>
      <c r="G53" s="211">
        <v>0</v>
      </c>
      <c r="H53" s="211">
        <v>0</v>
      </c>
      <c r="I53" s="211">
        <v>0</v>
      </c>
      <c r="J53" s="212">
        <f t="shared" si="0"/>
        <v>0</v>
      </c>
      <c r="K53" s="597"/>
    </row>
    <row r="54" spans="1:11" ht="12.75" hidden="1">
      <c r="A54" s="209"/>
      <c r="B54" s="209"/>
      <c r="C54" s="210"/>
      <c r="D54" s="210" t="s">
        <v>161</v>
      </c>
      <c r="E54" s="210" t="s">
        <v>162</v>
      </c>
      <c r="F54" s="211"/>
      <c r="G54" s="211">
        <v>0</v>
      </c>
      <c r="H54" s="211">
        <v>0</v>
      </c>
      <c r="I54" s="211">
        <v>0</v>
      </c>
      <c r="J54" s="212">
        <f t="shared" si="0"/>
        <v>0</v>
      </c>
      <c r="K54" s="597"/>
    </row>
    <row r="55" spans="1:11" ht="12.75" hidden="1">
      <c r="A55" s="209"/>
      <c r="B55" s="209"/>
      <c r="C55" s="210"/>
      <c r="D55" s="210" t="s">
        <v>163</v>
      </c>
      <c r="E55" s="210" t="s">
        <v>164</v>
      </c>
      <c r="F55" s="211"/>
      <c r="G55" s="211">
        <v>0</v>
      </c>
      <c r="H55" s="211">
        <v>0</v>
      </c>
      <c r="I55" s="211">
        <v>0</v>
      </c>
      <c r="J55" s="212">
        <f t="shared" si="0"/>
        <v>0</v>
      </c>
      <c r="K55" s="597"/>
    </row>
    <row r="56" spans="1:11" ht="12.75" hidden="1">
      <c r="A56" s="209"/>
      <c r="B56" s="209"/>
      <c r="C56" s="210"/>
      <c r="D56" s="210" t="s">
        <v>165</v>
      </c>
      <c r="E56" s="210" t="s">
        <v>166</v>
      </c>
      <c r="F56" s="211"/>
      <c r="G56" s="211">
        <v>0</v>
      </c>
      <c r="H56" s="211">
        <v>0</v>
      </c>
      <c r="I56" s="211">
        <v>0</v>
      </c>
      <c r="J56" s="212">
        <f t="shared" si="0"/>
        <v>0</v>
      </c>
      <c r="K56" s="597"/>
    </row>
    <row r="57" spans="1:11" ht="12.75">
      <c r="A57" s="209"/>
      <c r="B57" s="209"/>
      <c r="C57" s="210"/>
      <c r="D57" s="210"/>
      <c r="E57" s="210" t="s">
        <v>158</v>
      </c>
      <c r="F57" s="211">
        <f>74295+190500</f>
        <v>264795</v>
      </c>
      <c r="G57" s="211">
        <v>0</v>
      </c>
      <c r="H57" s="211">
        <v>0</v>
      </c>
      <c r="I57" s="211">
        <v>0</v>
      </c>
      <c r="J57" s="212">
        <f t="shared" si="0"/>
        <v>264795</v>
      </c>
      <c r="K57" s="597"/>
    </row>
    <row r="58" spans="1:11" s="200" customFormat="1" ht="12.75">
      <c r="A58" s="198" t="s">
        <v>231</v>
      </c>
      <c r="B58" s="966" t="s">
        <v>232</v>
      </c>
      <c r="C58" s="966"/>
      <c r="D58" s="966"/>
      <c r="E58" s="966"/>
      <c r="F58" s="199">
        <f>SUM(F59+F60+F61+F62+F65+F76)</f>
        <v>239700000</v>
      </c>
      <c r="G58" s="199">
        <f>SUM(G59+G60+G61+G62+G65+G76)</f>
        <v>0</v>
      </c>
      <c r="H58" s="199">
        <f>SUM(H59+H60+H61+H62+H65+H76)</f>
        <v>0</v>
      </c>
      <c r="I58" s="199">
        <f>SUM(I59+I60+I61+I62+I65+I76)</f>
        <v>0</v>
      </c>
      <c r="J58" s="199">
        <f t="shared" si="0"/>
        <v>239700000</v>
      </c>
      <c r="K58" s="594"/>
    </row>
    <row r="59" spans="1:11" ht="12.75">
      <c r="A59" s="201"/>
      <c r="B59" s="201" t="s">
        <v>233</v>
      </c>
      <c r="C59" s="958" t="s">
        <v>234</v>
      </c>
      <c r="D59" s="958"/>
      <c r="E59" s="958"/>
      <c r="F59" s="202">
        <v>50000</v>
      </c>
      <c r="G59" s="202">
        <v>0</v>
      </c>
      <c r="H59" s="202">
        <v>0</v>
      </c>
      <c r="I59" s="202">
        <v>0</v>
      </c>
      <c r="J59" s="203">
        <f t="shared" si="0"/>
        <v>50000</v>
      </c>
      <c r="K59" s="595"/>
    </row>
    <row r="60" spans="1:11" ht="12.75">
      <c r="A60" s="201"/>
      <c r="B60" s="201" t="s">
        <v>235</v>
      </c>
      <c r="C60" s="958" t="s">
        <v>236</v>
      </c>
      <c r="D60" s="958"/>
      <c r="E60" s="958"/>
      <c r="F60" s="202">
        <v>0</v>
      </c>
      <c r="G60" s="202">
        <v>0</v>
      </c>
      <c r="H60" s="202">
        <v>0</v>
      </c>
      <c r="I60" s="202">
        <v>0</v>
      </c>
      <c r="J60" s="203">
        <f t="shared" si="0"/>
        <v>0</v>
      </c>
      <c r="K60" s="595"/>
    </row>
    <row r="61" spans="1:11" ht="12.75">
      <c r="A61" s="201"/>
      <c r="B61" s="201" t="s">
        <v>237</v>
      </c>
      <c r="C61" s="958" t="s">
        <v>238</v>
      </c>
      <c r="D61" s="958"/>
      <c r="E61" s="958"/>
      <c r="F61" s="202">
        <v>0</v>
      </c>
      <c r="G61" s="202">
        <v>0</v>
      </c>
      <c r="H61" s="202">
        <v>0</v>
      </c>
      <c r="I61" s="202">
        <v>0</v>
      </c>
      <c r="J61" s="203">
        <f t="shared" si="0"/>
        <v>0</v>
      </c>
      <c r="K61" s="595"/>
    </row>
    <row r="62" spans="1:11" ht="12.75">
      <c r="A62" s="201"/>
      <c r="B62" s="201" t="s">
        <v>239</v>
      </c>
      <c r="C62" s="958" t="s">
        <v>240</v>
      </c>
      <c r="D62" s="958"/>
      <c r="E62" s="958"/>
      <c r="F62" s="202">
        <f>SUM(F63:F64)</f>
        <v>38850000</v>
      </c>
      <c r="G62" s="202">
        <f>SUM(G63:G64)</f>
        <v>0</v>
      </c>
      <c r="H62" s="202">
        <v>0</v>
      </c>
      <c r="I62" s="202">
        <v>0</v>
      </c>
      <c r="J62" s="203">
        <f t="shared" si="0"/>
        <v>38850000</v>
      </c>
      <c r="K62" s="595"/>
    </row>
    <row r="63" spans="1:11" ht="12.75">
      <c r="A63" s="209"/>
      <c r="B63" s="209"/>
      <c r="C63" s="210"/>
      <c r="D63" s="210"/>
      <c r="E63" s="210" t="s">
        <v>241</v>
      </c>
      <c r="F63" s="211">
        <v>38000000</v>
      </c>
      <c r="G63" s="211">
        <v>0</v>
      </c>
      <c r="H63" s="211">
        <v>0</v>
      </c>
      <c r="I63" s="211">
        <v>0</v>
      </c>
      <c r="J63" s="212">
        <f t="shared" si="0"/>
        <v>38000000</v>
      </c>
      <c r="K63" s="597"/>
    </row>
    <row r="64" spans="1:11" ht="12.75">
      <c r="A64" s="209"/>
      <c r="B64" s="209"/>
      <c r="C64" s="210"/>
      <c r="D64" s="210"/>
      <c r="E64" s="210" t="s">
        <v>242</v>
      </c>
      <c r="F64" s="211">
        <v>850000</v>
      </c>
      <c r="G64" s="211">
        <v>0</v>
      </c>
      <c r="H64" s="211">
        <v>0</v>
      </c>
      <c r="I64" s="211">
        <v>0</v>
      </c>
      <c r="J64" s="212">
        <f t="shared" si="0"/>
        <v>850000</v>
      </c>
      <c r="K64" s="597"/>
    </row>
    <row r="65" spans="1:11" ht="12.75">
      <c r="A65" s="201"/>
      <c r="B65" s="201" t="s">
        <v>243</v>
      </c>
      <c r="C65" s="958" t="s">
        <v>244</v>
      </c>
      <c r="D65" s="958"/>
      <c r="E65" s="958"/>
      <c r="F65" s="202">
        <f>SUM(F66+F69+F71+F72+F74)</f>
        <v>200150000</v>
      </c>
      <c r="G65" s="202">
        <f>SUM(G66+G69+G71+G72+G74)</f>
        <v>0</v>
      </c>
      <c r="H65" s="202">
        <v>0</v>
      </c>
      <c r="I65" s="202">
        <v>0</v>
      </c>
      <c r="J65" s="203">
        <f t="shared" si="0"/>
        <v>200150000</v>
      </c>
      <c r="K65" s="595"/>
    </row>
    <row r="66" spans="1:11" ht="12.75">
      <c r="A66" s="204"/>
      <c r="B66" s="204"/>
      <c r="C66" s="204" t="s">
        <v>245</v>
      </c>
      <c r="D66" s="204" t="s">
        <v>246</v>
      </c>
      <c r="E66" s="204"/>
      <c r="F66" s="205">
        <f>SUM(F67:F68)</f>
        <v>200150000</v>
      </c>
      <c r="G66" s="205">
        <f>SUM(G67:G68)</f>
        <v>0</v>
      </c>
      <c r="H66" s="205">
        <v>0</v>
      </c>
      <c r="I66" s="205">
        <v>0</v>
      </c>
      <c r="J66" s="206">
        <f t="shared" si="0"/>
        <v>200150000</v>
      </c>
      <c r="K66" s="596"/>
    </row>
    <row r="67" spans="1:11" ht="12.75">
      <c r="A67" s="209"/>
      <c r="B67" s="209"/>
      <c r="C67" s="210"/>
      <c r="D67" s="210"/>
      <c r="E67" s="210" t="s">
        <v>649</v>
      </c>
      <c r="F67" s="211">
        <v>200000000</v>
      </c>
      <c r="G67" s="211">
        <v>0</v>
      </c>
      <c r="H67" s="211">
        <v>0</v>
      </c>
      <c r="I67" s="211">
        <v>0</v>
      </c>
      <c r="J67" s="212">
        <f t="shared" si="0"/>
        <v>200000000</v>
      </c>
      <c r="K67" s="597"/>
    </row>
    <row r="68" spans="1:11" ht="12.75">
      <c r="A68" s="209"/>
      <c r="B68" s="209"/>
      <c r="C68" s="210"/>
      <c r="D68" s="210"/>
      <c r="E68" s="210" t="s">
        <v>650</v>
      </c>
      <c r="F68" s="211">
        <v>150000</v>
      </c>
      <c r="G68" s="211">
        <v>0</v>
      </c>
      <c r="H68" s="211">
        <v>0</v>
      </c>
      <c r="I68" s="211">
        <v>0</v>
      </c>
      <c r="J68" s="212">
        <f t="shared" si="0"/>
        <v>150000</v>
      </c>
      <c r="K68" s="597"/>
    </row>
    <row r="69" spans="1:11" ht="12.75">
      <c r="A69" s="204"/>
      <c r="B69" s="204"/>
      <c r="C69" s="204" t="s">
        <v>247</v>
      </c>
      <c r="D69" s="204" t="s">
        <v>572</v>
      </c>
      <c r="E69" s="204"/>
      <c r="F69" s="205">
        <f>SUM(F70)</f>
        <v>0</v>
      </c>
      <c r="G69" s="205">
        <f>SUM(G70)</f>
        <v>0</v>
      </c>
      <c r="H69" s="205">
        <f>SUM(H70)</f>
        <v>0</v>
      </c>
      <c r="I69" s="205">
        <f>SUM(I70)</f>
        <v>0</v>
      </c>
      <c r="J69" s="206">
        <f t="shared" si="0"/>
        <v>0</v>
      </c>
      <c r="K69" s="596"/>
    </row>
    <row r="70" spans="1:11" ht="12.75" hidden="1">
      <c r="A70" s="204"/>
      <c r="B70" s="204"/>
      <c r="C70" s="204"/>
      <c r="D70" s="204"/>
      <c r="E70" s="210" t="s">
        <v>573</v>
      </c>
      <c r="F70" s="205">
        <v>0</v>
      </c>
      <c r="G70" s="205">
        <v>0</v>
      </c>
      <c r="H70" s="205">
        <v>0</v>
      </c>
      <c r="I70" s="205">
        <v>0</v>
      </c>
      <c r="J70" s="206">
        <f t="shared" si="0"/>
        <v>0</v>
      </c>
      <c r="K70" s="596"/>
    </row>
    <row r="71" spans="1:11" ht="12.75">
      <c r="A71" s="204"/>
      <c r="B71" s="204"/>
      <c r="C71" s="204" t="s">
        <v>248</v>
      </c>
      <c r="D71" s="204" t="s">
        <v>249</v>
      </c>
      <c r="E71" s="204"/>
      <c r="F71" s="205">
        <v>0</v>
      </c>
      <c r="G71" s="205">
        <v>0</v>
      </c>
      <c r="H71" s="205">
        <v>0</v>
      </c>
      <c r="I71" s="205">
        <v>0</v>
      </c>
      <c r="J71" s="206">
        <f t="shared" si="0"/>
        <v>0</v>
      </c>
      <c r="K71" s="596"/>
    </row>
    <row r="72" spans="1:11" ht="12.75">
      <c r="A72" s="204"/>
      <c r="B72" s="204"/>
      <c r="C72" s="204" t="s">
        <v>250</v>
      </c>
      <c r="D72" s="204" t="s">
        <v>251</v>
      </c>
      <c r="E72" s="204"/>
      <c r="F72" s="205">
        <f>SUM(F73)</f>
        <v>0</v>
      </c>
      <c r="G72" s="205">
        <f>SUM(G73:G73)</f>
        <v>0</v>
      </c>
      <c r="H72" s="205">
        <v>0</v>
      </c>
      <c r="I72" s="205">
        <v>0</v>
      </c>
      <c r="J72" s="206">
        <f t="shared" si="0"/>
        <v>0</v>
      </c>
      <c r="K72" s="596"/>
    </row>
    <row r="73" spans="1:11" ht="12.75">
      <c r="A73" s="209"/>
      <c r="B73" s="209"/>
      <c r="C73" s="209"/>
      <c r="D73" s="210"/>
      <c r="E73" s="210" t="s">
        <v>651</v>
      </c>
      <c r="F73" s="211">
        <f>22000000-10269500-11730500</f>
        <v>0</v>
      </c>
      <c r="G73" s="211">
        <v>0</v>
      </c>
      <c r="H73" s="211">
        <v>0</v>
      </c>
      <c r="I73" s="211">
        <v>0</v>
      </c>
      <c r="J73" s="212">
        <f t="shared" si="0"/>
        <v>0</v>
      </c>
      <c r="K73" s="597"/>
    </row>
    <row r="74" spans="1:11" ht="12.75">
      <c r="A74" s="204"/>
      <c r="B74" s="204"/>
      <c r="C74" s="204" t="s">
        <v>252</v>
      </c>
      <c r="D74" s="204" t="s">
        <v>253</v>
      </c>
      <c r="E74" s="204"/>
      <c r="F74" s="205">
        <f>SUM(F75:F75)</f>
        <v>0</v>
      </c>
      <c r="G74" s="205">
        <v>0</v>
      </c>
      <c r="H74" s="205">
        <v>0</v>
      </c>
      <c r="I74" s="205">
        <v>0</v>
      </c>
      <c r="J74" s="206">
        <f aca="true" t="shared" si="1" ref="J74:J137">SUM(F74:I74)</f>
        <v>0</v>
      </c>
      <c r="K74" s="596"/>
    </row>
    <row r="75" spans="1:11" ht="12.75" hidden="1">
      <c r="A75" s="209"/>
      <c r="B75" s="209"/>
      <c r="C75" s="209"/>
      <c r="D75" s="210"/>
      <c r="E75" s="210" t="s">
        <v>255</v>
      </c>
      <c r="F75" s="211">
        <v>0</v>
      </c>
      <c r="G75" s="211">
        <v>0</v>
      </c>
      <c r="H75" s="211">
        <v>0</v>
      </c>
      <c r="I75" s="211">
        <v>0</v>
      </c>
      <c r="J75" s="212">
        <f t="shared" si="1"/>
        <v>0</v>
      </c>
      <c r="K75" s="597"/>
    </row>
    <row r="76" spans="1:11" ht="12.75">
      <c r="A76" s="201"/>
      <c r="B76" s="201" t="s">
        <v>256</v>
      </c>
      <c r="C76" s="958" t="s">
        <v>257</v>
      </c>
      <c r="D76" s="958"/>
      <c r="E76" s="958"/>
      <c r="F76" s="202">
        <f>SUM(F77:F86)</f>
        <v>650000</v>
      </c>
      <c r="G76" s="202">
        <f>SUM(G77:G86)</f>
        <v>0</v>
      </c>
      <c r="H76" s="202">
        <f>SUM(H77:H86)</f>
        <v>0</v>
      </c>
      <c r="I76" s="202">
        <f>SUM(I77:I86)</f>
        <v>0</v>
      </c>
      <c r="J76" s="203">
        <f t="shared" si="1"/>
        <v>650000</v>
      </c>
      <c r="K76" s="595"/>
    </row>
    <row r="77" spans="1:11" ht="12.75" hidden="1">
      <c r="A77" s="215"/>
      <c r="B77" s="215"/>
      <c r="C77" s="215"/>
      <c r="D77" s="210"/>
      <c r="E77" s="210" t="s">
        <v>258</v>
      </c>
      <c r="F77" s="211">
        <v>0</v>
      </c>
      <c r="G77" s="211">
        <v>0</v>
      </c>
      <c r="H77" s="211">
        <v>0</v>
      </c>
      <c r="I77" s="211">
        <v>0</v>
      </c>
      <c r="J77" s="212">
        <f t="shared" si="1"/>
        <v>0</v>
      </c>
      <c r="K77" s="597"/>
    </row>
    <row r="78" spans="1:11" ht="12.75" hidden="1">
      <c r="A78" s="209"/>
      <c r="B78" s="209"/>
      <c r="C78" s="209"/>
      <c r="D78" s="210"/>
      <c r="E78" s="210" t="s">
        <v>259</v>
      </c>
      <c r="F78" s="211">
        <v>0</v>
      </c>
      <c r="G78" s="211"/>
      <c r="H78" s="211">
        <v>0</v>
      </c>
      <c r="I78" s="211">
        <v>0</v>
      </c>
      <c r="J78" s="212">
        <f t="shared" si="1"/>
        <v>0</v>
      </c>
      <c r="K78" s="597"/>
    </row>
    <row r="79" spans="1:11" ht="12.75" hidden="1">
      <c r="A79" s="215"/>
      <c r="B79" s="215"/>
      <c r="C79" s="215"/>
      <c r="D79" s="210"/>
      <c r="E79" s="210" t="s">
        <v>260</v>
      </c>
      <c r="F79" s="211">
        <v>0</v>
      </c>
      <c r="G79" s="211">
        <v>0</v>
      </c>
      <c r="H79" s="211">
        <v>0</v>
      </c>
      <c r="I79" s="211">
        <v>0</v>
      </c>
      <c r="J79" s="212">
        <f t="shared" si="1"/>
        <v>0</v>
      </c>
      <c r="K79" s="597"/>
    </row>
    <row r="80" spans="1:11" ht="12.75" customHeight="1">
      <c r="A80" s="215"/>
      <c r="B80" s="215"/>
      <c r="C80" s="215"/>
      <c r="D80" s="210"/>
      <c r="E80" s="210" t="s">
        <v>254</v>
      </c>
      <c r="F80" s="211">
        <v>350000</v>
      </c>
      <c r="G80" s="211">
        <v>0</v>
      </c>
      <c r="H80" s="211">
        <v>0</v>
      </c>
      <c r="I80" s="211">
        <v>0</v>
      </c>
      <c r="J80" s="212">
        <f t="shared" si="1"/>
        <v>350000</v>
      </c>
      <c r="K80" s="597"/>
    </row>
    <row r="81" spans="1:11" ht="0.75" customHeight="1" hidden="1">
      <c r="A81" s="215"/>
      <c r="B81" s="215"/>
      <c r="C81" s="215"/>
      <c r="D81" s="210"/>
      <c r="E81" s="210" t="s">
        <v>261</v>
      </c>
      <c r="F81" s="211"/>
      <c r="G81" s="211">
        <v>0</v>
      </c>
      <c r="H81" s="211">
        <v>0</v>
      </c>
      <c r="I81" s="211">
        <v>0</v>
      </c>
      <c r="J81" s="212">
        <f t="shared" si="1"/>
        <v>0</v>
      </c>
      <c r="K81" s="597"/>
    </row>
    <row r="82" spans="1:11" ht="12.75" hidden="1">
      <c r="A82" s="215"/>
      <c r="B82" s="215"/>
      <c r="C82" s="215"/>
      <c r="D82" s="210"/>
      <c r="E82" s="210" t="s">
        <v>262</v>
      </c>
      <c r="F82" s="211"/>
      <c r="G82" s="211">
        <v>0</v>
      </c>
      <c r="H82" s="211">
        <v>0</v>
      </c>
      <c r="I82" s="211">
        <v>0</v>
      </c>
      <c r="J82" s="212">
        <f t="shared" si="1"/>
        <v>0</v>
      </c>
      <c r="K82" s="597"/>
    </row>
    <row r="83" spans="1:11" ht="12.75" hidden="1">
      <c r="A83" s="215"/>
      <c r="B83" s="215"/>
      <c r="C83" s="215"/>
      <c r="D83" s="210"/>
      <c r="E83" s="210" t="s">
        <v>613</v>
      </c>
      <c r="F83" s="211"/>
      <c r="G83" s="211">
        <v>0</v>
      </c>
      <c r="H83" s="211">
        <v>0</v>
      </c>
      <c r="I83" s="211">
        <v>0</v>
      </c>
      <c r="J83" s="212">
        <f t="shared" si="1"/>
        <v>0</v>
      </c>
      <c r="K83" s="597"/>
    </row>
    <row r="84" spans="1:11" ht="30" customHeight="1" hidden="1">
      <c r="A84" s="209"/>
      <c r="B84" s="209"/>
      <c r="C84" s="209"/>
      <c r="D84" s="209"/>
      <c r="E84" s="216" t="s">
        <v>652</v>
      </c>
      <c r="F84" s="211"/>
      <c r="G84" s="211">
        <v>0</v>
      </c>
      <c r="H84" s="211">
        <v>0</v>
      </c>
      <c r="I84" s="211">
        <v>0</v>
      </c>
      <c r="J84" s="212">
        <f t="shared" si="1"/>
        <v>0</v>
      </c>
      <c r="K84" s="597"/>
    </row>
    <row r="85" spans="1:11" ht="12.75" hidden="1">
      <c r="A85" s="215"/>
      <c r="B85" s="215"/>
      <c r="C85" s="215"/>
      <c r="D85" s="215"/>
      <c r="E85" s="210" t="s">
        <v>263</v>
      </c>
      <c r="F85" s="211"/>
      <c r="G85" s="211">
        <v>0</v>
      </c>
      <c r="H85" s="211">
        <v>0</v>
      </c>
      <c r="I85" s="211">
        <v>0</v>
      </c>
      <c r="J85" s="212">
        <f t="shared" si="1"/>
        <v>0</v>
      </c>
      <c r="K85" s="597"/>
    </row>
    <row r="86" spans="1:11" ht="12.75">
      <c r="A86" s="209"/>
      <c r="B86" s="209"/>
      <c r="C86" s="209"/>
      <c r="D86" s="209"/>
      <c r="E86" s="214" t="s">
        <v>264</v>
      </c>
      <c r="F86" s="211">
        <v>300000</v>
      </c>
      <c r="G86" s="211">
        <v>0</v>
      </c>
      <c r="H86" s="211">
        <v>0</v>
      </c>
      <c r="I86" s="211">
        <v>0</v>
      </c>
      <c r="J86" s="212">
        <f t="shared" si="1"/>
        <v>300000</v>
      </c>
      <c r="K86" s="597"/>
    </row>
    <row r="87" spans="1:11" s="200" customFormat="1" ht="12.75">
      <c r="A87" s="198" t="s">
        <v>265</v>
      </c>
      <c r="B87" s="966" t="s">
        <v>266</v>
      </c>
      <c r="C87" s="966"/>
      <c r="D87" s="966"/>
      <c r="E87" s="966"/>
      <c r="F87" s="199">
        <f>SUM(F88+F89+F92+F94+F101+F102+F103+F104+F111+F119+F120)</f>
        <v>53669771</v>
      </c>
      <c r="G87" s="199">
        <f>SUM(G88+G89+G92+G94+G101+G102+G103+G104+G111+G119+G120)</f>
        <v>5787349</v>
      </c>
      <c r="H87" s="199">
        <f>SUM(H88+H89+H92+H94+H101+H102+H103+H104+H111+H119+H120)</f>
        <v>1411725</v>
      </c>
      <c r="I87" s="199">
        <f>SUM(I88+I89+I92+I94+I101+I102+I103+I104+I111+I119+I120)</f>
        <v>10586950</v>
      </c>
      <c r="J87" s="199">
        <f t="shared" si="1"/>
        <v>71455795</v>
      </c>
      <c r="K87" s="594"/>
    </row>
    <row r="88" spans="1:11" ht="12.75">
      <c r="A88" s="204"/>
      <c r="B88" s="204"/>
      <c r="C88" s="204" t="s">
        <v>267</v>
      </c>
      <c r="D88" s="204" t="s">
        <v>530</v>
      </c>
      <c r="E88" s="204"/>
      <c r="F88" s="205">
        <f>9000000+500000</f>
        <v>9500000</v>
      </c>
      <c r="G88" s="205">
        <v>0</v>
      </c>
      <c r="H88" s="205">
        <v>0</v>
      </c>
      <c r="I88" s="205">
        <v>0</v>
      </c>
      <c r="J88" s="206">
        <f t="shared" si="1"/>
        <v>9500000</v>
      </c>
      <c r="K88" s="596"/>
    </row>
    <row r="89" spans="1:11" ht="12.75">
      <c r="A89" s="204"/>
      <c r="B89" s="204"/>
      <c r="C89" s="204" t="s">
        <v>268</v>
      </c>
      <c r="D89" s="204" t="s">
        <v>340</v>
      </c>
      <c r="E89" s="204"/>
      <c r="F89" s="205">
        <f>6000000+10142978+342137</f>
        <v>16485115</v>
      </c>
      <c r="G89" s="205">
        <v>250000</v>
      </c>
      <c r="H89" s="205">
        <v>0</v>
      </c>
      <c r="I89" s="205">
        <f>90000+4520000+536221+3402559</f>
        <v>8548780</v>
      </c>
      <c r="J89" s="206">
        <f t="shared" si="1"/>
        <v>25283895</v>
      </c>
      <c r="K89" s="596"/>
    </row>
    <row r="90" spans="1:11" ht="12.75">
      <c r="A90" s="209"/>
      <c r="B90" s="209"/>
      <c r="C90" s="210" t="s">
        <v>2</v>
      </c>
      <c r="D90" s="210"/>
      <c r="E90" s="210" t="s">
        <v>269</v>
      </c>
      <c r="F90" s="217">
        <v>10142978</v>
      </c>
      <c r="G90" s="217">
        <v>0</v>
      </c>
      <c r="H90" s="211">
        <v>0</v>
      </c>
      <c r="I90" s="211">
        <v>320000</v>
      </c>
      <c r="J90" s="212">
        <f t="shared" si="1"/>
        <v>10462978</v>
      </c>
      <c r="K90" s="597"/>
    </row>
    <row r="91" spans="1:11" ht="12.75" hidden="1">
      <c r="A91" s="209"/>
      <c r="B91" s="209"/>
      <c r="C91" s="210"/>
      <c r="D91" s="210"/>
      <c r="E91" s="210" t="s">
        <v>847</v>
      </c>
      <c r="F91" s="211"/>
      <c r="G91" s="211">
        <v>0</v>
      </c>
      <c r="H91" s="211">
        <v>0</v>
      </c>
      <c r="I91" s="211">
        <v>0</v>
      </c>
      <c r="J91" s="212">
        <f t="shared" si="1"/>
        <v>0</v>
      </c>
      <c r="K91" s="597"/>
    </row>
    <row r="92" spans="1:11" ht="12.75">
      <c r="A92" s="204"/>
      <c r="B92" s="204"/>
      <c r="C92" s="204" t="s">
        <v>270</v>
      </c>
      <c r="D92" s="204" t="s">
        <v>271</v>
      </c>
      <c r="E92" s="204"/>
      <c r="F92" s="205">
        <f>472000+2666578</f>
        <v>3138578</v>
      </c>
      <c r="G92" s="205">
        <v>4549259</v>
      </c>
      <c r="H92" s="205">
        <v>0</v>
      </c>
      <c r="I92" s="205">
        <v>0</v>
      </c>
      <c r="J92" s="206">
        <f t="shared" si="1"/>
        <v>7687837</v>
      </c>
      <c r="K92" s="596"/>
    </row>
    <row r="93" spans="1:11" ht="12.75">
      <c r="A93" s="209"/>
      <c r="B93" s="209"/>
      <c r="C93" s="210" t="s">
        <v>2</v>
      </c>
      <c r="D93" s="210"/>
      <c r="E93" s="210" t="s">
        <v>7</v>
      </c>
      <c r="F93" s="211">
        <f>370000+1528712</f>
        <v>1898712</v>
      </c>
      <c r="G93" s="211">
        <v>688235</v>
      </c>
      <c r="H93" s="211">
        <v>0</v>
      </c>
      <c r="I93" s="211">
        <v>0</v>
      </c>
      <c r="J93" s="212">
        <f t="shared" si="1"/>
        <v>2586947</v>
      </c>
      <c r="K93" s="597"/>
    </row>
    <row r="94" spans="1:11" ht="12.75">
      <c r="A94" s="204"/>
      <c r="B94" s="204"/>
      <c r="C94" s="204" t="s">
        <v>272</v>
      </c>
      <c r="D94" s="204" t="s">
        <v>273</v>
      </c>
      <c r="E94" s="204"/>
      <c r="F94" s="205">
        <f>15000+731000</f>
        <v>746000</v>
      </c>
      <c r="G94" s="205">
        <v>0</v>
      </c>
      <c r="H94" s="205">
        <v>0</v>
      </c>
      <c r="I94" s="205">
        <v>0</v>
      </c>
      <c r="J94" s="206">
        <f t="shared" si="1"/>
        <v>746000</v>
      </c>
      <c r="K94" s="596"/>
    </row>
    <row r="95" spans="1:11" ht="12.75" hidden="1">
      <c r="A95" s="209"/>
      <c r="B95" s="209"/>
      <c r="C95" s="210" t="s">
        <v>2</v>
      </c>
      <c r="D95" s="210"/>
      <c r="E95" s="210" t="s">
        <v>274</v>
      </c>
      <c r="F95" s="211"/>
      <c r="G95" s="211">
        <v>0</v>
      </c>
      <c r="H95" s="211">
        <v>0</v>
      </c>
      <c r="I95" s="211">
        <v>0</v>
      </c>
      <c r="J95" s="212">
        <f t="shared" si="1"/>
        <v>0</v>
      </c>
      <c r="K95" s="597"/>
    </row>
    <row r="96" spans="1:11" ht="12.75" hidden="1">
      <c r="A96" s="209"/>
      <c r="B96" s="209"/>
      <c r="C96" s="210"/>
      <c r="D96" s="210"/>
      <c r="E96" s="210" t="s">
        <v>653</v>
      </c>
      <c r="F96" s="211"/>
      <c r="G96" s="211">
        <v>0</v>
      </c>
      <c r="H96" s="211">
        <v>0</v>
      </c>
      <c r="I96" s="211">
        <v>0</v>
      </c>
      <c r="J96" s="212">
        <f t="shared" si="1"/>
        <v>0</v>
      </c>
      <c r="K96" s="597"/>
    </row>
    <row r="97" spans="1:11" ht="12" customHeight="1">
      <c r="A97" s="209"/>
      <c r="B97" s="209"/>
      <c r="C97" s="210" t="s">
        <v>2</v>
      </c>
      <c r="D97" s="210"/>
      <c r="E97" s="210" t="s">
        <v>654</v>
      </c>
      <c r="F97" s="211">
        <f>15000+481000</f>
        <v>496000</v>
      </c>
      <c r="G97" s="211">
        <v>0</v>
      </c>
      <c r="H97" s="211">
        <v>0</v>
      </c>
      <c r="I97" s="211">
        <v>0</v>
      </c>
      <c r="J97" s="212">
        <f t="shared" si="1"/>
        <v>496000</v>
      </c>
      <c r="K97" s="597"/>
    </row>
    <row r="98" spans="1:11" ht="12.75" hidden="1">
      <c r="A98" s="209"/>
      <c r="B98" s="209"/>
      <c r="C98" s="210"/>
      <c r="D98" s="210"/>
      <c r="E98" s="210" t="s">
        <v>655</v>
      </c>
      <c r="F98" s="211"/>
      <c r="G98" s="211">
        <v>0</v>
      </c>
      <c r="H98" s="211">
        <v>0</v>
      </c>
      <c r="I98" s="211">
        <v>0</v>
      </c>
      <c r="J98" s="212">
        <f t="shared" si="1"/>
        <v>0</v>
      </c>
      <c r="K98" s="597"/>
    </row>
    <row r="99" spans="1:11" ht="12.75" hidden="1">
      <c r="A99" s="209"/>
      <c r="B99" s="209"/>
      <c r="C99" s="210"/>
      <c r="D99" s="210"/>
      <c r="E99" s="210" t="s">
        <v>656</v>
      </c>
      <c r="F99" s="211"/>
      <c r="G99" s="211">
        <v>0</v>
      </c>
      <c r="H99" s="211">
        <v>0</v>
      </c>
      <c r="I99" s="211">
        <v>0</v>
      </c>
      <c r="J99" s="212">
        <f t="shared" si="1"/>
        <v>0</v>
      </c>
      <c r="K99" s="597"/>
    </row>
    <row r="100" spans="1:11" ht="12.75" hidden="1">
      <c r="A100" s="209"/>
      <c r="B100" s="209"/>
      <c r="C100" s="210"/>
      <c r="D100" s="210"/>
      <c r="E100" s="210" t="s">
        <v>531</v>
      </c>
      <c r="F100" s="211"/>
      <c r="G100" s="211">
        <v>0</v>
      </c>
      <c r="H100" s="211">
        <v>0</v>
      </c>
      <c r="I100" s="211">
        <v>0</v>
      </c>
      <c r="J100" s="212">
        <f t="shared" si="1"/>
        <v>0</v>
      </c>
      <c r="K100" s="597"/>
    </row>
    <row r="101" spans="1:11" ht="12.75">
      <c r="A101" s="204"/>
      <c r="B101" s="204"/>
      <c r="C101" s="204" t="s">
        <v>275</v>
      </c>
      <c r="D101" s="204" t="s">
        <v>276</v>
      </c>
      <c r="E101" s="204"/>
      <c r="F101" s="205">
        <f>5925110+12898200+635625</f>
        <v>19458935</v>
      </c>
      <c r="G101" s="205">
        <v>0</v>
      </c>
      <c r="H101" s="205">
        <v>1111594</v>
      </c>
      <c r="I101" s="205">
        <v>0</v>
      </c>
      <c r="J101" s="206">
        <f t="shared" si="1"/>
        <v>20570529</v>
      </c>
      <c r="K101" s="596"/>
    </row>
    <row r="102" spans="1:11" ht="12.75">
      <c r="A102" s="204"/>
      <c r="B102" s="204"/>
      <c r="C102" s="204" t="s">
        <v>277</v>
      </c>
      <c r="D102" s="204" t="s">
        <v>278</v>
      </c>
      <c r="E102" s="204"/>
      <c r="F102" s="205">
        <f>1599780+1755000+127440+686046+92377</f>
        <v>4260643</v>
      </c>
      <c r="G102" s="205">
        <v>988090</v>
      </c>
      <c r="H102" s="205">
        <v>300131</v>
      </c>
      <c r="I102" s="205">
        <f>24300+950400+144779+918691</f>
        <v>2038170</v>
      </c>
      <c r="J102" s="206">
        <f t="shared" si="1"/>
        <v>7587034</v>
      </c>
      <c r="K102" s="596"/>
    </row>
    <row r="103" spans="1:11" ht="12.75">
      <c r="A103" s="204"/>
      <c r="B103" s="204"/>
      <c r="C103" s="204" t="s">
        <v>279</v>
      </c>
      <c r="D103" s="204" t="s">
        <v>280</v>
      </c>
      <c r="E103" s="204"/>
      <c r="F103" s="205">
        <v>0</v>
      </c>
      <c r="G103" s="205">
        <v>0</v>
      </c>
      <c r="H103" s="205">
        <v>0</v>
      </c>
      <c r="I103" s="205">
        <v>0</v>
      </c>
      <c r="J103" s="206">
        <f t="shared" si="1"/>
        <v>0</v>
      </c>
      <c r="K103" s="596"/>
    </row>
    <row r="104" spans="1:11" ht="12" customHeight="1">
      <c r="A104" s="204"/>
      <c r="B104" s="204"/>
      <c r="C104" s="204" t="s">
        <v>281</v>
      </c>
      <c r="D104" s="204" t="s">
        <v>574</v>
      </c>
      <c r="E104" s="204"/>
      <c r="F104" s="205">
        <v>500</v>
      </c>
      <c r="G104" s="205">
        <f>SUM(G105+G108)</f>
        <v>0</v>
      </c>
      <c r="H104" s="205">
        <f>SUM(H105+H108)</f>
        <v>0</v>
      </c>
      <c r="I104" s="205">
        <f>SUM(I105+I108)</f>
        <v>0</v>
      </c>
      <c r="J104" s="206">
        <f t="shared" si="1"/>
        <v>500</v>
      </c>
      <c r="K104" s="596"/>
    </row>
    <row r="105" spans="1:11" ht="12.75" hidden="1">
      <c r="A105" s="204"/>
      <c r="B105" s="204"/>
      <c r="C105" s="210"/>
      <c r="D105" s="969" t="s">
        <v>657</v>
      </c>
      <c r="E105" s="970"/>
      <c r="F105" s="211"/>
      <c r="G105" s="211">
        <v>0</v>
      </c>
      <c r="H105" s="211">
        <v>0</v>
      </c>
      <c r="I105" s="211">
        <v>0</v>
      </c>
      <c r="J105" s="212">
        <f t="shared" si="1"/>
        <v>0</v>
      </c>
      <c r="K105" s="597"/>
    </row>
    <row r="106" spans="1:11" ht="12.75" hidden="1">
      <c r="A106" s="204"/>
      <c r="B106" s="204"/>
      <c r="C106" s="204" t="s">
        <v>2</v>
      </c>
      <c r="D106" s="204"/>
      <c r="E106" s="210" t="s">
        <v>7</v>
      </c>
      <c r="F106" s="211"/>
      <c r="G106" s="211">
        <v>0</v>
      </c>
      <c r="H106" s="211">
        <v>0</v>
      </c>
      <c r="I106" s="211">
        <v>0</v>
      </c>
      <c r="J106" s="212">
        <f t="shared" si="1"/>
        <v>0</v>
      </c>
      <c r="K106" s="597"/>
    </row>
    <row r="107" spans="1:11" ht="12.75" hidden="1">
      <c r="A107" s="204"/>
      <c r="B107" s="204"/>
      <c r="C107" s="204"/>
      <c r="D107" s="204"/>
      <c r="E107" s="210" t="s">
        <v>658</v>
      </c>
      <c r="F107" s="211"/>
      <c r="G107" s="211">
        <v>0</v>
      </c>
      <c r="H107" s="211">
        <v>0</v>
      </c>
      <c r="I107" s="211">
        <v>0</v>
      </c>
      <c r="J107" s="212">
        <f t="shared" si="1"/>
        <v>0</v>
      </c>
      <c r="K107" s="597"/>
    </row>
    <row r="108" spans="1:11" ht="12.75">
      <c r="A108" s="204"/>
      <c r="B108" s="204"/>
      <c r="C108" s="204" t="s">
        <v>2</v>
      </c>
      <c r="D108" s="969" t="s">
        <v>576</v>
      </c>
      <c r="E108" s="970"/>
      <c r="F108" s="211">
        <v>0</v>
      </c>
      <c r="G108" s="211">
        <v>0</v>
      </c>
      <c r="H108" s="211">
        <v>0</v>
      </c>
      <c r="I108" s="211">
        <v>0</v>
      </c>
      <c r="J108" s="212">
        <f t="shared" si="1"/>
        <v>0</v>
      </c>
      <c r="K108" s="597"/>
    </row>
    <row r="109" spans="1:11" ht="12.75" hidden="1">
      <c r="A109" s="204"/>
      <c r="B109" s="204"/>
      <c r="C109" s="204"/>
      <c r="D109" s="204"/>
      <c r="E109" s="210" t="s">
        <v>7</v>
      </c>
      <c r="F109" s="211"/>
      <c r="G109" s="211">
        <v>0</v>
      </c>
      <c r="H109" s="211">
        <v>0</v>
      </c>
      <c r="I109" s="211">
        <v>0</v>
      </c>
      <c r="J109" s="212">
        <f t="shared" si="1"/>
        <v>0</v>
      </c>
      <c r="K109" s="597"/>
    </row>
    <row r="110" spans="1:11" ht="12.75" hidden="1">
      <c r="A110" s="204"/>
      <c r="B110" s="204"/>
      <c r="C110" s="204"/>
      <c r="D110" s="204"/>
      <c r="E110" s="210" t="s">
        <v>532</v>
      </c>
      <c r="F110" s="211"/>
      <c r="G110" s="211">
        <v>0</v>
      </c>
      <c r="H110" s="211">
        <v>0</v>
      </c>
      <c r="I110" s="211">
        <v>0</v>
      </c>
      <c r="J110" s="212">
        <f t="shared" si="1"/>
        <v>0</v>
      </c>
      <c r="K110" s="597"/>
    </row>
    <row r="111" spans="1:11" ht="12.75">
      <c r="A111" s="204"/>
      <c r="B111" s="204"/>
      <c r="C111" s="204" t="s">
        <v>282</v>
      </c>
      <c r="D111" s="204" t="s">
        <v>579</v>
      </c>
      <c r="E111" s="204"/>
      <c r="F111" s="205">
        <v>0</v>
      </c>
      <c r="G111" s="205">
        <f>SUM(G112:G113)</f>
        <v>0</v>
      </c>
      <c r="H111" s="205">
        <f>SUM(H112:H113)</f>
        <v>0</v>
      </c>
      <c r="I111" s="205">
        <f>SUM(I112:I113)</f>
        <v>0</v>
      </c>
      <c r="J111" s="206">
        <f t="shared" si="1"/>
        <v>0</v>
      </c>
      <c r="K111" s="596"/>
    </row>
    <row r="112" spans="1:11" ht="12.75" hidden="1">
      <c r="A112" s="204"/>
      <c r="B112" s="204"/>
      <c r="C112" s="204"/>
      <c r="D112" s="969" t="s">
        <v>577</v>
      </c>
      <c r="E112" s="970"/>
      <c r="F112" s="205"/>
      <c r="G112" s="205">
        <v>0</v>
      </c>
      <c r="H112" s="205">
        <v>0</v>
      </c>
      <c r="I112" s="205">
        <v>0</v>
      </c>
      <c r="J112" s="206">
        <f t="shared" si="1"/>
        <v>0</v>
      </c>
      <c r="K112" s="596"/>
    </row>
    <row r="113" spans="1:11" ht="12.75" hidden="1">
      <c r="A113" s="204"/>
      <c r="B113" s="204"/>
      <c r="C113" s="204"/>
      <c r="D113" s="969" t="s">
        <v>578</v>
      </c>
      <c r="E113" s="970"/>
      <c r="F113" s="205"/>
      <c r="G113" s="205">
        <v>0</v>
      </c>
      <c r="H113" s="205">
        <v>0</v>
      </c>
      <c r="I113" s="205">
        <v>0</v>
      </c>
      <c r="J113" s="206">
        <f t="shared" si="1"/>
        <v>0</v>
      </c>
      <c r="K113" s="596"/>
    </row>
    <row r="114" spans="1:11" ht="12.75" hidden="1">
      <c r="A114" s="204"/>
      <c r="B114" s="204"/>
      <c r="C114" s="204" t="s">
        <v>2</v>
      </c>
      <c r="D114" s="204"/>
      <c r="E114" s="210" t="s">
        <v>580</v>
      </c>
      <c r="F114" s="205"/>
      <c r="G114" s="205">
        <v>0</v>
      </c>
      <c r="H114" s="205">
        <v>0</v>
      </c>
      <c r="I114" s="205">
        <v>0</v>
      </c>
      <c r="J114" s="206">
        <f t="shared" si="1"/>
        <v>0</v>
      </c>
      <c r="K114" s="596"/>
    </row>
    <row r="115" spans="1:11" ht="12.75" hidden="1">
      <c r="A115" s="204"/>
      <c r="B115" s="204"/>
      <c r="C115" s="204"/>
      <c r="D115" s="204"/>
      <c r="E115" s="210" t="s">
        <v>575</v>
      </c>
      <c r="F115" s="205"/>
      <c r="G115" s="205">
        <v>0</v>
      </c>
      <c r="H115" s="205">
        <v>0</v>
      </c>
      <c r="I115" s="205">
        <v>0</v>
      </c>
      <c r="J115" s="206">
        <f t="shared" si="1"/>
        <v>0</v>
      </c>
      <c r="K115" s="596"/>
    </row>
    <row r="116" spans="1:11" ht="12.75" hidden="1">
      <c r="A116" s="204"/>
      <c r="B116" s="204"/>
      <c r="C116" s="204"/>
      <c r="D116" s="204"/>
      <c r="E116" s="210" t="s">
        <v>581</v>
      </c>
      <c r="F116" s="205"/>
      <c r="G116" s="205">
        <v>0</v>
      </c>
      <c r="H116" s="205">
        <v>0</v>
      </c>
      <c r="I116" s="205">
        <v>0</v>
      </c>
      <c r="J116" s="206">
        <f t="shared" si="1"/>
        <v>0</v>
      </c>
      <c r="K116" s="596"/>
    </row>
    <row r="117" spans="1:11" ht="12.75" hidden="1">
      <c r="A117" s="204"/>
      <c r="B117" s="204"/>
      <c r="C117" s="204"/>
      <c r="D117" s="204"/>
      <c r="E117" s="210" t="s">
        <v>582</v>
      </c>
      <c r="F117" s="205"/>
      <c r="G117" s="205">
        <v>0</v>
      </c>
      <c r="H117" s="205">
        <v>0</v>
      </c>
      <c r="I117" s="205">
        <v>0</v>
      </c>
      <c r="J117" s="206">
        <f t="shared" si="1"/>
        <v>0</v>
      </c>
      <c r="K117" s="596"/>
    </row>
    <row r="118" spans="1:11" ht="12.75" hidden="1">
      <c r="A118" s="204"/>
      <c r="B118" s="204"/>
      <c r="C118" s="204"/>
      <c r="D118" s="204"/>
      <c r="E118" s="210" t="s">
        <v>583</v>
      </c>
      <c r="F118" s="205"/>
      <c r="G118" s="205">
        <v>0</v>
      </c>
      <c r="H118" s="205">
        <v>0</v>
      </c>
      <c r="I118" s="205">
        <v>0</v>
      </c>
      <c r="J118" s="206">
        <f t="shared" si="1"/>
        <v>0</v>
      </c>
      <c r="K118" s="596"/>
    </row>
    <row r="119" spans="1:11" ht="12.75">
      <c r="A119" s="204"/>
      <c r="B119" s="204"/>
      <c r="C119" s="204" t="s">
        <v>283</v>
      </c>
      <c r="D119" s="204" t="s">
        <v>533</v>
      </c>
      <c r="E119" s="204"/>
      <c r="F119" s="205">
        <v>0</v>
      </c>
      <c r="G119" s="205">
        <v>0</v>
      </c>
      <c r="H119" s="205">
        <v>0</v>
      </c>
      <c r="I119" s="205">
        <v>0</v>
      </c>
      <c r="J119" s="206">
        <f t="shared" si="1"/>
        <v>0</v>
      </c>
      <c r="K119" s="596"/>
    </row>
    <row r="120" spans="1:11" ht="22.5" customHeight="1">
      <c r="A120" s="204"/>
      <c r="B120" s="204"/>
      <c r="C120" s="724" t="s">
        <v>534</v>
      </c>
      <c r="D120" s="968" t="s">
        <v>535</v>
      </c>
      <c r="E120" s="968"/>
      <c r="F120" s="750">
        <f>80000+10959511-10959511</f>
        <v>80000</v>
      </c>
      <c r="G120" s="750">
        <v>0</v>
      </c>
      <c r="H120" s="750">
        <v>0</v>
      </c>
      <c r="I120" s="750">
        <v>0</v>
      </c>
      <c r="J120" s="751">
        <f t="shared" si="1"/>
        <v>80000</v>
      </c>
      <c r="K120" s="596"/>
    </row>
    <row r="121" spans="1:11" ht="45.75" customHeight="1" hidden="1">
      <c r="A121" s="208"/>
      <c r="B121" s="208"/>
      <c r="C121" s="218" t="s">
        <v>2</v>
      </c>
      <c r="D121" s="216" t="s">
        <v>440</v>
      </c>
      <c r="E121" s="216" t="s">
        <v>557</v>
      </c>
      <c r="F121" s="211">
        <v>0</v>
      </c>
      <c r="G121" s="211">
        <v>0</v>
      </c>
      <c r="H121" s="211">
        <v>0</v>
      </c>
      <c r="I121" s="211">
        <v>0</v>
      </c>
      <c r="J121" s="212">
        <f t="shared" si="1"/>
        <v>0</v>
      </c>
      <c r="K121" s="597"/>
    </row>
    <row r="122" spans="1:11" ht="13.5" customHeight="1" hidden="1">
      <c r="A122" s="209"/>
      <c r="B122" s="209"/>
      <c r="C122" s="209"/>
      <c r="D122" s="210" t="s">
        <v>440</v>
      </c>
      <c r="E122" s="219" t="s">
        <v>584</v>
      </c>
      <c r="F122" s="211"/>
      <c r="G122" s="211">
        <v>0</v>
      </c>
      <c r="H122" s="211">
        <v>0</v>
      </c>
      <c r="I122" s="211">
        <v>0</v>
      </c>
      <c r="J122" s="212">
        <f t="shared" si="1"/>
        <v>0</v>
      </c>
      <c r="K122" s="597"/>
    </row>
    <row r="123" spans="1:11" s="200" customFormat="1" ht="12.75">
      <c r="A123" s="198" t="s">
        <v>284</v>
      </c>
      <c r="B123" s="966" t="s">
        <v>285</v>
      </c>
      <c r="C123" s="966"/>
      <c r="D123" s="966"/>
      <c r="E123" s="966"/>
      <c r="F123" s="199">
        <f>SUM(F124+F126+F128+F129+F130)</f>
        <v>57599464</v>
      </c>
      <c r="G123" s="199">
        <f>SUM(G124+G126+G128+G129+G130)</f>
        <v>0</v>
      </c>
      <c r="H123" s="199">
        <f>SUM(H124+H126+H128+H129+H130)</f>
        <v>0</v>
      </c>
      <c r="I123" s="199">
        <f>SUM(I124+I126+I128+I129+I130)</f>
        <v>0</v>
      </c>
      <c r="J123" s="199">
        <f t="shared" si="1"/>
        <v>57599464</v>
      </c>
      <c r="K123" s="594"/>
    </row>
    <row r="124" spans="1:11" ht="12.75">
      <c r="A124" s="201"/>
      <c r="B124" s="201" t="s">
        <v>286</v>
      </c>
      <c r="C124" s="958" t="s">
        <v>341</v>
      </c>
      <c r="D124" s="958"/>
      <c r="E124" s="958"/>
      <c r="F124" s="202">
        <v>0</v>
      </c>
      <c r="G124" s="202">
        <v>0</v>
      </c>
      <c r="H124" s="202">
        <v>0</v>
      </c>
      <c r="I124" s="202">
        <v>0</v>
      </c>
      <c r="J124" s="203">
        <f t="shared" si="1"/>
        <v>0</v>
      </c>
      <c r="K124" s="595"/>
    </row>
    <row r="125" spans="1:11" ht="12.75" hidden="1">
      <c r="A125" s="209"/>
      <c r="B125" s="209"/>
      <c r="C125" s="210" t="s">
        <v>2</v>
      </c>
      <c r="D125" s="210" t="s">
        <v>440</v>
      </c>
      <c r="E125" s="210" t="s">
        <v>630</v>
      </c>
      <c r="F125" s="211">
        <v>0</v>
      </c>
      <c r="G125" s="211">
        <v>0</v>
      </c>
      <c r="H125" s="211">
        <v>0</v>
      </c>
      <c r="I125" s="211">
        <v>0</v>
      </c>
      <c r="J125" s="212">
        <f t="shared" si="1"/>
        <v>0</v>
      </c>
      <c r="K125" s="597"/>
    </row>
    <row r="126" spans="1:11" ht="12.75">
      <c r="A126" s="201"/>
      <c r="B126" s="201" t="s">
        <v>287</v>
      </c>
      <c r="C126" s="958" t="s">
        <v>288</v>
      </c>
      <c r="D126" s="958"/>
      <c r="E126" s="958"/>
      <c r="F126" s="202">
        <f>44406964+1500000+1000000+11730500-1038000</f>
        <v>57599464</v>
      </c>
      <c r="G126" s="202">
        <v>0</v>
      </c>
      <c r="H126" s="202">
        <v>0</v>
      </c>
      <c r="I126" s="202">
        <v>0</v>
      </c>
      <c r="J126" s="203">
        <f t="shared" si="1"/>
        <v>57599464</v>
      </c>
      <c r="K126" s="595"/>
    </row>
    <row r="127" spans="1:11" ht="12.75" hidden="1">
      <c r="A127" s="209"/>
      <c r="B127" s="209"/>
      <c r="C127" s="210" t="s">
        <v>2</v>
      </c>
      <c r="D127" s="210" t="s">
        <v>440</v>
      </c>
      <c r="E127" s="210" t="s">
        <v>289</v>
      </c>
      <c r="F127" s="211">
        <v>0</v>
      </c>
      <c r="G127" s="211">
        <v>0</v>
      </c>
      <c r="H127" s="211">
        <v>0</v>
      </c>
      <c r="I127" s="211">
        <v>0</v>
      </c>
      <c r="J127" s="212">
        <f t="shared" si="1"/>
        <v>0</v>
      </c>
      <c r="K127" s="597"/>
    </row>
    <row r="128" spans="1:11" ht="12.75" hidden="1">
      <c r="A128" s="201"/>
      <c r="B128" s="201" t="s">
        <v>290</v>
      </c>
      <c r="C128" s="958" t="s">
        <v>291</v>
      </c>
      <c r="D128" s="958"/>
      <c r="E128" s="958"/>
      <c r="F128" s="202">
        <v>0</v>
      </c>
      <c r="G128" s="202">
        <v>0</v>
      </c>
      <c r="H128" s="202">
        <v>0</v>
      </c>
      <c r="I128" s="202">
        <v>0</v>
      </c>
      <c r="J128" s="203">
        <f t="shared" si="1"/>
        <v>0</v>
      </c>
      <c r="K128" s="595"/>
    </row>
    <row r="129" spans="1:11" ht="12.75" hidden="1">
      <c r="A129" s="201"/>
      <c r="B129" s="201" t="s">
        <v>292</v>
      </c>
      <c r="C129" s="958" t="s">
        <v>293</v>
      </c>
      <c r="D129" s="958"/>
      <c r="E129" s="958"/>
      <c r="F129" s="202">
        <v>0</v>
      </c>
      <c r="G129" s="202">
        <v>0</v>
      </c>
      <c r="H129" s="202">
        <v>0</v>
      </c>
      <c r="I129" s="202">
        <v>0</v>
      </c>
      <c r="J129" s="203">
        <f t="shared" si="1"/>
        <v>0</v>
      </c>
      <c r="K129" s="595"/>
    </row>
    <row r="130" spans="1:11" ht="12.75" hidden="1">
      <c r="A130" s="201"/>
      <c r="B130" s="201" t="s">
        <v>294</v>
      </c>
      <c r="C130" s="958" t="s">
        <v>295</v>
      </c>
      <c r="D130" s="958"/>
      <c r="E130" s="958"/>
      <c r="F130" s="202">
        <v>0</v>
      </c>
      <c r="G130" s="202">
        <v>0</v>
      </c>
      <c r="H130" s="202">
        <v>0</v>
      </c>
      <c r="I130" s="202">
        <v>0</v>
      </c>
      <c r="J130" s="203">
        <f t="shared" si="1"/>
        <v>0</v>
      </c>
      <c r="K130" s="595"/>
    </row>
    <row r="131" spans="1:11" s="200" customFormat="1" ht="30.75" customHeight="1">
      <c r="A131" s="198" t="s">
        <v>296</v>
      </c>
      <c r="B131" s="966" t="s">
        <v>297</v>
      </c>
      <c r="C131" s="966"/>
      <c r="D131" s="966"/>
      <c r="E131" s="966"/>
      <c r="F131" s="199">
        <f>SUM(F132+F133+F134+F135+F145)</f>
        <v>375000</v>
      </c>
      <c r="G131" s="199">
        <f>SUM(G132+G133+G134+G135+G145)</f>
        <v>0</v>
      </c>
      <c r="H131" s="199">
        <f>SUM(H132+H133+H134+H135+H145)</f>
        <v>0</v>
      </c>
      <c r="I131" s="199">
        <f>SUM(I132+I133+I134+I135+I145)</f>
        <v>0</v>
      </c>
      <c r="J131" s="199">
        <f t="shared" si="1"/>
        <v>375000</v>
      </c>
      <c r="K131" s="594"/>
    </row>
    <row r="132" spans="1:11" ht="12.75" hidden="1">
      <c r="A132" s="201"/>
      <c r="B132" s="201" t="s">
        <v>298</v>
      </c>
      <c r="C132" s="958" t="s">
        <v>659</v>
      </c>
      <c r="D132" s="958"/>
      <c r="E132" s="958"/>
      <c r="F132" s="202">
        <v>0</v>
      </c>
      <c r="G132" s="202">
        <v>0</v>
      </c>
      <c r="H132" s="202">
        <v>0</v>
      </c>
      <c r="I132" s="202">
        <v>0</v>
      </c>
      <c r="J132" s="203">
        <f t="shared" si="1"/>
        <v>0</v>
      </c>
      <c r="K132" s="595"/>
    </row>
    <row r="133" spans="1:11" ht="12.75" hidden="1">
      <c r="A133" s="201"/>
      <c r="B133" s="201" t="s">
        <v>299</v>
      </c>
      <c r="C133" s="958" t="s">
        <v>660</v>
      </c>
      <c r="D133" s="958"/>
      <c r="E133" s="958"/>
      <c r="F133" s="202">
        <v>0</v>
      </c>
      <c r="G133" s="202">
        <v>0</v>
      </c>
      <c r="H133" s="202">
        <v>0</v>
      </c>
      <c r="I133" s="202">
        <v>0</v>
      </c>
      <c r="J133" s="203">
        <f t="shared" si="1"/>
        <v>0</v>
      </c>
      <c r="K133" s="595"/>
    </row>
    <row r="134" spans="1:11" ht="26.25" customHeight="1" hidden="1">
      <c r="A134" s="201"/>
      <c r="B134" s="201" t="s">
        <v>301</v>
      </c>
      <c r="C134" s="967" t="s">
        <v>661</v>
      </c>
      <c r="D134" s="967"/>
      <c r="E134" s="967"/>
      <c r="F134" s="202">
        <v>0</v>
      </c>
      <c r="G134" s="202">
        <v>0</v>
      </c>
      <c r="H134" s="202">
        <v>0</v>
      </c>
      <c r="I134" s="202">
        <v>0</v>
      </c>
      <c r="J134" s="203">
        <f t="shared" si="1"/>
        <v>0</v>
      </c>
      <c r="K134" s="595"/>
    </row>
    <row r="135" spans="1:11" ht="12.75" hidden="1">
      <c r="A135" s="201"/>
      <c r="B135" s="201" t="s">
        <v>536</v>
      </c>
      <c r="C135" s="958" t="s">
        <v>662</v>
      </c>
      <c r="D135" s="958"/>
      <c r="E135" s="958"/>
      <c r="F135" s="202">
        <f>SUM(F136:F144)</f>
        <v>0</v>
      </c>
      <c r="G135" s="202">
        <v>0</v>
      </c>
      <c r="H135" s="202">
        <v>0</v>
      </c>
      <c r="I135" s="202">
        <v>0</v>
      </c>
      <c r="J135" s="203">
        <f t="shared" si="1"/>
        <v>0</v>
      </c>
      <c r="K135" s="595"/>
    </row>
    <row r="136" spans="1:11" ht="12.75" hidden="1">
      <c r="A136" s="208"/>
      <c r="B136" s="208"/>
      <c r="C136" s="210" t="s">
        <v>2</v>
      </c>
      <c r="D136" s="210" t="s">
        <v>147</v>
      </c>
      <c r="E136" s="210" t="s">
        <v>174</v>
      </c>
      <c r="F136" s="211">
        <v>0</v>
      </c>
      <c r="G136" s="211">
        <v>0</v>
      </c>
      <c r="H136" s="211">
        <v>0</v>
      </c>
      <c r="I136" s="211">
        <v>0</v>
      </c>
      <c r="J136" s="212">
        <f t="shared" si="1"/>
        <v>0</v>
      </c>
      <c r="K136" s="597"/>
    </row>
    <row r="137" spans="1:11" ht="12.75" hidden="1">
      <c r="A137" s="208"/>
      <c r="B137" s="208"/>
      <c r="C137" s="210"/>
      <c r="D137" s="210" t="s">
        <v>149</v>
      </c>
      <c r="E137" s="210" t="s">
        <v>558</v>
      </c>
      <c r="F137" s="211">
        <v>0</v>
      </c>
      <c r="G137" s="211">
        <v>0</v>
      </c>
      <c r="H137" s="211">
        <v>0</v>
      </c>
      <c r="I137" s="211">
        <v>0</v>
      </c>
      <c r="J137" s="212">
        <f t="shared" si="1"/>
        <v>0</v>
      </c>
      <c r="K137" s="597"/>
    </row>
    <row r="138" spans="1:11" ht="12.75" hidden="1">
      <c r="A138" s="208"/>
      <c r="B138" s="208"/>
      <c r="C138" s="210"/>
      <c r="D138" s="210" t="s">
        <v>151</v>
      </c>
      <c r="E138" s="210" t="s">
        <v>175</v>
      </c>
      <c r="F138" s="211">
        <v>0</v>
      </c>
      <c r="G138" s="211">
        <v>0</v>
      </c>
      <c r="H138" s="211">
        <v>0</v>
      </c>
      <c r="I138" s="211">
        <v>0</v>
      </c>
      <c r="J138" s="212">
        <f aca="true" t="shared" si="2" ref="J138:J201">SUM(F138:I138)</f>
        <v>0</v>
      </c>
      <c r="K138" s="597"/>
    </row>
    <row r="139" spans="1:11" ht="12.75" hidden="1">
      <c r="A139" s="208"/>
      <c r="B139" s="208"/>
      <c r="C139" s="210"/>
      <c r="D139" s="210" t="s">
        <v>153</v>
      </c>
      <c r="E139" s="210" t="s">
        <v>176</v>
      </c>
      <c r="F139" s="211">
        <v>0</v>
      </c>
      <c r="G139" s="211">
        <v>0</v>
      </c>
      <c r="H139" s="211">
        <v>0</v>
      </c>
      <c r="I139" s="211">
        <v>0</v>
      </c>
      <c r="J139" s="212">
        <f t="shared" si="2"/>
        <v>0</v>
      </c>
      <c r="K139" s="597"/>
    </row>
    <row r="140" spans="1:11" ht="12.75" hidden="1">
      <c r="A140" s="208"/>
      <c r="B140" s="208"/>
      <c r="C140" s="210"/>
      <c r="D140" s="210" t="s">
        <v>155</v>
      </c>
      <c r="E140" s="210" t="s">
        <v>177</v>
      </c>
      <c r="F140" s="211">
        <v>0</v>
      </c>
      <c r="G140" s="211">
        <v>0</v>
      </c>
      <c r="H140" s="211">
        <v>0</v>
      </c>
      <c r="I140" s="211">
        <v>0</v>
      </c>
      <c r="J140" s="212">
        <f t="shared" si="2"/>
        <v>0</v>
      </c>
      <c r="K140" s="597"/>
    </row>
    <row r="141" spans="1:11" ht="12.75" hidden="1">
      <c r="A141" s="208"/>
      <c r="B141" s="208"/>
      <c r="C141" s="210"/>
      <c r="D141" s="210" t="s">
        <v>157</v>
      </c>
      <c r="E141" s="210" t="s">
        <v>519</v>
      </c>
      <c r="F141" s="211">
        <v>0</v>
      </c>
      <c r="G141" s="211">
        <v>0</v>
      </c>
      <c r="H141" s="211">
        <v>0</v>
      </c>
      <c r="I141" s="211">
        <v>0</v>
      </c>
      <c r="J141" s="212">
        <f t="shared" si="2"/>
        <v>0</v>
      </c>
      <c r="K141" s="597"/>
    </row>
    <row r="142" spans="1:11" ht="12.75" hidden="1">
      <c r="A142" s="208"/>
      <c r="B142" s="208"/>
      <c r="C142" s="210"/>
      <c r="D142" s="210" t="s">
        <v>159</v>
      </c>
      <c r="E142" s="210" t="s">
        <v>518</v>
      </c>
      <c r="F142" s="220">
        <v>0</v>
      </c>
      <c r="G142" s="211">
        <v>0</v>
      </c>
      <c r="H142" s="211">
        <v>0</v>
      </c>
      <c r="I142" s="211">
        <v>0</v>
      </c>
      <c r="J142" s="212">
        <f t="shared" si="2"/>
        <v>0</v>
      </c>
      <c r="K142" s="597"/>
    </row>
    <row r="143" spans="1:11" ht="21" customHeight="1">
      <c r="A143" s="208"/>
      <c r="B143" s="208"/>
      <c r="C143" s="210"/>
      <c r="D143" s="210" t="s">
        <v>161</v>
      </c>
      <c r="E143" s="210" t="s">
        <v>180</v>
      </c>
      <c r="F143" s="211"/>
      <c r="G143" s="211">
        <v>0</v>
      </c>
      <c r="H143" s="211">
        <v>0</v>
      </c>
      <c r="I143" s="211">
        <v>0</v>
      </c>
      <c r="J143" s="212">
        <f t="shared" si="2"/>
        <v>0</v>
      </c>
      <c r="K143" s="597"/>
    </row>
    <row r="144" spans="1:11" ht="16.5" customHeight="1">
      <c r="A144" s="208"/>
      <c r="B144" s="208"/>
      <c r="C144" s="210"/>
      <c r="D144" s="210" t="s">
        <v>163</v>
      </c>
      <c r="E144" s="210" t="s">
        <v>559</v>
      </c>
      <c r="F144" s="211">
        <v>0</v>
      </c>
      <c r="G144" s="211">
        <v>0</v>
      </c>
      <c r="H144" s="211">
        <v>0</v>
      </c>
      <c r="I144" s="211">
        <v>0</v>
      </c>
      <c r="J144" s="212">
        <f t="shared" si="2"/>
        <v>0</v>
      </c>
      <c r="K144" s="597"/>
    </row>
    <row r="145" spans="1:11" ht="12.75">
      <c r="A145" s="201"/>
      <c r="B145" s="201" t="s">
        <v>537</v>
      </c>
      <c r="C145" s="958" t="s">
        <v>631</v>
      </c>
      <c r="D145" s="958"/>
      <c r="E145" s="958"/>
      <c r="F145" s="202">
        <f>SUM(F146)</f>
        <v>375000</v>
      </c>
      <c r="G145" s="202">
        <v>0</v>
      </c>
      <c r="H145" s="202">
        <v>0</v>
      </c>
      <c r="I145" s="202">
        <v>0</v>
      </c>
      <c r="J145" s="203">
        <f t="shared" si="2"/>
        <v>375000</v>
      </c>
      <c r="K145" s="595"/>
    </row>
    <row r="146" spans="1:11" ht="12.75">
      <c r="A146" s="201"/>
      <c r="B146" s="201"/>
      <c r="C146" s="210" t="s">
        <v>2</v>
      </c>
      <c r="D146" s="588"/>
      <c r="E146" s="210" t="s">
        <v>176</v>
      </c>
      <c r="F146" s="211">
        <v>375000</v>
      </c>
      <c r="G146" s="211">
        <v>0</v>
      </c>
      <c r="H146" s="211">
        <v>0</v>
      </c>
      <c r="I146" s="211">
        <v>0</v>
      </c>
      <c r="J146" s="212">
        <f>SUM(F146:I146)</f>
        <v>375000</v>
      </c>
      <c r="K146" s="595"/>
    </row>
    <row r="147" spans="1:11" s="200" customFormat="1" ht="12.75">
      <c r="A147" s="198" t="s">
        <v>302</v>
      </c>
      <c r="B147" s="966" t="s">
        <v>303</v>
      </c>
      <c r="C147" s="966"/>
      <c r="D147" s="966"/>
      <c r="E147" s="966"/>
      <c r="F147" s="199">
        <f>SUM(F148+F149+F150+F151+F161)</f>
        <v>267460</v>
      </c>
      <c r="G147" s="199">
        <f>SUM(G148+G149+G150+G151+G161)</f>
        <v>0</v>
      </c>
      <c r="H147" s="199">
        <f>SUM(H148+H149+H150+H151+H161)</f>
        <v>0</v>
      </c>
      <c r="I147" s="199">
        <f>SUM(I148+I149+I150+I151+I161)</f>
        <v>0</v>
      </c>
      <c r="J147" s="199">
        <f t="shared" si="2"/>
        <v>267460</v>
      </c>
      <c r="K147" s="594"/>
    </row>
    <row r="148" spans="1:11" ht="12.75" hidden="1">
      <c r="A148" s="201"/>
      <c r="B148" s="201" t="s">
        <v>304</v>
      </c>
      <c r="C148" s="958" t="s">
        <v>663</v>
      </c>
      <c r="D148" s="958"/>
      <c r="E148" s="958"/>
      <c r="F148" s="202">
        <v>0</v>
      </c>
      <c r="G148" s="202">
        <v>0</v>
      </c>
      <c r="H148" s="202">
        <v>0</v>
      </c>
      <c r="I148" s="202">
        <v>0</v>
      </c>
      <c r="J148" s="203">
        <f t="shared" si="2"/>
        <v>0</v>
      </c>
      <c r="K148" s="595"/>
    </row>
    <row r="149" spans="1:11" ht="12.75" hidden="1">
      <c r="A149" s="201"/>
      <c r="B149" s="201" t="s">
        <v>305</v>
      </c>
      <c r="C149" s="958" t="s">
        <v>664</v>
      </c>
      <c r="D149" s="958"/>
      <c r="E149" s="958"/>
      <c r="F149" s="202">
        <v>0</v>
      </c>
      <c r="G149" s="202">
        <v>0</v>
      </c>
      <c r="H149" s="202">
        <v>0</v>
      </c>
      <c r="I149" s="202">
        <v>0</v>
      </c>
      <c r="J149" s="203">
        <f t="shared" si="2"/>
        <v>0</v>
      </c>
      <c r="K149" s="595"/>
    </row>
    <row r="150" spans="1:11" ht="25.5" customHeight="1" hidden="1">
      <c r="A150" s="201"/>
      <c r="B150" s="201" t="s">
        <v>306</v>
      </c>
      <c r="C150" s="967" t="s">
        <v>665</v>
      </c>
      <c r="D150" s="967"/>
      <c r="E150" s="967"/>
      <c r="F150" s="202">
        <v>0</v>
      </c>
      <c r="G150" s="202">
        <v>0</v>
      </c>
      <c r="H150" s="202">
        <v>0</v>
      </c>
      <c r="I150" s="202">
        <v>0</v>
      </c>
      <c r="J150" s="203">
        <f t="shared" si="2"/>
        <v>0</v>
      </c>
      <c r="K150" s="595"/>
    </row>
    <row r="151" spans="1:11" ht="12.75" hidden="1">
      <c r="A151" s="208"/>
      <c r="B151" s="201" t="s">
        <v>538</v>
      </c>
      <c r="C151" s="958" t="s">
        <v>666</v>
      </c>
      <c r="D151" s="958"/>
      <c r="E151" s="958"/>
      <c r="F151" s="202">
        <f>SUM(F152:F160)</f>
        <v>0</v>
      </c>
      <c r="G151" s="202">
        <f>SUM(G152:G160)</f>
        <v>0</v>
      </c>
      <c r="H151" s="202">
        <f>SUM(H152:H160)</f>
        <v>0</v>
      </c>
      <c r="I151" s="202">
        <f>SUM(I152:I160)</f>
        <v>0</v>
      </c>
      <c r="J151" s="203">
        <f t="shared" si="2"/>
        <v>0</v>
      </c>
      <c r="K151" s="595"/>
    </row>
    <row r="152" spans="1:11" ht="12.75" hidden="1">
      <c r="A152" s="208"/>
      <c r="B152" s="208"/>
      <c r="C152" s="210" t="s">
        <v>2</v>
      </c>
      <c r="D152" s="210" t="s">
        <v>147</v>
      </c>
      <c r="E152" s="210" t="s">
        <v>174</v>
      </c>
      <c r="F152" s="211">
        <v>0</v>
      </c>
      <c r="G152" s="211">
        <v>0</v>
      </c>
      <c r="H152" s="211">
        <v>0</v>
      </c>
      <c r="I152" s="211">
        <v>0</v>
      </c>
      <c r="J152" s="212">
        <f t="shared" si="2"/>
        <v>0</v>
      </c>
      <c r="K152" s="597"/>
    </row>
    <row r="153" spans="1:11" ht="12.75" hidden="1">
      <c r="A153" s="208"/>
      <c r="B153" s="208"/>
      <c r="C153" s="210"/>
      <c r="D153" s="210" t="s">
        <v>149</v>
      </c>
      <c r="E153" s="210" t="s">
        <v>558</v>
      </c>
      <c r="F153" s="211">
        <v>0</v>
      </c>
      <c r="G153" s="211">
        <v>0</v>
      </c>
      <c r="H153" s="211">
        <v>0</v>
      </c>
      <c r="I153" s="211">
        <v>0</v>
      </c>
      <c r="J153" s="212">
        <f t="shared" si="2"/>
        <v>0</v>
      </c>
      <c r="K153" s="597"/>
    </row>
    <row r="154" spans="1:11" ht="12.75" hidden="1">
      <c r="A154" s="208"/>
      <c r="B154" s="208"/>
      <c r="C154" s="210"/>
      <c r="D154" s="210" t="s">
        <v>151</v>
      </c>
      <c r="E154" s="210" t="s">
        <v>175</v>
      </c>
      <c r="F154" s="211">
        <v>0</v>
      </c>
      <c r="G154" s="211">
        <v>0</v>
      </c>
      <c r="H154" s="211">
        <v>0</v>
      </c>
      <c r="I154" s="211">
        <v>0</v>
      </c>
      <c r="J154" s="212">
        <f t="shared" si="2"/>
        <v>0</v>
      </c>
      <c r="K154" s="597"/>
    </row>
    <row r="155" spans="1:11" ht="12.75" hidden="1">
      <c r="A155" s="208"/>
      <c r="B155" s="208"/>
      <c r="C155" s="210"/>
      <c r="D155" s="210" t="s">
        <v>153</v>
      </c>
      <c r="E155" s="210" t="s">
        <v>176</v>
      </c>
      <c r="F155" s="211">
        <v>0</v>
      </c>
      <c r="G155" s="211">
        <v>0</v>
      </c>
      <c r="H155" s="211">
        <v>0</v>
      </c>
      <c r="I155" s="211">
        <v>0</v>
      </c>
      <c r="J155" s="212">
        <f t="shared" si="2"/>
        <v>0</v>
      </c>
      <c r="K155" s="597"/>
    </row>
    <row r="156" spans="1:11" ht="12.75" hidden="1">
      <c r="A156" s="208"/>
      <c r="B156" s="208"/>
      <c r="C156" s="210"/>
      <c r="D156" s="210" t="s">
        <v>155</v>
      </c>
      <c r="E156" s="210" t="s">
        <v>177</v>
      </c>
      <c r="F156" s="211">
        <v>0</v>
      </c>
      <c r="G156" s="211">
        <v>0</v>
      </c>
      <c r="H156" s="211">
        <v>0</v>
      </c>
      <c r="I156" s="211">
        <v>0</v>
      </c>
      <c r="J156" s="212">
        <f t="shared" si="2"/>
        <v>0</v>
      </c>
      <c r="K156" s="597"/>
    </row>
    <row r="157" spans="1:11" ht="12.75" hidden="1">
      <c r="A157" s="208"/>
      <c r="B157" s="208"/>
      <c r="C157" s="210"/>
      <c r="D157" s="210" t="s">
        <v>157</v>
      </c>
      <c r="E157" s="210" t="s">
        <v>519</v>
      </c>
      <c r="F157" s="211">
        <v>0</v>
      </c>
      <c r="G157" s="211">
        <v>0</v>
      </c>
      <c r="H157" s="211">
        <v>0</v>
      </c>
      <c r="I157" s="211">
        <v>0</v>
      </c>
      <c r="J157" s="212">
        <f t="shared" si="2"/>
        <v>0</v>
      </c>
      <c r="K157" s="597"/>
    </row>
    <row r="158" spans="1:11" ht="12.75" hidden="1">
      <c r="A158" s="208"/>
      <c r="B158" s="208"/>
      <c r="C158" s="210"/>
      <c r="D158" s="210" t="s">
        <v>159</v>
      </c>
      <c r="E158" s="210" t="s">
        <v>518</v>
      </c>
      <c r="F158" s="220">
        <v>0</v>
      </c>
      <c r="G158" s="211">
        <v>0</v>
      </c>
      <c r="H158" s="211">
        <v>0</v>
      </c>
      <c r="I158" s="211">
        <v>0</v>
      </c>
      <c r="J158" s="212">
        <f t="shared" si="2"/>
        <v>0</v>
      </c>
      <c r="K158" s="597"/>
    </row>
    <row r="159" spans="1:11" ht="12.75" hidden="1">
      <c r="A159" s="208"/>
      <c r="B159" s="208"/>
      <c r="C159" s="210"/>
      <c r="D159" s="210" t="s">
        <v>161</v>
      </c>
      <c r="E159" s="210" t="s">
        <v>180</v>
      </c>
      <c r="F159" s="211">
        <v>0</v>
      </c>
      <c r="G159" s="211">
        <v>0</v>
      </c>
      <c r="H159" s="211">
        <v>0</v>
      </c>
      <c r="I159" s="211">
        <v>0</v>
      </c>
      <c r="J159" s="212">
        <f t="shared" si="2"/>
        <v>0</v>
      </c>
      <c r="K159" s="597"/>
    </row>
    <row r="160" spans="1:11" ht="12.75" hidden="1">
      <c r="A160" s="208"/>
      <c r="B160" s="208"/>
      <c r="C160" s="210"/>
      <c r="D160" s="210" t="s">
        <v>163</v>
      </c>
      <c r="E160" s="210" t="s">
        <v>559</v>
      </c>
      <c r="F160" s="211">
        <v>0</v>
      </c>
      <c r="G160" s="211">
        <v>0</v>
      </c>
      <c r="H160" s="211">
        <v>0</v>
      </c>
      <c r="I160" s="211">
        <v>0</v>
      </c>
      <c r="J160" s="212">
        <f t="shared" si="2"/>
        <v>0</v>
      </c>
      <c r="K160" s="597"/>
    </row>
    <row r="161" spans="1:11" ht="12" customHeight="1">
      <c r="A161" s="208"/>
      <c r="B161" s="201" t="s">
        <v>539</v>
      </c>
      <c r="C161" s="958" t="s">
        <v>614</v>
      </c>
      <c r="D161" s="958"/>
      <c r="E161" s="958"/>
      <c r="F161" s="202">
        <f>SUM(F162:F172)</f>
        <v>267460</v>
      </c>
      <c r="G161" s="202">
        <f>SUM(G162:G172)</f>
        <v>0</v>
      </c>
      <c r="H161" s="202">
        <f>SUM(H162:H172)</f>
        <v>0</v>
      </c>
      <c r="I161" s="202">
        <f>SUM(I162:I172)</f>
        <v>0</v>
      </c>
      <c r="J161" s="203">
        <f t="shared" si="2"/>
        <v>267460</v>
      </c>
      <c r="K161" s="595"/>
    </row>
    <row r="162" spans="1:11" ht="12.75" hidden="1">
      <c r="A162" s="208"/>
      <c r="B162" s="208"/>
      <c r="C162" s="210" t="s">
        <v>2</v>
      </c>
      <c r="D162" s="210" t="s">
        <v>147</v>
      </c>
      <c r="E162" s="210" t="s">
        <v>174</v>
      </c>
      <c r="F162" s="211"/>
      <c r="G162" s="211">
        <v>0</v>
      </c>
      <c r="H162" s="211">
        <v>0</v>
      </c>
      <c r="I162" s="211">
        <v>0</v>
      </c>
      <c r="J162" s="212">
        <f t="shared" si="2"/>
        <v>0</v>
      </c>
      <c r="K162" s="597"/>
    </row>
    <row r="163" spans="1:11" ht="12.75" hidden="1">
      <c r="A163" s="208"/>
      <c r="B163" s="208"/>
      <c r="C163" s="210"/>
      <c r="D163" s="210" t="s">
        <v>149</v>
      </c>
      <c r="E163" s="210" t="s">
        <v>558</v>
      </c>
      <c r="F163" s="211">
        <v>0</v>
      </c>
      <c r="G163" s="211">
        <v>0</v>
      </c>
      <c r="H163" s="211">
        <v>0</v>
      </c>
      <c r="I163" s="211">
        <v>0</v>
      </c>
      <c r="J163" s="212">
        <f t="shared" si="2"/>
        <v>0</v>
      </c>
      <c r="K163" s="597"/>
    </row>
    <row r="164" spans="1:11" ht="12.75" hidden="1">
      <c r="A164" s="208"/>
      <c r="B164" s="208"/>
      <c r="C164" s="210"/>
      <c r="D164" s="210" t="s">
        <v>151</v>
      </c>
      <c r="E164" s="210" t="s">
        <v>175</v>
      </c>
      <c r="F164" s="211">
        <v>0</v>
      </c>
      <c r="G164" s="211">
        <v>0</v>
      </c>
      <c r="H164" s="211">
        <v>0</v>
      </c>
      <c r="I164" s="211">
        <v>0</v>
      </c>
      <c r="J164" s="212">
        <f t="shared" si="2"/>
        <v>0</v>
      </c>
      <c r="K164" s="597"/>
    </row>
    <row r="165" spans="1:11" ht="13.5" customHeight="1">
      <c r="A165" s="208"/>
      <c r="B165" s="208"/>
      <c r="C165" s="210"/>
      <c r="D165" s="210" t="s">
        <v>153</v>
      </c>
      <c r="E165" s="210" t="s">
        <v>176</v>
      </c>
      <c r="F165" s="211">
        <v>267460</v>
      </c>
      <c r="G165" s="211">
        <v>0</v>
      </c>
      <c r="H165" s="211">
        <v>0</v>
      </c>
      <c r="I165" s="211">
        <v>0</v>
      </c>
      <c r="J165" s="212">
        <f t="shared" si="2"/>
        <v>267460</v>
      </c>
      <c r="K165" s="597"/>
    </row>
    <row r="166" spans="1:11" ht="0.75" customHeight="1" hidden="1">
      <c r="A166" s="208"/>
      <c r="B166" s="208"/>
      <c r="C166" s="210"/>
      <c r="D166" s="210" t="s">
        <v>155</v>
      </c>
      <c r="E166" s="210" t="s">
        <v>177</v>
      </c>
      <c r="F166" s="211">
        <v>0</v>
      </c>
      <c r="G166" s="211">
        <v>0</v>
      </c>
      <c r="H166" s="211">
        <v>0</v>
      </c>
      <c r="I166" s="211">
        <v>0</v>
      </c>
      <c r="J166" s="212">
        <f t="shared" si="2"/>
        <v>0</v>
      </c>
      <c r="K166" s="597"/>
    </row>
    <row r="167" spans="1:11" ht="12.75" hidden="1">
      <c r="A167" s="208"/>
      <c r="B167" s="208"/>
      <c r="C167" s="210"/>
      <c r="D167" s="210" t="s">
        <v>157</v>
      </c>
      <c r="E167" s="210" t="s">
        <v>519</v>
      </c>
      <c r="F167" s="211">
        <v>0</v>
      </c>
      <c r="G167" s="211">
        <v>0</v>
      </c>
      <c r="H167" s="211">
        <v>0</v>
      </c>
      <c r="I167" s="211">
        <v>0</v>
      </c>
      <c r="J167" s="212">
        <f t="shared" si="2"/>
        <v>0</v>
      </c>
      <c r="K167" s="597"/>
    </row>
    <row r="168" spans="1:11" ht="12.75" hidden="1">
      <c r="A168" s="208"/>
      <c r="B168" s="208"/>
      <c r="C168" s="210"/>
      <c r="D168" s="210" t="s">
        <v>159</v>
      </c>
      <c r="E168" s="210" t="s">
        <v>518</v>
      </c>
      <c r="F168" s="220">
        <v>0</v>
      </c>
      <c r="G168" s="211">
        <v>0</v>
      </c>
      <c r="H168" s="211">
        <v>0</v>
      </c>
      <c r="I168" s="211">
        <v>0</v>
      </c>
      <c r="J168" s="212">
        <f t="shared" si="2"/>
        <v>0</v>
      </c>
      <c r="K168" s="597"/>
    </row>
    <row r="169" spans="1:11" ht="12.75" hidden="1">
      <c r="A169" s="208"/>
      <c r="B169" s="208"/>
      <c r="C169" s="210"/>
      <c r="D169" s="210" t="s">
        <v>161</v>
      </c>
      <c r="E169" s="210" t="s">
        <v>180</v>
      </c>
      <c r="F169" s="211">
        <v>0</v>
      </c>
      <c r="G169" s="211">
        <v>0</v>
      </c>
      <c r="H169" s="211">
        <v>0</v>
      </c>
      <c r="I169" s="211">
        <v>0</v>
      </c>
      <c r="J169" s="212">
        <f t="shared" si="2"/>
        <v>0</v>
      </c>
      <c r="K169" s="597"/>
    </row>
    <row r="170" spans="1:11" ht="12.75" hidden="1">
      <c r="A170" s="208"/>
      <c r="B170" s="208"/>
      <c r="C170" s="210"/>
      <c r="D170" s="210" t="s">
        <v>163</v>
      </c>
      <c r="E170" s="210" t="s">
        <v>181</v>
      </c>
      <c r="F170" s="211">
        <v>0</v>
      </c>
      <c r="G170" s="211">
        <v>0</v>
      </c>
      <c r="H170" s="211">
        <v>0</v>
      </c>
      <c r="I170" s="211">
        <v>0</v>
      </c>
      <c r="J170" s="212">
        <f t="shared" si="2"/>
        <v>0</v>
      </c>
      <c r="K170" s="597"/>
    </row>
    <row r="171" spans="1:11" ht="12.75" hidden="1">
      <c r="A171" s="208"/>
      <c r="B171" s="208"/>
      <c r="C171" s="210"/>
      <c r="D171" s="210" t="s">
        <v>165</v>
      </c>
      <c r="E171" s="210" t="s">
        <v>182</v>
      </c>
      <c r="F171" s="211">
        <v>0</v>
      </c>
      <c r="G171" s="211">
        <v>0</v>
      </c>
      <c r="H171" s="211">
        <v>0</v>
      </c>
      <c r="I171" s="211">
        <v>0</v>
      </c>
      <c r="J171" s="212">
        <f t="shared" si="2"/>
        <v>0</v>
      </c>
      <c r="K171" s="597"/>
    </row>
    <row r="172" spans="1:11" ht="12.75" hidden="1">
      <c r="A172" s="208"/>
      <c r="B172" s="208"/>
      <c r="C172" s="210"/>
      <c r="D172" s="210" t="s">
        <v>560</v>
      </c>
      <c r="E172" s="210" t="s">
        <v>183</v>
      </c>
      <c r="F172" s="211">
        <v>0</v>
      </c>
      <c r="G172" s="211">
        <v>0</v>
      </c>
      <c r="H172" s="211">
        <v>0</v>
      </c>
      <c r="I172" s="211">
        <v>0</v>
      </c>
      <c r="J172" s="212">
        <f t="shared" si="2"/>
        <v>0</v>
      </c>
      <c r="K172" s="597"/>
    </row>
    <row r="173" spans="1:11" s="200" customFormat="1" ht="12.75">
      <c r="A173" s="198" t="s">
        <v>307</v>
      </c>
      <c r="B173" s="966" t="s">
        <v>308</v>
      </c>
      <c r="C173" s="966"/>
      <c r="D173" s="966"/>
      <c r="E173" s="966"/>
      <c r="F173" s="199">
        <f>SUM(F174+F197+F198+F199)</f>
        <v>1035445446</v>
      </c>
      <c r="G173" s="199">
        <f>SUM(G174+G197+G198+G199)</f>
        <v>789210</v>
      </c>
      <c r="H173" s="199">
        <f>SUM(H174+H197+H198+H199)</f>
        <v>7760424</v>
      </c>
      <c r="I173" s="199">
        <f>SUM(I174+I197+I198+I199)</f>
        <v>5642681</v>
      </c>
      <c r="J173" s="199">
        <f t="shared" si="2"/>
        <v>1049637761</v>
      </c>
      <c r="K173" s="594"/>
    </row>
    <row r="174" spans="1:11" ht="12.75">
      <c r="A174" s="208"/>
      <c r="B174" s="201" t="s">
        <v>309</v>
      </c>
      <c r="C174" s="958" t="s">
        <v>310</v>
      </c>
      <c r="D174" s="958"/>
      <c r="E174" s="958"/>
      <c r="F174" s="202">
        <f>SUM(F175+F179+F184+F189+F190+F191+F192+F193+F194)</f>
        <v>1035445446</v>
      </c>
      <c r="G174" s="202">
        <f>SUM(G175+G179+G184+G189+G190+G191+G192+G193+G194)</f>
        <v>789210</v>
      </c>
      <c r="H174" s="202">
        <f>SUM(H175+H179+H184+H189+H190+H191+H192+H193+H194)</f>
        <v>7760424</v>
      </c>
      <c r="I174" s="202">
        <f>SUM(I175+I179+I184+I189+I190+I191+I192+I193+I194)</f>
        <v>5642681</v>
      </c>
      <c r="J174" s="203">
        <f t="shared" si="2"/>
        <v>1049637761</v>
      </c>
      <c r="K174" s="595"/>
    </row>
    <row r="175" spans="1:11" ht="12.75">
      <c r="A175" s="204"/>
      <c r="B175" s="204"/>
      <c r="C175" s="204" t="s">
        <v>311</v>
      </c>
      <c r="D175" s="204" t="s">
        <v>585</v>
      </c>
      <c r="E175" s="204"/>
      <c r="F175" s="205">
        <f>SUM(F176:F178)</f>
        <v>0</v>
      </c>
      <c r="G175" s="205">
        <f>SUM(G176:G178)</f>
        <v>0</v>
      </c>
      <c r="H175" s="205">
        <f>SUM(H176:H178)</f>
        <v>0</v>
      </c>
      <c r="I175" s="205">
        <f>SUM(I176:I178)</f>
        <v>0</v>
      </c>
      <c r="J175" s="206">
        <f t="shared" si="2"/>
        <v>0</v>
      </c>
      <c r="K175" s="596"/>
    </row>
    <row r="176" spans="1:11" ht="12.75" hidden="1">
      <c r="A176" s="221"/>
      <c r="B176" s="221"/>
      <c r="C176" s="221"/>
      <c r="D176" s="221" t="s">
        <v>312</v>
      </c>
      <c r="E176" s="221" t="s">
        <v>667</v>
      </c>
      <c r="F176" s="222">
        <v>0</v>
      </c>
      <c r="G176" s="222">
        <v>0</v>
      </c>
      <c r="H176" s="222">
        <v>0</v>
      </c>
      <c r="I176" s="222">
        <v>0</v>
      </c>
      <c r="J176" s="223">
        <f t="shared" si="2"/>
        <v>0</v>
      </c>
      <c r="K176" s="598"/>
    </row>
    <row r="177" spans="1:11" ht="12.75" hidden="1">
      <c r="A177" s="221"/>
      <c r="B177" s="221"/>
      <c r="C177" s="221"/>
      <c r="D177" s="221" t="s">
        <v>313</v>
      </c>
      <c r="E177" s="221" t="s">
        <v>668</v>
      </c>
      <c r="F177" s="222">
        <v>0</v>
      </c>
      <c r="G177" s="222">
        <v>0</v>
      </c>
      <c r="H177" s="222">
        <v>0</v>
      </c>
      <c r="I177" s="222">
        <v>0</v>
      </c>
      <c r="J177" s="223">
        <f t="shared" si="2"/>
        <v>0</v>
      </c>
      <c r="K177" s="598"/>
    </row>
    <row r="178" spans="1:11" ht="12.75" hidden="1">
      <c r="A178" s="221"/>
      <c r="B178" s="221"/>
      <c r="C178" s="221"/>
      <c r="D178" s="221" t="s">
        <v>314</v>
      </c>
      <c r="E178" s="221" t="s">
        <v>669</v>
      </c>
      <c r="F178" s="222">
        <v>0</v>
      </c>
      <c r="G178" s="222">
        <v>0</v>
      </c>
      <c r="H178" s="222">
        <v>0</v>
      </c>
      <c r="I178" s="222">
        <v>0</v>
      </c>
      <c r="J178" s="223">
        <f t="shared" si="2"/>
        <v>0</v>
      </c>
      <c r="K178" s="598"/>
    </row>
    <row r="179" spans="1:11" ht="12.75">
      <c r="A179" s="204"/>
      <c r="B179" s="204"/>
      <c r="C179" s="204" t="s">
        <v>315</v>
      </c>
      <c r="D179" s="204" t="s">
        <v>316</v>
      </c>
      <c r="E179" s="204"/>
      <c r="F179" s="205">
        <f>SUM(F180:F183)</f>
        <v>0</v>
      </c>
      <c r="G179" s="205">
        <f>SUM(G180:G183)</f>
        <v>0</v>
      </c>
      <c r="H179" s="205">
        <f>SUM(H180:H183)</f>
        <v>0</v>
      </c>
      <c r="I179" s="205">
        <f>SUM(I180:I183)</f>
        <v>0</v>
      </c>
      <c r="J179" s="206">
        <f t="shared" si="2"/>
        <v>0</v>
      </c>
      <c r="K179" s="596"/>
    </row>
    <row r="180" spans="1:11" ht="12.75" hidden="1">
      <c r="A180" s="204"/>
      <c r="B180" s="204"/>
      <c r="C180" s="204"/>
      <c r="D180" s="221" t="s">
        <v>540</v>
      </c>
      <c r="E180" s="221" t="s">
        <v>541</v>
      </c>
      <c r="F180" s="205">
        <v>0</v>
      </c>
      <c r="G180" s="205">
        <v>0</v>
      </c>
      <c r="H180" s="205">
        <v>0</v>
      </c>
      <c r="I180" s="205">
        <v>0</v>
      </c>
      <c r="J180" s="206">
        <f t="shared" si="2"/>
        <v>0</v>
      </c>
      <c r="K180" s="596"/>
    </row>
    <row r="181" spans="1:11" ht="12.75" hidden="1">
      <c r="A181" s="204"/>
      <c r="B181" s="204"/>
      <c r="C181" s="204"/>
      <c r="D181" s="221" t="s">
        <v>542</v>
      </c>
      <c r="E181" s="221" t="s">
        <v>543</v>
      </c>
      <c r="F181" s="205">
        <v>0</v>
      </c>
      <c r="G181" s="205">
        <v>0</v>
      </c>
      <c r="H181" s="205">
        <v>0</v>
      </c>
      <c r="I181" s="205">
        <v>0</v>
      </c>
      <c r="J181" s="206">
        <f t="shared" si="2"/>
        <v>0</v>
      </c>
      <c r="K181" s="596"/>
    </row>
    <row r="182" spans="1:11" ht="12.75" hidden="1">
      <c r="A182" s="204"/>
      <c r="B182" s="204"/>
      <c r="C182" s="204"/>
      <c r="D182" s="221" t="s">
        <v>544</v>
      </c>
      <c r="E182" s="221" t="s">
        <v>545</v>
      </c>
      <c r="F182" s="205">
        <v>0</v>
      </c>
      <c r="G182" s="205">
        <v>0</v>
      </c>
      <c r="H182" s="205">
        <v>0</v>
      </c>
      <c r="I182" s="205">
        <v>0</v>
      </c>
      <c r="J182" s="206">
        <f t="shared" si="2"/>
        <v>0</v>
      </c>
      <c r="K182" s="596"/>
    </row>
    <row r="183" spans="1:11" ht="12.75" hidden="1">
      <c r="A183" s="204"/>
      <c r="B183" s="204"/>
      <c r="C183" s="204"/>
      <c r="D183" s="221" t="s">
        <v>546</v>
      </c>
      <c r="E183" s="221" t="s">
        <v>547</v>
      </c>
      <c r="F183" s="205">
        <v>0</v>
      </c>
      <c r="G183" s="205">
        <v>0</v>
      </c>
      <c r="H183" s="205">
        <v>0</v>
      </c>
      <c r="I183" s="205">
        <v>0</v>
      </c>
      <c r="J183" s="206">
        <f t="shared" si="2"/>
        <v>0</v>
      </c>
      <c r="K183" s="596"/>
    </row>
    <row r="184" spans="1:11" ht="12.75">
      <c r="A184" s="204"/>
      <c r="B184" s="204"/>
      <c r="C184" s="204" t="s">
        <v>317</v>
      </c>
      <c r="D184" s="204" t="s">
        <v>318</v>
      </c>
      <c r="E184" s="204"/>
      <c r="F184" s="205">
        <f>SUM(F185,F188)</f>
        <v>1035445446</v>
      </c>
      <c r="G184" s="205">
        <f>SUM(G185,G188)</f>
        <v>789210</v>
      </c>
      <c r="H184" s="205">
        <f>SUM(H185,H188)</f>
        <v>7760424</v>
      </c>
      <c r="I184" s="205">
        <f>SUM(I185,I188)</f>
        <v>5642681</v>
      </c>
      <c r="J184" s="206">
        <f t="shared" si="2"/>
        <v>1049637761</v>
      </c>
      <c r="K184" s="596"/>
    </row>
    <row r="185" spans="1:11" ht="12.75">
      <c r="A185" s="221"/>
      <c r="B185" s="221"/>
      <c r="C185" s="221"/>
      <c r="D185" s="221" t="s">
        <v>319</v>
      </c>
      <c r="E185" s="221" t="s">
        <v>320</v>
      </c>
      <c r="F185" s="222">
        <f>SUM(F186:F187)</f>
        <v>1035445446</v>
      </c>
      <c r="G185" s="222">
        <f>SUM(G186:G187)</f>
        <v>789210</v>
      </c>
      <c r="H185" s="222">
        <f>SUM(H186:H187)</f>
        <v>7760424</v>
      </c>
      <c r="I185" s="222">
        <f>SUM(I186:I187)</f>
        <v>5642681</v>
      </c>
      <c r="J185" s="223">
        <f t="shared" si="2"/>
        <v>1049637761</v>
      </c>
      <c r="K185" s="598"/>
    </row>
    <row r="186" spans="1:11" s="228" customFormat="1" ht="12.75">
      <c r="A186" s="224"/>
      <c r="B186" s="224"/>
      <c r="C186" s="224"/>
      <c r="D186" s="224"/>
      <c r="E186" s="225" t="s">
        <v>36</v>
      </c>
      <c r="F186" s="226">
        <v>139338070</v>
      </c>
      <c r="G186" s="226">
        <v>789210</v>
      </c>
      <c r="H186" s="226">
        <v>7760424</v>
      </c>
      <c r="I186" s="226">
        <v>5642681</v>
      </c>
      <c r="J186" s="227">
        <f t="shared" si="2"/>
        <v>153530385</v>
      </c>
      <c r="K186" s="599"/>
    </row>
    <row r="187" spans="1:11" s="228" customFormat="1" ht="12.75">
      <c r="A187" s="224"/>
      <c r="B187" s="224"/>
      <c r="C187" s="224"/>
      <c r="D187" s="224"/>
      <c r="E187" s="225" t="s">
        <v>37</v>
      </c>
      <c r="F187" s="226">
        <f>896617876-510500</f>
        <v>896107376</v>
      </c>
      <c r="G187" s="226">
        <v>0</v>
      </c>
      <c r="H187" s="226">
        <v>0</v>
      </c>
      <c r="I187" s="226">
        <v>0</v>
      </c>
      <c r="J187" s="227">
        <f t="shared" si="2"/>
        <v>896107376</v>
      </c>
      <c r="K187" s="599"/>
    </row>
    <row r="188" spans="1:11" ht="12.75">
      <c r="A188" s="221"/>
      <c r="B188" s="221"/>
      <c r="C188" s="221"/>
      <c r="D188" s="221" t="s">
        <v>321</v>
      </c>
      <c r="E188" s="221" t="s">
        <v>322</v>
      </c>
      <c r="F188" s="222">
        <v>0</v>
      </c>
      <c r="G188" s="222">
        <v>0</v>
      </c>
      <c r="H188" s="222">
        <v>0</v>
      </c>
      <c r="I188" s="222">
        <v>0</v>
      </c>
      <c r="J188" s="223">
        <f t="shared" si="2"/>
        <v>0</v>
      </c>
      <c r="K188" s="598"/>
    </row>
    <row r="189" spans="1:11" ht="12.75" hidden="1">
      <c r="A189" s="204"/>
      <c r="B189" s="204"/>
      <c r="C189" s="204" t="s">
        <v>323</v>
      </c>
      <c r="D189" s="204" t="s">
        <v>586</v>
      </c>
      <c r="E189" s="204"/>
      <c r="F189" s="205">
        <v>0</v>
      </c>
      <c r="G189" s="205">
        <v>0</v>
      </c>
      <c r="H189" s="205">
        <v>0</v>
      </c>
      <c r="I189" s="205">
        <v>0</v>
      </c>
      <c r="J189" s="206">
        <f t="shared" si="2"/>
        <v>0</v>
      </c>
      <c r="K189" s="596"/>
    </row>
    <row r="190" spans="1:11" ht="12.75" hidden="1">
      <c r="A190" s="204"/>
      <c r="B190" s="204"/>
      <c r="C190" s="204" t="s">
        <v>324</v>
      </c>
      <c r="D190" s="204" t="s">
        <v>587</v>
      </c>
      <c r="E190" s="204"/>
      <c r="F190" s="205">
        <v>0</v>
      </c>
      <c r="G190" s="205">
        <v>0</v>
      </c>
      <c r="H190" s="205">
        <v>0</v>
      </c>
      <c r="I190" s="205">
        <v>0</v>
      </c>
      <c r="J190" s="206">
        <f t="shared" si="2"/>
        <v>0</v>
      </c>
      <c r="K190" s="596"/>
    </row>
    <row r="191" spans="1:11" ht="12.75" hidden="1">
      <c r="A191" s="204"/>
      <c r="B191" s="204"/>
      <c r="C191" s="204" t="s">
        <v>325</v>
      </c>
      <c r="D191" s="204" t="s">
        <v>326</v>
      </c>
      <c r="E191" s="204"/>
      <c r="F191" s="205">
        <v>0</v>
      </c>
      <c r="G191" s="205">
        <v>0</v>
      </c>
      <c r="H191" s="205">
        <v>0</v>
      </c>
      <c r="I191" s="205">
        <v>0</v>
      </c>
      <c r="J191" s="206">
        <f t="shared" si="2"/>
        <v>0</v>
      </c>
      <c r="K191" s="596"/>
    </row>
    <row r="192" spans="1:11" ht="12.75" hidden="1">
      <c r="A192" s="204"/>
      <c r="B192" s="204"/>
      <c r="C192" s="204" t="s">
        <v>327</v>
      </c>
      <c r="D192" s="204" t="s">
        <v>548</v>
      </c>
      <c r="E192" s="204"/>
      <c r="F192" s="205">
        <v>0</v>
      </c>
      <c r="G192" s="205">
        <v>0</v>
      </c>
      <c r="H192" s="205">
        <v>0</v>
      </c>
      <c r="I192" s="205">
        <v>0</v>
      </c>
      <c r="J192" s="206">
        <f t="shared" si="2"/>
        <v>0</v>
      </c>
      <c r="K192" s="596"/>
    </row>
    <row r="193" spans="1:11" ht="12.75" hidden="1">
      <c r="A193" s="204"/>
      <c r="B193" s="204"/>
      <c r="C193" s="204" t="s">
        <v>328</v>
      </c>
      <c r="D193" s="204" t="s">
        <v>329</v>
      </c>
      <c r="E193" s="204"/>
      <c r="F193" s="205">
        <v>0</v>
      </c>
      <c r="G193" s="205">
        <v>0</v>
      </c>
      <c r="H193" s="205">
        <v>0</v>
      </c>
      <c r="I193" s="205">
        <v>0</v>
      </c>
      <c r="J193" s="206">
        <f t="shared" si="2"/>
        <v>0</v>
      </c>
      <c r="K193" s="596"/>
    </row>
    <row r="194" spans="1:11" ht="12.75" hidden="1">
      <c r="A194" s="204"/>
      <c r="B194" s="204"/>
      <c r="C194" s="204" t="s">
        <v>549</v>
      </c>
      <c r="D194" s="204" t="s">
        <v>550</v>
      </c>
      <c r="E194" s="204"/>
      <c r="F194" s="205">
        <v>0</v>
      </c>
      <c r="G194" s="205">
        <v>0</v>
      </c>
      <c r="H194" s="205">
        <v>0</v>
      </c>
      <c r="I194" s="205">
        <v>0</v>
      </c>
      <c r="J194" s="206">
        <f t="shared" si="2"/>
        <v>0</v>
      </c>
      <c r="K194" s="596"/>
    </row>
    <row r="195" spans="1:11" ht="12.75" hidden="1">
      <c r="A195" s="204"/>
      <c r="B195" s="204"/>
      <c r="C195" s="204"/>
      <c r="D195" s="221" t="s">
        <v>551</v>
      </c>
      <c r="E195" s="221" t="s">
        <v>552</v>
      </c>
      <c r="F195" s="226">
        <v>0</v>
      </c>
      <c r="G195" s="226">
        <v>0</v>
      </c>
      <c r="H195" s="226">
        <v>0</v>
      </c>
      <c r="I195" s="226">
        <v>0</v>
      </c>
      <c r="J195" s="206">
        <f t="shared" si="2"/>
        <v>0</v>
      </c>
      <c r="K195" s="596"/>
    </row>
    <row r="196" spans="1:11" ht="12.75" hidden="1">
      <c r="A196" s="204"/>
      <c r="B196" s="204"/>
      <c r="C196" s="204"/>
      <c r="D196" s="221" t="s">
        <v>553</v>
      </c>
      <c r="E196" s="221" t="s">
        <v>554</v>
      </c>
      <c r="F196" s="226">
        <v>0</v>
      </c>
      <c r="G196" s="226">
        <v>0</v>
      </c>
      <c r="H196" s="226">
        <v>0</v>
      </c>
      <c r="I196" s="226">
        <v>0</v>
      </c>
      <c r="J196" s="206">
        <f t="shared" si="2"/>
        <v>0</v>
      </c>
      <c r="K196" s="596"/>
    </row>
    <row r="197" spans="1:11" ht="12.75">
      <c r="A197" s="208"/>
      <c r="B197" s="201" t="s">
        <v>330</v>
      </c>
      <c r="C197" s="958" t="s">
        <v>331</v>
      </c>
      <c r="D197" s="958"/>
      <c r="E197" s="958"/>
      <c r="F197" s="202">
        <v>0</v>
      </c>
      <c r="G197" s="202">
        <v>0</v>
      </c>
      <c r="H197" s="202">
        <v>0</v>
      </c>
      <c r="I197" s="202">
        <v>0</v>
      </c>
      <c r="J197" s="203">
        <f t="shared" si="2"/>
        <v>0</v>
      </c>
      <c r="K197" s="595"/>
    </row>
    <row r="198" spans="1:11" ht="12.75">
      <c r="A198" s="208"/>
      <c r="B198" s="201" t="s">
        <v>332</v>
      </c>
      <c r="C198" s="958" t="s">
        <v>333</v>
      </c>
      <c r="D198" s="958"/>
      <c r="E198" s="958"/>
      <c r="F198" s="202">
        <v>0</v>
      </c>
      <c r="G198" s="202">
        <v>0</v>
      </c>
      <c r="H198" s="202">
        <v>0</v>
      </c>
      <c r="I198" s="202">
        <v>0</v>
      </c>
      <c r="J198" s="203">
        <f t="shared" si="2"/>
        <v>0</v>
      </c>
      <c r="K198" s="595"/>
    </row>
    <row r="199" spans="1:11" ht="12.75">
      <c r="A199" s="208"/>
      <c r="B199" s="201" t="s">
        <v>555</v>
      </c>
      <c r="C199" s="958" t="s">
        <v>556</v>
      </c>
      <c r="D199" s="958"/>
      <c r="E199" s="958"/>
      <c r="F199" s="202">
        <v>0</v>
      </c>
      <c r="G199" s="202">
        <v>0</v>
      </c>
      <c r="H199" s="202">
        <v>0</v>
      </c>
      <c r="I199" s="202">
        <v>0</v>
      </c>
      <c r="J199" s="203">
        <f t="shared" si="2"/>
        <v>0</v>
      </c>
      <c r="K199" s="595"/>
    </row>
    <row r="200" spans="1:11" ht="12.75">
      <c r="A200" s="208"/>
      <c r="B200" s="208"/>
      <c r="C200" s="752"/>
      <c r="D200" s="754"/>
      <c r="E200" s="753"/>
      <c r="F200" s="229"/>
      <c r="G200" s="230"/>
      <c r="H200" s="230"/>
      <c r="I200" s="230"/>
      <c r="J200" s="229">
        <f t="shared" si="2"/>
        <v>0</v>
      </c>
      <c r="K200" s="600"/>
    </row>
    <row r="201" spans="1:11" s="232" customFormat="1" ht="15.75">
      <c r="A201" s="965" t="s">
        <v>439</v>
      </c>
      <c r="B201" s="965"/>
      <c r="C201" s="965"/>
      <c r="D201" s="965"/>
      <c r="E201" s="965"/>
      <c r="F201" s="231">
        <f>SUM(F173+F147+F131+F123+F87+F58+F41+F7)</f>
        <v>2174669881</v>
      </c>
      <c r="G201" s="231">
        <f>SUM(G173+G147+G131+G123+G87+G58+G41+G7)</f>
        <v>8061289</v>
      </c>
      <c r="H201" s="231">
        <f>SUM(H173+H147+H131+H123+H87+H58+H41+H7)</f>
        <v>14526312</v>
      </c>
      <c r="I201" s="231">
        <f>SUM(I173+I147+I131+I123+I87+I58+I41+I7)</f>
        <v>18805631</v>
      </c>
      <c r="J201" s="725">
        <f t="shared" si="2"/>
        <v>2216063113</v>
      </c>
      <c r="K201" s="601"/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A3" sqref="A3:D29"/>
    </sheetView>
  </sheetViews>
  <sheetFormatPr defaultColWidth="8.875" defaultRowHeight="12.75"/>
  <cols>
    <col min="1" max="1" width="4.125" style="85" bestFit="1" customWidth="1"/>
    <col min="2" max="2" width="2.375" style="930" customWidth="1"/>
    <col min="3" max="3" width="59.25390625" style="930" customWidth="1"/>
    <col min="4" max="4" width="13.75390625" style="930" customWidth="1"/>
    <col min="5" max="16384" width="8.875" style="930" customWidth="1"/>
  </cols>
  <sheetData>
    <row r="1" spans="3:5" ht="15">
      <c r="C1" s="1002" t="s">
        <v>1090</v>
      </c>
      <c r="D1" s="1230"/>
      <c r="E1" s="81"/>
    </row>
    <row r="2" spans="3:5" ht="15">
      <c r="C2" s="2"/>
      <c r="D2" s="81"/>
      <c r="E2" s="81"/>
    </row>
    <row r="3" spans="2:4" ht="15">
      <c r="B3" s="1244" t="s">
        <v>1057</v>
      </c>
      <c r="C3" s="1244"/>
      <c r="D3" s="1244"/>
    </row>
    <row r="4" spans="2:4" ht="15">
      <c r="B4" s="1244" t="s">
        <v>442</v>
      </c>
      <c r="C4" s="1244"/>
      <c r="D4" s="1244"/>
    </row>
    <row r="5" spans="2:4" ht="15">
      <c r="B5" s="931"/>
      <c r="C5" s="931"/>
      <c r="D5" s="931"/>
    </row>
    <row r="6" ht="15">
      <c r="D6" s="932"/>
    </row>
    <row r="7" spans="1:4" s="934" customFormat="1" ht="21" customHeight="1">
      <c r="A7" s="1245" t="s">
        <v>432</v>
      </c>
      <c r="B7" s="1247" t="s">
        <v>361</v>
      </c>
      <c r="C7" s="1247"/>
      <c r="D7" s="933" t="s">
        <v>373</v>
      </c>
    </row>
    <row r="8" spans="1:4" s="936" customFormat="1" ht="12">
      <c r="A8" s="1246"/>
      <c r="B8" s="1248" t="s">
        <v>426</v>
      </c>
      <c r="C8" s="1249"/>
      <c r="D8" s="935" t="s">
        <v>427</v>
      </c>
    </row>
    <row r="9" spans="1:4" s="934" customFormat="1" ht="25.5" customHeight="1">
      <c r="A9" s="935">
        <v>1</v>
      </c>
      <c r="B9" s="937" t="s">
        <v>1058</v>
      </c>
      <c r="C9" s="938"/>
      <c r="D9" s="939"/>
    </row>
    <row r="10" spans="1:4" ht="15">
      <c r="A10" s="935">
        <v>2</v>
      </c>
      <c r="B10" s="940"/>
      <c r="C10" s="941" t="s">
        <v>425</v>
      </c>
      <c r="D10" s="942">
        <v>1000000</v>
      </c>
    </row>
    <row r="11" spans="1:4" ht="15">
      <c r="A11" s="935">
        <v>3</v>
      </c>
      <c r="B11" s="940"/>
      <c r="C11" s="941" t="s">
        <v>1068</v>
      </c>
      <c r="D11" s="947">
        <v>-1000000</v>
      </c>
    </row>
    <row r="12" spans="1:4" s="934" customFormat="1" ht="15.75" customHeight="1">
      <c r="A12" s="935">
        <v>4</v>
      </c>
      <c r="B12" s="937" t="s">
        <v>364</v>
      </c>
      <c r="C12" s="937"/>
      <c r="D12" s="943">
        <f>SUM(D10:D11)</f>
        <v>0</v>
      </c>
    </row>
    <row r="13" spans="1:4" s="934" customFormat="1" ht="6" customHeight="1">
      <c r="A13" s="944"/>
      <c r="B13" s="945"/>
      <c r="C13" s="945"/>
      <c r="D13" s="939"/>
    </row>
    <row r="14" spans="1:4" s="934" customFormat="1" ht="25.5" customHeight="1">
      <c r="A14" s="935">
        <v>5</v>
      </c>
      <c r="B14" s="1243" t="s">
        <v>1059</v>
      </c>
      <c r="C14" s="1243"/>
      <c r="D14" s="1243"/>
    </row>
    <row r="15" spans="1:4" s="934" customFormat="1" ht="30">
      <c r="A15" s="935">
        <v>6</v>
      </c>
      <c r="B15" s="940"/>
      <c r="C15" s="941" t="s">
        <v>1060</v>
      </c>
      <c r="D15" s="942">
        <v>350000</v>
      </c>
    </row>
    <row r="16" spans="1:4" s="934" customFormat="1" ht="39.75" customHeight="1">
      <c r="A16" s="935">
        <v>7</v>
      </c>
      <c r="B16" s="940"/>
      <c r="C16" s="941" t="s">
        <v>1061</v>
      </c>
      <c r="D16" s="942">
        <v>200000</v>
      </c>
    </row>
    <row r="17" spans="1:4" ht="15.75" customHeight="1">
      <c r="A17" s="935">
        <v>8</v>
      </c>
      <c r="B17" s="937" t="s">
        <v>364</v>
      </c>
      <c r="C17" s="937"/>
      <c r="D17" s="943">
        <f>SUM(D15:D16)</f>
        <v>550000</v>
      </c>
    </row>
    <row r="18" spans="1:4" s="934" customFormat="1" ht="7.5" customHeight="1">
      <c r="A18" s="944"/>
      <c r="B18" s="945"/>
      <c r="C18" s="945"/>
      <c r="D18" s="939"/>
    </row>
    <row r="19" spans="1:4" s="934" customFormat="1" ht="25.5" customHeight="1">
      <c r="A19" s="935">
        <v>9</v>
      </c>
      <c r="B19" s="937" t="s">
        <v>1062</v>
      </c>
      <c r="C19" s="938"/>
      <c r="D19" s="939"/>
    </row>
    <row r="20" spans="1:4" ht="15">
      <c r="A20" s="935">
        <v>10</v>
      </c>
      <c r="B20" s="940"/>
      <c r="C20" s="941" t="s">
        <v>1063</v>
      </c>
      <c r="D20" s="942">
        <v>1000000</v>
      </c>
    </row>
    <row r="21" spans="1:4" s="934" customFormat="1" ht="15.75" customHeight="1">
      <c r="A21" s="935">
        <v>11</v>
      </c>
      <c r="B21" s="937" t="s">
        <v>364</v>
      </c>
      <c r="C21" s="937"/>
      <c r="D21" s="943">
        <f>SUM(D20:D20)</f>
        <v>1000000</v>
      </c>
    </row>
    <row r="22" spans="1:4" s="934" customFormat="1" ht="7.5" customHeight="1">
      <c r="A22" s="944"/>
      <c r="B22" s="945"/>
      <c r="C22" s="945"/>
      <c r="D22" s="939"/>
    </row>
    <row r="23" spans="1:4" ht="15.75" customHeight="1">
      <c r="A23" s="935">
        <v>12</v>
      </c>
      <c r="B23" s="937" t="s">
        <v>1064</v>
      </c>
      <c r="C23" s="937"/>
      <c r="D23" s="943">
        <f>SUM(D12,D17,D21)</f>
        <v>1550000</v>
      </c>
    </row>
    <row r="24" spans="1:4" s="934" customFormat="1" ht="8.25" customHeight="1">
      <c r="A24" s="944"/>
      <c r="B24" s="945"/>
      <c r="C24" s="945"/>
      <c r="D24" s="939"/>
    </row>
    <row r="25" spans="1:4" s="934" customFormat="1" ht="25.5" customHeight="1">
      <c r="A25" s="935">
        <v>13</v>
      </c>
      <c r="B25" s="1243" t="s">
        <v>1065</v>
      </c>
      <c r="C25" s="1243"/>
      <c r="D25" s="1243"/>
    </row>
    <row r="26" spans="1:4" s="934" customFormat="1" ht="6.75" customHeight="1">
      <c r="A26" s="935"/>
      <c r="B26" s="940"/>
      <c r="C26" s="941"/>
      <c r="D26" s="946"/>
    </row>
    <row r="27" spans="1:4" ht="15.75" customHeight="1">
      <c r="A27" s="935">
        <v>14</v>
      </c>
      <c r="B27" s="937" t="s">
        <v>1066</v>
      </c>
      <c r="C27" s="937"/>
      <c r="D27" s="943">
        <f>SUM(D26:D26)</f>
        <v>0</v>
      </c>
    </row>
    <row r="28" spans="1:4" s="934" customFormat="1" ht="6.75" customHeight="1">
      <c r="A28" s="944"/>
      <c r="B28" s="945"/>
      <c r="C28" s="945"/>
      <c r="D28" s="939"/>
    </row>
    <row r="29" spans="1:4" ht="15.75" customHeight="1">
      <c r="A29" s="935">
        <v>15</v>
      </c>
      <c r="B29" s="937" t="s">
        <v>1067</v>
      </c>
      <c r="C29" s="937"/>
      <c r="D29" s="943">
        <f>SUM(D27,D23)</f>
        <v>1550000</v>
      </c>
    </row>
  </sheetData>
  <sheetProtection/>
  <mergeCells count="8">
    <mergeCell ref="B14:D14"/>
    <mergeCell ref="B25:D25"/>
    <mergeCell ref="C1:D1"/>
    <mergeCell ref="B3:D3"/>
    <mergeCell ref="B4:D4"/>
    <mergeCell ref="A7:A8"/>
    <mergeCell ref="B7:C7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zoomScalePageLayoutView="0" workbookViewId="0" topLeftCell="A1">
      <selection activeCell="A2" sqref="A2:N54"/>
    </sheetView>
  </sheetViews>
  <sheetFormatPr defaultColWidth="9.00390625" defaultRowHeight="12.75"/>
  <cols>
    <col min="1" max="1" width="8.875" style="35" bestFit="1" customWidth="1"/>
    <col min="2" max="2" width="8.875" style="31" customWidth="1"/>
    <col min="3" max="3" width="69.2539062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52" t="s">
        <v>1091</v>
      </c>
      <c r="J1" s="161"/>
      <c r="K1" s="161"/>
      <c r="L1" s="551"/>
      <c r="M1" s="161"/>
    </row>
    <row r="2" spans="1:256" ht="15.75">
      <c r="A2" s="1259" t="s">
        <v>870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60" t="s">
        <v>1010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261" t="s">
        <v>443</v>
      </c>
      <c r="B5" s="1262"/>
      <c r="C5" s="1263"/>
      <c r="D5" s="1261" t="s">
        <v>441</v>
      </c>
      <c r="E5" s="1262"/>
      <c r="F5" s="1264"/>
      <c r="G5" s="1265" t="s">
        <v>566</v>
      </c>
      <c r="H5" s="1266"/>
      <c r="I5" s="1266"/>
      <c r="J5" s="1267"/>
      <c r="K5" s="1268"/>
      <c r="L5" s="1253" t="s">
        <v>366</v>
      </c>
      <c r="M5" s="29"/>
      <c r="N5" s="29" t="s">
        <v>469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55" t="s">
        <v>444</v>
      </c>
      <c r="B6" s="1256"/>
      <c r="C6" s="24" t="s">
        <v>445</v>
      </c>
      <c r="D6" s="25" t="s">
        <v>446</v>
      </c>
      <c r="E6" s="27" t="s">
        <v>447</v>
      </c>
      <c r="F6" s="28" t="s">
        <v>468</v>
      </c>
      <c r="G6" s="25" t="s">
        <v>448</v>
      </c>
      <c r="H6" s="26" t="s">
        <v>458</v>
      </c>
      <c r="I6" s="26" t="s">
        <v>449</v>
      </c>
      <c r="J6" s="26" t="s">
        <v>458</v>
      </c>
      <c r="K6" s="28" t="s">
        <v>609</v>
      </c>
      <c r="L6" s="1254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57" t="s">
        <v>426</v>
      </c>
      <c r="B7" s="1258"/>
      <c r="C7" s="101" t="s">
        <v>427</v>
      </c>
      <c r="D7" s="102" t="s">
        <v>428</v>
      </c>
      <c r="E7" s="103" t="s">
        <v>429</v>
      </c>
      <c r="F7" s="104" t="s">
        <v>430</v>
      </c>
      <c r="G7" s="102" t="s">
        <v>431</v>
      </c>
      <c r="H7" s="105" t="s">
        <v>433</v>
      </c>
      <c r="I7" s="105" t="s">
        <v>434</v>
      </c>
      <c r="J7" s="105" t="s">
        <v>385</v>
      </c>
      <c r="K7" s="104" t="s">
        <v>386</v>
      </c>
      <c r="L7" s="142" t="s">
        <v>387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2:256" ht="12.75">
      <c r="B8" s="122"/>
      <c r="C8" s="123" t="s">
        <v>467</v>
      </c>
      <c r="D8" s="124"/>
      <c r="E8" s="125"/>
      <c r="F8" s="126">
        <f>F9+F10+F15+F16+F17+F18</f>
        <v>209770154</v>
      </c>
      <c r="G8" s="124"/>
      <c r="H8" s="127"/>
      <c r="I8" s="127"/>
      <c r="J8" s="125"/>
      <c r="K8" s="126"/>
      <c r="L8" s="143">
        <f aca="true" t="shared" si="0" ref="L8:L14">F8+K8</f>
        <v>209770154</v>
      </c>
      <c r="M8" s="120"/>
      <c r="N8" s="145">
        <f>SUM(N9:N18)</f>
        <v>209770154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12.75">
      <c r="A9" s="729" t="s">
        <v>1011</v>
      </c>
      <c r="B9" s="115" t="s">
        <v>507</v>
      </c>
      <c r="C9" s="116" t="s">
        <v>459</v>
      </c>
      <c r="D9" s="554">
        <v>26.11</v>
      </c>
      <c r="E9" s="555">
        <v>5450000</v>
      </c>
      <c r="F9" s="556">
        <f>D9*E9</f>
        <v>142299500</v>
      </c>
      <c r="G9" s="557"/>
      <c r="H9" s="558"/>
      <c r="I9" s="558"/>
      <c r="J9" s="555"/>
      <c r="K9" s="556"/>
      <c r="L9" s="559">
        <f t="shared" si="0"/>
        <v>142299500</v>
      </c>
      <c r="M9" s="117"/>
      <c r="N9" s="160">
        <f>SUM(L9)</f>
        <v>142299500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2.75">
      <c r="A10" s="730"/>
      <c r="B10" s="115" t="s">
        <v>508</v>
      </c>
      <c r="C10" s="116" t="s">
        <v>776</v>
      </c>
      <c r="D10" s="557"/>
      <c r="E10" s="555"/>
      <c r="F10" s="556">
        <v>65506481</v>
      </c>
      <c r="G10" s="557"/>
      <c r="H10" s="558"/>
      <c r="I10" s="558"/>
      <c r="J10" s="555"/>
      <c r="K10" s="556"/>
      <c r="L10" s="559">
        <f t="shared" si="0"/>
        <v>65506481</v>
      </c>
      <c r="M10" s="117"/>
      <c r="N10" s="160">
        <f>SUM(L11:L14)</f>
        <v>65506481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14" ht="12.75">
      <c r="A11" s="731"/>
      <c r="B11" s="113" t="s">
        <v>509</v>
      </c>
      <c r="C11" s="114" t="s">
        <v>777</v>
      </c>
      <c r="D11" s="560"/>
      <c r="E11" s="561">
        <v>25200</v>
      </c>
      <c r="F11" s="562">
        <v>20189141</v>
      </c>
      <c r="G11" s="560"/>
      <c r="H11" s="563"/>
      <c r="I11" s="563"/>
      <c r="J11" s="561"/>
      <c r="K11" s="562"/>
      <c r="L11" s="564">
        <f t="shared" si="0"/>
        <v>20189141</v>
      </c>
      <c r="M11" s="30"/>
      <c r="N11" s="160"/>
    </row>
    <row r="12" spans="1:14" ht="12.75">
      <c r="A12" s="731"/>
      <c r="B12" s="113" t="s">
        <v>510</v>
      </c>
      <c r="C12" s="114" t="s">
        <v>778</v>
      </c>
      <c r="D12" s="560"/>
      <c r="E12" s="561"/>
      <c r="F12" s="562">
        <v>30240000</v>
      </c>
      <c r="G12" s="560"/>
      <c r="H12" s="563"/>
      <c r="I12" s="563"/>
      <c r="J12" s="561"/>
      <c r="K12" s="562"/>
      <c r="L12" s="564">
        <f t="shared" si="0"/>
        <v>30240000</v>
      </c>
      <c r="M12" s="30"/>
      <c r="N12" s="160"/>
    </row>
    <row r="13" spans="1:14" ht="12.75">
      <c r="A13" s="731"/>
      <c r="B13" s="113" t="s">
        <v>511</v>
      </c>
      <c r="C13" s="114" t="s">
        <v>779</v>
      </c>
      <c r="D13" s="560"/>
      <c r="E13" s="561"/>
      <c r="F13" s="562">
        <v>0</v>
      </c>
      <c r="G13" s="560"/>
      <c r="H13" s="563"/>
      <c r="I13" s="563"/>
      <c r="J13" s="561"/>
      <c r="K13" s="562"/>
      <c r="L13" s="564">
        <f t="shared" si="0"/>
        <v>0</v>
      </c>
      <c r="M13" s="30"/>
      <c r="N13" s="160"/>
    </row>
    <row r="14" spans="1:14" ht="12.75">
      <c r="A14" s="731"/>
      <c r="B14" s="113" t="s">
        <v>512</v>
      </c>
      <c r="C14" s="114" t="s">
        <v>780</v>
      </c>
      <c r="D14" s="560"/>
      <c r="E14" s="561"/>
      <c r="F14" s="562">
        <v>15077340</v>
      </c>
      <c r="G14" s="560"/>
      <c r="H14" s="563"/>
      <c r="I14" s="563"/>
      <c r="J14" s="561"/>
      <c r="K14" s="562"/>
      <c r="L14" s="564">
        <f t="shared" si="0"/>
        <v>15077340</v>
      </c>
      <c r="M14" s="30"/>
      <c r="N14" s="160"/>
    </row>
    <row r="15" spans="1:256" ht="12.75">
      <c r="A15" s="730"/>
      <c r="B15" s="115" t="s">
        <v>513</v>
      </c>
      <c r="C15" s="119" t="s">
        <v>783</v>
      </c>
      <c r="D15" s="557">
        <v>8650</v>
      </c>
      <c r="E15" s="555">
        <v>2700</v>
      </c>
      <c r="F15" s="556">
        <v>0</v>
      </c>
      <c r="G15" s="557"/>
      <c r="H15" s="558"/>
      <c r="I15" s="558"/>
      <c r="J15" s="555"/>
      <c r="K15" s="556"/>
      <c r="L15" s="559">
        <f>F15+K15</f>
        <v>0</v>
      </c>
      <c r="M15" s="117"/>
      <c r="N15" s="160">
        <f>SUM(L15)</f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ht="12.75">
      <c r="A16" s="730"/>
      <c r="B16" s="115" t="s">
        <v>514</v>
      </c>
      <c r="C16" s="119" t="s">
        <v>90</v>
      </c>
      <c r="D16" s="557">
        <v>264</v>
      </c>
      <c r="E16" s="555">
        <v>2550</v>
      </c>
      <c r="F16" s="556">
        <v>0</v>
      </c>
      <c r="G16" s="557"/>
      <c r="H16" s="558"/>
      <c r="I16" s="558"/>
      <c r="J16" s="555"/>
      <c r="K16" s="556"/>
      <c r="L16" s="559">
        <f>F16+K16</f>
        <v>0</v>
      </c>
      <c r="M16" s="117"/>
      <c r="N16" s="160">
        <f>SUM(L16)</f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2.75">
      <c r="A17" s="730"/>
      <c r="B17" s="115" t="s">
        <v>722</v>
      </c>
      <c r="C17" s="119" t="s">
        <v>723</v>
      </c>
      <c r="D17" s="557"/>
      <c r="E17" s="555"/>
      <c r="F17" s="556">
        <v>1538000</v>
      </c>
      <c r="G17" s="557"/>
      <c r="H17" s="558"/>
      <c r="I17" s="558"/>
      <c r="J17" s="555"/>
      <c r="K17" s="556"/>
      <c r="L17" s="559">
        <f>F17+K17</f>
        <v>1538000</v>
      </c>
      <c r="M17" s="117"/>
      <c r="N17" s="160">
        <f>SUM(L17)</f>
        <v>1538000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25.5">
      <c r="A18" s="729" t="s">
        <v>1012</v>
      </c>
      <c r="B18" s="115" t="s">
        <v>983</v>
      </c>
      <c r="C18" s="116" t="s">
        <v>984</v>
      </c>
      <c r="D18" s="570"/>
      <c r="E18" s="571"/>
      <c r="F18" s="556">
        <f>383873+42300</f>
        <v>426173</v>
      </c>
      <c r="G18" s="572"/>
      <c r="H18" s="558"/>
      <c r="I18" s="573"/>
      <c r="J18" s="555"/>
      <c r="K18" s="556"/>
      <c r="L18" s="559">
        <f>F18+K18</f>
        <v>426173</v>
      </c>
      <c r="M18" s="117"/>
      <c r="N18" s="160">
        <f>SUM(L18)</f>
        <v>426173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2:14" ht="25.5">
      <c r="B19" s="128"/>
      <c r="C19" s="123" t="s">
        <v>111</v>
      </c>
      <c r="D19" s="565"/>
      <c r="E19" s="566"/>
      <c r="F19" s="126"/>
      <c r="G19" s="565"/>
      <c r="H19" s="567"/>
      <c r="I19" s="567"/>
      <c r="J19" s="566"/>
      <c r="K19" s="126">
        <f>K20+K23+K24</f>
        <v>118098200</v>
      </c>
      <c r="L19" s="143">
        <f>F19+K19</f>
        <v>118098200</v>
      </c>
      <c r="M19" s="30"/>
      <c r="N19" s="144">
        <f>SUM(N23:N24,+N20)</f>
        <v>118098200</v>
      </c>
    </row>
    <row r="20" spans="1:256" ht="25.5">
      <c r="A20" s="729" t="s">
        <v>1013</v>
      </c>
      <c r="B20" s="115" t="s">
        <v>460</v>
      </c>
      <c r="C20" s="116" t="s">
        <v>112</v>
      </c>
      <c r="D20" s="557"/>
      <c r="E20" s="555"/>
      <c r="F20" s="556"/>
      <c r="G20" s="557"/>
      <c r="H20" s="558"/>
      <c r="I20" s="558"/>
      <c r="J20" s="555"/>
      <c r="K20" s="556">
        <f>SUM(K21:K22)</f>
        <v>94595400</v>
      </c>
      <c r="L20" s="559">
        <f>SUM(K20,F20)</f>
        <v>94595400</v>
      </c>
      <c r="M20" s="117"/>
      <c r="N20" s="160">
        <f>SUM(L21:L22)</f>
        <v>94595400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14" ht="12.75">
      <c r="A21" s="731"/>
      <c r="B21" s="113" t="s">
        <v>724</v>
      </c>
      <c r="C21" s="114" t="s">
        <v>461</v>
      </c>
      <c r="D21" s="560"/>
      <c r="E21" s="561"/>
      <c r="F21" s="562"/>
      <c r="G21" s="568">
        <v>15.6</v>
      </c>
      <c r="H21" s="563">
        <v>4371500</v>
      </c>
      <c r="I21" s="569">
        <v>15.6</v>
      </c>
      <c r="J21" s="563">
        <v>4371500</v>
      </c>
      <c r="K21" s="562">
        <f>(G21*H21/12*8)+(I21*J21/12*4)</f>
        <v>68195400</v>
      </c>
      <c r="L21" s="564">
        <f>F21+K21</f>
        <v>68195400</v>
      </c>
      <c r="M21" s="30"/>
      <c r="N21" s="160"/>
    </row>
    <row r="22" spans="1:14" ht="25.5">
      <c r="A22" s="731"/>
      <c r="B22" s="113" t="s">
        <v>725</v>
      </c>
      <c r="C22" s="148" t="s">
        <v>568</v>
      </c>
      <c r="D22" s="560"/>
      <c r="E22" s="561"/>
      <c r="F22" s="562"/>
      <c r="G22" s="560">
        <v>11</v>
      </c>
      <c r="H22" s="563">
        <v>2400000</v>
      </c>
      <c r="I22" s="563">
        <v>11</v>
      </c>
      <c r="J22" s="561">
        <v>2400000</v>
      </c>
      <c r="K22" s="562">
        <f>(G22*H22/12*8)+(I22*J22/12*4)</f>
        <v>26400000</v>
      </c>
      <c r="L22" s="564">
        <f>F22+K22</f>
        <v>26400000</v>
      </c>
      <c r="M22" s="30"/>
      <c r="N22" s="160"/>
    </row>
    <row r="23" spans="1:256" ht="12.75">
      <c r="A23" s="730"/>
      <c r="B23" s="115" t="s">
        <v>462</v>
      </c>
      <c r="C23" s="119" t="s">
        <v>463</v>
      </c>
      <c r="D23" s="570"/>
      <c r="E23" s="571"/>
      <c r="F23" s="556"/>
      <c r="G23" s="572">
        <v>179</v>
      </c>
      <c r="H23" s="558">
        <v>97400</v>
      </c>
      <c r="I23" s="573">
        <v>179</v>
      </c>
      <c r="J23" s="555">
        <v>97400</v>
      </c>
      <c r="K23" s="556">
        <f>(G23*H23/12*8)+(I23*J23/12*4)</f>
        <v>17434600</v>
      </c>
      <c r="L23" s="559">
        <f>F23+K23</f>
        <v>17434600</v>
      </c>
      <c r="M23" s="117"/>
      <c r="N23" s="160">
        <f>SUM(L23)</f>
        <v>17434600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pans="1:256" ht="25.5">
      <c r="A24" s="730"/>
      <c r="B24" s="115" t="s">
        <v>515</v>
      </c>
      <c r="C24" s="116" t="s">
        <v>516</v>
      </c>
      <c r="D24" s="570"/>
      <c r="E24" s="571"/>
      <c r="F24" s="556"/>
      <c r="G24" s="572"/>
      <c r="H24" s="558"/>
      <c r="I24" s="573"/>
      <c r="J24" s="555"/>
      <c r="K24" s="556">
        <f>SUM(K25:K28)</f>
        <v>6068200</v>
      </c>
      <c r="L24" s="559">
        <f>F24+K24</f>
        <v>6068200</v>
      </c>
      <c r="M24" s="117"/>
      <c r="N24" s="160">
        <f>SUM(L25:L28)</f>
        <v>6068200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14" ht="25.5">
      <c r="A25" s="731"/>
      <c r="B25" s="113" t="s">
        <v>610</v>
      </c>
      <c r="C25" s="148" t="s">
        <v>871</v>
      </c>
      <c r="D25" s="560"/>
      <c r="E25" s="561"/>
      <c r="F25" s="562"/>
      <c r="G25" s="560">
        <v>8</v>
      </c>
      <c r="H25" s="563">
        <v>396700</v>
      </c>
      <c r="I25" s="563"/>
      <c r="J25" s="561"/>
      <c r="K25" s="562">
        <f>G25*H25</f>
        <v>3173600</v>
      </c>
      <c r="L25" s="564">
        <f>SUM(K25)</f>
        <v>3173600</v>
      </c>
      <c r="M25" s="30"/>
      <c r="N25" s="160"/>
    </row>
    <row r="26" spans="1:14" ht="38.25">
      <c r="A26" s="731"/>
      <c r="B26" s="113"/>
      <c r="C26" s="148" t="s">
        <v>872</v>
      </c>
      <c r="D26" s="560"/>
      <c r="E26" s="561"/>
      <c r="F26" s="562"/>
      <c r="G26" s="560">
        <v>0</v>
      </c>
      <c r="H26" s="563">
        <v>363642</v>
      </c>
      <c r="I26" s="563"/>
      <c r="J26" s="561"/>
      <c r="K26" s="562">
        <f>G26*H26</f>
        <v>0</v>
      </c>
      <c r="L26" s="564">
        <f>SUM(K26)</f>
        <v>0</v>
      </c>
      <c r="M26" s="30"/>
      <c r="N26" s="160"/>
    </row>
    <row r="27" spans="1:14" ht="25.5">
      <c r="A27" s="731"/>
      <c r="B27" s="113" t="s">
        <v>611</v>
      </c>
      <c r="C27" s="148" t="s">
        <v>873</v>
      </c>
      <c r="D27" s="560"/>
      <c r="E27" s="561"/>
      <c r="F27" s="562"/>
      <c r="G27" s="560">
        <v>2</v>
      </c>
      <c r="H27" s="563">
        <v>1447300</v>
      </c>
      <c r="I27" s="563"/>
      <c r="J27" s="561"/>
      <c r="K27" s="562">
        <f>G27*H27</f>
        <v>2894600</v>
      </c>
      <c r="L27" s="564">
        <f>SUM(K27)</f>
        <v>2894600</v>
      </c>
      <c r="M27" s="30"/>
      <c r="N27" s="160"/>
    </row>
    <row r="28" spans="1:14" ht="38.25">
      <c r="A28" s="731"/>
      <c r="B28" s="113"/>
      <c r="C28" s="148" t="s">
        <v>874</v>
      </c>
      <c r="D28" s="560"/>
      <c r="E28" s="561"/>
      <c r="F28" s="562"/>
      <c r="G28" s="560">
        <v>0</v>
      </c>
      <c r="H28" s="563">
        <v>1326692</v>
      </c>
      <c r="I28" s="563"/>
      <c r="J28" s="561"/>
      <c r="K28" s="562">
        <f>G28*H28</f>
        <v>0</v>
      </c>
      <c r="L28" s="564">
        <f>SUM(K28)</f>
        <v>0</v>
      </c>
      <c r="M28" s="30"/>
      <c r="N28" s="160"/>
    </row>
    <row r="29" spans="2:256" ht="25.5">
      <c r="B29" s="129"/>
      <c r="C29" s="123" t="s">
        <v>1016</v>
      </c>
      <c r="D29" s="124"/>
      <c r="E29" s="125"/>
      <c r="F29" s="126">
        <f>SUM(F37+F31+F42+F30)</f>
        <v>56917923</v>
      </c>
      <c r="G29" s="574"/>
      <c r="H29" s="127"/>
      <c r="I29" s="575"/>
      <c r="J29" s="125"/>
      <c r="K29" s="126">
        <f>SUM(K37+K31+K30+K42)</f>
        <v>52661533</v>
      </c>
      <c r="L29" s="126">
        <f>SUM(L37+L31+L30+L42)</f>
        <v>109579456</v>
      </c>
      <c r="M29" s="117"/>
      <c r="N29" s="144">
        <f>SUM(N30:N42)</f>
        <v>109579456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ht="12.75">
      <c r="A30" s="729" t="s">
        <v>1014</v>
      </c>
      <c r="B30" s="115" t="s">
        <v>464</v>
      </c>
      <c r="C30" s="119" t="s">
        <v>841</v>
      </c>
      <c r="D30" s="570"/>
      <c r="E30" s="571"/>
      <c r="F30" s="556">
        <v>48822917</v>
      </c>
      <c r="G30" s="572"/>
      <c r="H30" s="558"/>
      <c r="I30" s="573"/>
      <c r="J30" s="555"/>
      <c r="K30" s="556">
        <v>0</v>
      </c>
      <c r="L30" s="559">
        <f aca="true" t="shared" si="1" ref="L30:L41">F30+K30</f>
        <v>48822917</v>
      </c>
      <c r="M30" s="117"/>
      <c r="N30" s="160">
        <f>SUM(L30)</f>
        <v>48822917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ht="12.75">
      <c r="A31" s="730"/>
      <c r="B31" s="115" t="s">
        <v>465</v>
      </c>
      <c r="C31" s="119" t="s">
        <v>466</v>
      </c>
      <c r="D31" s="570"/>
      <c r="E31" s="571"/>
      <c r="F31" s="556">
        <f>SUM(F32:F36)</f>
        <v>7545200</v>
      </c>
      <c r="G31" s="572"/>
      <c r="H31" s="558"/>
      <c r="I31" s="573"/>
      <c r="J31" s="555"/>
      <c r="K31" s="556">
        <f>SUM(K32:K36)</f>
        <v>29611142</v>
      </c>
      <c r="L31" s="559">
        <f t="shared" si="1"/>
        <v>37156342</v>
      </c>
      <c r="M31" s="117"/>
      <c r="N31" s="160">
        <f>SUM(L31)</f>
        <v>37156342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14" ht="12.75">
      <c r="A32" s="731"/>
      <c r="B32" s="113" t="s">
        <v>875</v>
      </c>
      <c r="C32" s="114" t="s">
        <v>569</v>
      </c>
      <c r="D32" s="568"/>
      <c r="E32" s="561"/>
      <c r="F32" s="562"/>
      <c r="G32" s="576"/>
      <c r="H32" s="563"/>
      <c r="I32" s="577"/>
      <c r="J32" s="561"/>
      <c r="K32" s="562">
        <v>4158000</v>
      </c>
      <c r="L32" s="564">
        <f t="shared" si="1"/>
        <v>4158000</v>
      </c>
      <c r="M32" s="30"/>
      <c r="N32" s="160"/>
    </row>
    <row r="33" spans="1:14" ht="12.75">
      <c r="A33" s="731"/>
      <c r="B33" s="113" t="s">
        <v>876</v>
      </c>
      <c r="C33" s="114" t="s">
        <v>570</v>
      </c>
      <c r="D33" s="568"/>
      <c r="E33" s="561"/>
      <c r="F33" s="562"/>
      <c r="G33" s="576"/>
      <c r="H33" s="563"/>
      <c r="I33" s="577"/>
      <c r="J33" s="561"/>
      <c r="K33" s="562">
        <v>18150000</v>
      </c>
      <c r="L33" s="564">
        <f t="shared" si="1"/>
        <v>18150000</v>
      </c>
      <c r="M33" s="30"/>
      <c r="N33" s="160"/>
    </row>
    <row r="34" spans="1:14" ht="12.75">
      <c r="A34" s="731"/>
      <c r="B34" s="113" t="s">
        <v>1078</v>
      </c>
      <c r="C34" s="114" t="s">
        <v>452</v>
      </c>
      <c r="D34" s="568">
        <v>70</v>
      </c>
      <c r="E34" s="561">
        <v>65360</v>
      </c>
      <c r="F34" s="562">
        <f>E34*D34</f>
        <v>4575200</v>
      </c>
      <c r="G34" s="576"/>
      <c r="H34" s="563"/>
      <c r="I34" s="577"/>
      <c r="J34" s="561"/>
      <c r="K34" s="562"/>
      <c r="L34" s="564"/>
      <c r="M34" s="30"/>
      <c r="N34" s="160"/>
    </row>
    <row r="35" spans="1:14" ht="12.75">
      <c r="A35" s="731"/>
      <c r="B35" s="113" t="s">
        <v>1080</v>
      </c>
      <c r="C35" s="114" t="s">
        <v>1079</v>
      </c>
      <c r="D35" s="568">
        <v>9</v>
      </c>
      <c r="E35" s="561">
        <v>330000</v>
      </c>
      <c r="F35" s="562">
        <f>E35*D35</f>
        <v>2970000</v>
      </c>
      <c r="G35" s="576"/>
      <c r="H35" s="563"/>
      <c r="I35" s="577"/>
      <c r="J35" s="561"/>
      <c r="K35" s="562"/>
      <c r="L35" s="564"/>
      <c r="M35" s="30"/>
      <c r="N35" s="160"/>
    </row>
    <row r="36" spans="1:14" ht="12.75">
      <c r="A36" s="731"/>
      <c r="B36" s="113" t="s">
        <v>877</v>
      </c>
      <c r="C36" s="114" t="s">
        <v>784</v>
      </c>
      <c r="D36" s="560"/>
      <c r="E36" s="561"/>
      <c r="F36" s="562"/>
      <c r="G36" s="576"/>
      <c r="H36" s="563"/>
      <c r="I36" s="577"/>
      <c r="J36" s="561"/>
      <c r="K36" s="562">
        <v>7303142</v>
      </c>
      <c r="L36" s="564">
        <f t="shared" si="1"/>
        <v>7303142</v>
      </c>
      <c r="M36" s="30"/>
      <c r="N36" s="160"/>
    </row>
    <row r="37" spans="1:256" ht="12.75">
      <c r="A37" s="730"/>
      <c r="B37" s="115" t="s">
        <v>878</v>
      </c>
      <c r="C37" s="119" t="s">
        <v>726</v>
      </c>
      <c r="D37" s="570"/>
      <c r="E37" s="571"/>
      <c r="F37" s="556"/>
      <c r="G37" s="572"/>
      <c r="H37" s="558"/>
      <c r="I37" s="573"/>
      <c r="J37" s="555"/>
      <c r="K37" s="556">
        <f>SUM(K38:K41)</f>
        <v>12982000</v>
      </c>
      <c r="L37" s="559">
        <f t="shared" si="1"/>
        <v>12982000</v>
      </c>
      <c r="M37" s="117"/>
      <c r="N37" s="160">
        <f>SUM(L37)</f>
        <v>12982000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14" ht="12.75">
      <c r="A38" s="731"/>
      <c r="B38" s="113" t="s">
        <v>879</v>
      </c>
      <c r="C38" s="148" t="s">
        <v>727</v>
      </c>
      <c r="D38" s="578"/>
      <c r="E38" s="561"/>
      <c r="F38" s="562"/>
      <c r="G38" s="560">
        <v>1</v>
      </c>
      <c r="H38" s="563">
        <v>4419000</v>
      </c>
      <c r="I38" s="563"/>
      <c r="J38" s="561"/>
      <c r="K38" s="562">
        <f>G38*H38</f>
        <v>4419000</v>
      </c>
      <c r="L38" s="580">
        <f t="shared" si="1"/>
        <v>4419000</v>
      </c>
      <c r="M38" s="30"/>
      <c r="N38" s="160"/>
    </row>
    <row r="39" spans="1:14" ht="25.5">
      <c r="A39" s="731"/>
      <c r="B39" s="113" t="s">
        <v>880</v>
      </c>
      <c r="C39" s="148" t="s">
        <v>728</v>
      </c>
      <c r="D39" s="578"/>
      <c r="E39" s="561"/>
      <c r="F39" s="562"/>
      <c r="G39" s="560">
        <v>2</v>
      </c>
      <c r="H39" s="563">
        <v>2993000</v>
      </c>
      <c r="I39" s="563"/>
      <c r="J39" s="561"/>
      <c r="K39" s="562">
        <f>G39*H39</f>
        <v>5986000</v>
      </c>
      <c r="L39" s="580">
        <f t="shared" si="1"/>
        <v>5986000</v>
      </c>
      <c r="M39" s="30"/>
      <c r="N39" s="160"/>
    </row>
    <row r="40" spans="1:14" ht="25.5">
      <c r="A40" s="731"/>
      <c r="B40" s="113"/>
      <c r="C40" s="148" t="s">
        <v>1009</v>
      </c>
      <c r="D40" s="578"/>
      <c r="E40" s="561"/>
      <c r="F40" s="562"/>
      <c r="G40" s="560"/>
      <c r="H40" s="563"/>
      <c r="I40" s="563"/>
      <c r="J40" s="561"/>
      <c r="K40" s="562">
        <v>1038000</v>
      </c>
      <c r="L40" s="580">
        <f t="shared" si="1"/>
        <v>1038000</v>
      </c>
      <c r="M40" s="30"/>
      <c r="N40" s="160"/>
    </row>
    <row r="41" spans="1:14" ht="12.75">
      <c r="A41" s="731"/>
      <c r="B41" s="113" t="s">
        <v>571</v>
      </c>
      <c r="C41" s="148" t="s">
        <v>729</v>
      </c>
      <c r="D41" s="578"/>
      <c r="E41" s="561"/>
      <c r="F41" s="562"/>
      <c r="G41" s="560"/>
      <c r="H41" s="563"/>
      <c r="I41" s="563"/>
      <c r="J41" s="561"/>
      <c r="K41" s="707">
        <v>1539000</v>
      </c>
      <c r="L41" s="580">
        <f t="shared" si="1"/>
        <v>1539000</v>
      </c>
      <c r="M41" s="30"/>
      <c r="N41" s="160"/>
    </row>
    <row r="42" spans="1:14" ht="12.75">
      <c r="A42" s="729" t="s">
        <v>1012</v>
      </c>
      <c r="B42" s="115" t="s">
        <v>985</v>
      </c>
      <c r="C42" s="116" t="s">
        <v>986</v>
      </c>
      <c r="D42" s="570"/>
      <c r="E42" s="571"/>
      <c r="F42" s="556">
        <f>218350+331456</f>
        <v>549806</v>
      </c>
      <c r="G42" s="572"/>
      <c r="H42" s="558"/>
      <c r="I42" s="573"/>
      <c r="J42" s="555"/>
      <c r="K42" s="556">
        <f>10068391</f>
        <v>10068391</v>
      </c>
      <c r="L42" s="559">
        <f>F42+K42</f>
        <v>10618197</v>
      </c>
      <c r="M42" s="30"/>
      <c r="N42" s="160">
        <f>SUM(L42)</f>
        <v>10618197</v>
      </c>
    </row>
    <row r="43" spans="2:256" ht="25.5" customHeight="1">
      <c r="B43" s="129"/>
      <c r="C43" s="123" t="s">
        <v>1017</v>
      </c>
      <c r="D43" s="124"/>
      <c r="E43" s="125"/>
      <c r="F43" s="126">
        <f>SUM(F44)</f>
        <v>76751744</v>
      </c>
      <c r="G43" s="574"/>
      <c r="H43" s="127"/>
      <c r="I43" s="575"/>
      <c r="J43" s="125"/>
      <c r="K43" s="126">
        <f>SUM(K44)</f>
        <v>0</v>
      </c>
      <c r="L43" s="126">
        <f>SUM(L44)</f>
        <v>76751744</v>
      </c>
      <c r="M43" s="117"/>
      <c r="N43" s="144">
        <f>SUM(N44)</f>
        <v>76751744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</row>
    <row r="44" spans="1:256" ht="12.75">
      <c r="A44" s="729" t="s">
        <v>1014</v>
      </c>
      <c r="B44" s="115" t="s">
        <v>113</v>
      </c>
      <c r="C44" s="119" t="s">
        <v>1015</v>
      </c>
      <c r="D44" s="570"/>
      <c r="E44" s="571"/>
      <c r="F44" s="556">
        <f>SUM(F45:F47)</f>
        <v>76751744</v>
      </c>
      <c r="G44" s="572"/>
      <c r="H44" s="558"/>
      <c r="I44" s="573"/>
      <c r="J44" s="555"/>
      <c r="K44" s="556">
        <f>SUM(K45:K47)</f>
        <v>0</v>
      </c>
      <c r="L44" s="559">
        <f>F44+K44</f>
        <v>76751744</v>
      </c>
      <c r="M44" s="117"/>
      <c r="N44" s="160">
        <f>SUM(L45:L47)</f>
        <v>76751744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</row>
    <row r="45" spans="1:14" ht="12.75">
      <c r="A45" s="731"/>
      <c r="B45" s="113" t="s">
        <v>781</v>
      </c>
      <c r="C45" s="148" t="s">
        <v>730</v>
      </c>
      <c r="D45" s="578">
        <v>10.3</v>
      </c>
      <c r="E45" s="579">
        <v>2200000</v>
      </c>
      <c r="F45" s="562">
        <f>E45*D45</f>
        <v>22660000</v>
      </c>
      <c r="G45" s="568"/>
      <c r="H45" s="563"/>
      <c r="I45" s="569"/>
      <c r="J45" s="561"/>
      <c r="K45" s="562"/>
      <c r="L45" s="580">
        <f>F45+K45</f>
        <v>22660000</v>
      </c>
      <c r="M45" s="30"/>
      <c r="N45" s="160"/>
    </row>
    <row r="46" spans="1:14" ht="12.75">
      <c r="A46" s="731"/>
      <c r="B46" s="113" t="s">
        <v>782</v>
      </c>
      <c r="C46" s="148" t="s">
        <v>115</v>
      </c>
      <c r="D46" s="578"/>
      <c r="E46" s="561"/>
      <c r="F46" s="707">
        <v>52368184</v>
      </c>
      <c r="G46" s="560"/>
      <c r="H46" s="563"/>
      <c r="I46" s="563"/>
      <c r="J46" s="561"/>
      <c r="K46" s="562"/>
      <c r="L46" s="580">
        <f>F46+K46</f>
        <v>52368184</v>
      </c>
      <c r="M46" s="30"/>
      <c r="N46" s="30"/>
    </row>
    <row r="47" spans="1:256" ht="12.75">
      <c r="A47" s="730"/>
      <c r="B47" s="113" t="s">
        <v>114</v>
      </c>
      <c r="C47" s="148" t="s">
        <v>731</v>
      </c>
      <c r="D47" s="702">
        <v>3180</v>
      </c>
      <c r="E47" s="703">
        <v>542</v>
      </c>
      <c r="F47" s="704">
        <f>D47*E47</f>
        <v>1723560</v>
      </c>
      <c r="G47" s="572"/>
      <c r="H47" s="558"/>
      <c r="I47" s="573"/>
      <c r="J47" s="555"/>
      <c r="K47" s="556"/>
      <c r="L47" s="580">
        <f>F47+K47</f>
        <v>1723560</v>
      </c>
      <c r="M47" s="117"/>
      <c r="N47" s="160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</row>
    <row r="48" spans="2:256" ht="12.75">
      <c r="B48" s="129"/>
      <c r="C48" s="123" t="s">
        <v>639</v>
      </c>
      <c r="D48" s="124"/>
      <c r="E48" s="125"/>
      <c r="F48" s="126">
        <f>SUM(F49:F50)</f>
        <v>11669970</v>
      </c>
      <c r="G48" s="574"/>
      <c r="H48" s="127"/>
      <c r="I48" s="575"/>
      <c r="J48" s="125"/>
      <c r="K48" s="126">
        <f>SUM(K49:K50)</f>
        <v>0</v>
      </c>
      <c r="L48" s="143">
        <f>SUM(L49:L50)</f>
        <v>11669970</v>
      </c>
      <c r="M48" s="117"/>
      <c r="N48" s="144">
        <f>SUM(N49:N50)</f>
        <v>11669970</v>
      </c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</row>
    <row r="49" spans="1:14" ht="25.5">
      <c r="A49" s="729" t="s">
        <v>1018</v>
      </c>
      <c r="B49" s="113" t="s">
        <v>881</v>
      </c>
      <c r="C49" s="148" t="s">
        <v>116</v>
      </c>
      <c r="D49" s="560">
        <v>8650</v>
      </c>
      <c r="E49" s="561">
        <v>1251</v>
      </c>
      <c r="F49" s="562">
        <f>D49*E49</f>
        <v>10821150</v>
      </c>
      <c r="G49" s="581"/>
      <c r="H49" s="582"/>
      <c r="I49" s="577"/>
      <c r="J49" s="579"/>
      <c r="K49" s="562"/>
      <c r="L49" s="564">
        <f>F49+K49</f>
        <v>10821150</v>
      </c>
      <c r="M49" s="30"/>
      <c r="N49" s="160">
        <f>SUM(L49)</f>
        <v>10821150</v>
      </c>
    </row>
    <row r="50" spans="1:256" ht="12.75">
      <c r="A50" s="729" t="s">
        <v>1012</v>
      </c>
      <c r="B50" s="115" t="s">
        <v>987</v>
      </c>
      <c r="C50" s="116" t="s">
        <v>988</v>
      </c>
      <c r="D50" s="570"/>
      <c r="E50" s="571"/>
      <c r="F50" s="556">
        <v>848820</v>
      </c>
      <c r="G50" s="572"/>
      <c r="H50" s="558"/>
      <c r="I50" s="573"/>
      <c r="J50" s="555"/>
      <c r="K50" s="556"/>
      <c r="L50" s="559">
        <f>F50+K50</f>
        <v>848820</v>
      </c>
      <c r="M50" s="117"/>
      <c r="N50" s="160">
        <f>SUM(L50)</f>
        <v>848820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</row>
    <row r="51" spans="2:256" ht="12.75">
      <c r="B51" s="115"/>
      <c r="C51" s="116"/>
      <c r="D51" s="570"/>
      <c r="E51" s="571"/>
      <c r="F51" s="556"/>
      <c r="G51" s="572"/>
      <c r="H51" s="558"/>
      <c r="I51" s="573"/>
      <c r="J51" s="555"/>
      <c r="K51" s="556"/>
      <c r="L51" s="559"/>
      <c r="M51" s="117"/>
      <c r="N51" s="160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</row>
    <row r="52" spans="2:256" ht="12.75">
      <c r="B52" s="115"/>
      <c r="C52" s="123" t="s">
        <v>982</v>
      </c>
      <c r="D52" s="570"/>
      <c r="E52" s="571"/>
      <c r="F52" s="556"/>
      <c r="G52" s="572"/>
      <c r="H52" s="558"/>
      <c r="I52" s="573"/>
      <c r="J52" s="555"/>
      <c r="K52" s="556"/>
      <c r="L52" s="559"/>
      <c r="M52" s="117"/>
      <c r="N52" s="160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</row>
    <row r="53" spans="1:256" ht="15">
      <c r="A53" s="1269" t="s">
        <v>1019</v>
      </c>
      <c r="B53" s="1270"/>
      <c r="C53" s="1271"/>
      <c r="D53" s="583" t="s">
        <v>450</v>
      </c>
      <c r="E53" s="584" t="s">
        <v>450</v>
      </c>
      <c r="F53" s="585">
        <f>SUM(F48,F43,F29,F19,F8)</f>
        <v>355109791</v>
      </c>
      <c r="G53" s="583" t="s">
        <v>450</v>
      </c>
      <c r="H53" s="586" t="s">
        <v>450</v>
      </c>
      <c r="I53" s="586" t="s">
        <v>450</v>
      </c>
      <c r="J53" s="584" t="s">
        <v>450</v>
      </c>
      <c r="K53" s="585">
        <f>SUM(K48,K43,K29,K19,K8)</f>
        <v>170759733</v>
      </c>
      <c r="L53" s="587">
        <f>SUM(K53+F53)</f>
        <v>525869524</v>
      </c>
      <c r="M53" s="32"/>
      <c r="N53" s="33">
        <f>SUM(N48,N29,N43,N19,N8)</f>
        <v>525869524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7.25" thickBot="1">
      <c r="A54" s="1250" t="s">
        <v>117</v>
      </c>
      <c r="B54" s="1251"/>
      <c r="C54" s="1252"/>
      <c r="D54" s="732" t="s">
        <v>450</v>
      </c>
      <c r="E54" s="733" t="s">
        <v>450</v>
      </c>
      <c r="F54" s="734">
        <f>SUM(F53)</f>
        <v>355109791</v>
      </c>
      <c r="G54" s="732" t="s">
        <v>450</v>
      </c>
      <c r="H54" s="735" t="s">
        <v>450</v>
      </c>
      <c r="I54" s="735" t="s">
        <v>450</v>
      </c>
      <c r="J54" s="733" t="s">
        <v>450</v>
      </c>
      <c r="K54" s="734">
        <f>SUM(K53)</f>
        <v>170759733</v>
      </c>
      <c r="L54" s="736">
        <f>SUM(K54+F54)</f>
        <v>525869524</v>
      </c>
      <c r="M54" s="32"/>
      <c r="N54" s="33">
        <f>SUM(N53)</f>
        <v>525869524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</sheetData>
  <sheetProtection/>
  <mergeCells count="10">
    <mergeCell ref="A54:C54"/>
    <mergeCell ref="L5:L6"/>
    <mergeCell ref="A6:B6"/>
    <mergeCell ref="A7:B7"/>
    <mergeCell ref="A2:K2"/>
    <mergeCell ref="A3:K3"/>
    <mergeCell ref="A5:C5"/>
    <mergeCell ref="D5:F5"/>
    <mergeCell ref="G5:K5"/>
    <mergeCell ref="A53:C53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6"/>
  <sheetViews>
    <sheetView zoomScalePageLayoutView="0" workbookViewId="0" topLeftCell="A145">
      <selection activeCell="A4" sqref="A4:L155"/>
    </sheetView>
  </sheetViews>
  <sheetFormatPr defaultColWidth="9.00390625" defaultRowHeight="12.75"/>
  <cols>
    <col min="1" max="1" width="4.625" style="661" customWidth="1"/>
    <col min="2" max="2" width="40.25390625" style="168" bestFit="1" customWidth="1"/>
    <col min="3" max="3" width="15.00390625" style="168" customWidth="1"/>
    <col min="4" max="4" width="11.125" style="168" bestFit="1" customWidth="1"/>
    <col min="5" max="5" width="11.875" style="168" customWidth="1"/>
    <col min="6" max="6" width="11.75390625" style="168" customWidth="1"/>
    <col min="7" max="8" width="11.25390625" style="168" customWidth="1"/>
    <col min="9" max="9" width="11.75390625" style="168" customWidth="1"/>
    <col min="10" max="11" width="15.375" style="168" customWidth="1"/>
    <col min="12" max="12" width="16.625" style="168" customWidth="1"/>
  </cols>
  <sheetData>
    <row r="1" spans="2:12" ht="15">
      <c r="B1" s="1311" t="s">
        <v>1092</v>
      </c>
      <c r="C1" s="1311"/>
      <c r="D1" s="1311"/>
      <c r="E1" s="1311"/>
      <c r="F1" s="1311"/>
      <c r="G1" s="1311"/>
      <c r="H1" s="1311"/>
      <c r="I1" s="1311"/>
      <c r="J1" s="1311"/>
      <c r="K1" s="1311"/>
      <c r="L1" s="1311"/>
    </row>
    <row r="4" spans="2:12" ht="41.25" customHeight="1">
      <c r="B4" s="1312" t="s">
        <v>1020</v>
      </c>
      <c r="C4" s="1312"/>
      <c r="D4" s="1312"/>
      <c r="E4" s="1312"/>
      <c r="F4" s="1312"/>
      <c r="G4" s="1312"/>
      <c r="H4" s="1312"/>
      <c r="I4" s="1312"/>
      <c r="J4" s="1312"/>
      <c r="K4" s="1312"/>
      <c r="L4" s="1312"/>
    </row>
    <row r="7" ht="13.5" thickBot="1"/>
    <row r="8" spans="1:12" ht="12.75" customHeight="1">
      <c r="A8" s="1313" t="s">
        <v>432</v>
      </c>
      <c r="B8" s="1316" t="s">
        <v>361</v>
      </c>
      <c r="C8" s="1319" t="s">
        <v>1021</v>
      </c>
      <c r="D8" s="1320"/>
      <c r="E8" s="1320"/>
      <c r="F8" s="1320"/>
      <c r="G8" s="1320"/>
      <c r="H8" s="1321"/>
      <c r="I8" s="1321"/>
      <c r="J8" s="1322" t="s">
        <v>1022</v>
      </c>
      <c r="K8" s="1322" t="s">
        <v>1023</v>
      </c>
      <c r="L8" s="1322" t="s">
        <v>1024</v>
      </c>
    </row>
    <row r="9" spans="1:12" ht="12.75">
      <c r="A9" s="1314"/>
      <c r="B9" s="1317"/>
      <c r="C9" s="1325" t="s">
        <v>421</v>
      </c>
      <c r="D9" s="1326" t="s">
        <v>1025</v>
      </c>
      <c r="E9" s="1327"/>
      <c r="F9" s="1327"/>
      <c r="G9" s="1327"/>
      <c r="H9" s="1328"/>
      <c r="I9" s="1328"/>
      <c r="J9" s="1323"/>
      <c r="K9" s="1323"/>
      <c r="L9" s="1323"/>
    </row>
    <row r="10" spans="1:12" ht="42" customHeight="1">
      <c r="A10" s="1315"/>
      <c r="B10" s="1318"/>
      <c r="C10" s="1325"/>
      <c r="D10" s="807" t="s">
        <v>1026</v>
      </c>
      <c r="E10" s="807" t="s">
        <v>1027</v>
      </c>
      <c r="F10" s="807" t="s">
        <v>1028</v>
      </c>
      <c r="G10" s="807" t="s">
        <v>442</v>
      </c>
      <c r="H10" s="808" t="s">
        <v>1029</v>
      </c>
      <c r="I10" s="808" t="s">
        <v>1030</v>
      </c>
      <c r="J10" s="1324"/>
      <c r="K10" s="1324"/>
      <c r="L10" s="1324"/>
    </row>
    <row r="11" spans="1:12" ht="13.5" thickBot="1">
      <c r="A11" s="806" t="s">
        <v>426</v>
      </c>
      <c r="B11" s="809" t="s">
        <v>427</v>
      </c>
      <c r="C11" s="810" t="s">
        <v>428</v>
      </c>
      <c r="D11" s="811" t="s">
        <v>429</v>
      </c>
      <c r="E11" s="812" t="s">
        <v>430</v>
      </c>
      <c r="F11" s="812" t="s">
        <v>431</v>
      </c>
      <c r="G11" s="812" t="s">
        <v>433</v>
      </c>
      <c r="H11" s="812" t="s">
        <v>434</v>
      </c>
      <c r="I11" s="812" t="s">
        <v>385</v>
      </c>
      <c r="J11" s="813" t="s">
        <v>386</v>
      </c>
      <c r="K11" s="813" t="s">
        <v>386</v>
      </c>
      <c r="L11" s="814" t="s">
        <v>387</v>
      </c>
    </row>
    <row r="12" spans="1:12" ht="19.5" thickBot="1" thickTop="1">
      <c r="A12" s="815">
        <v>1</v>
      </c>
      <c r="B12" s="1287" t="s">
        <v>86</v>
      </c>
      <c r="C12" s="1288"/>
      <c r="D12" s="1288"/>
      <c r="E12" s="1288"/>
      <c r="F12" s="1288"/>
      <c r="G12" s="1288"/>
      <c r="H12" s="1288"/>
      <c r="I12" s="1288"/>
      <c r="J12" s="1288"/>
      <c r="K12" s="1288"/>
      <c r="L12" s="1289"/>
    </row>
    <row r="13" spans="1:12" ht="14.25" thickBot="1" thickTop="1">
      <c r="A13" s="816"/>
      <c r="B13" s="1293"/>
      <c r="C13" s="1294"/>
      <c r="D13" s="1294"/>
      <c r="E13" s="1294"/>
      <c r="F13" s="1294"/>
      <c r="G13" s="1294"/>
      <c r="H13" s="1294"/>
      <c r="I13" s="1294"/>
      <c r="J13" s="1294"/>
      <c r="K13" s="1294"/>
      <c r="L13" s="1295"/>
    </row>
    <row r="14" spans="1:12" ht="30" customHeight="1" thickBot="1" thickTop="1">
      <c r="A14" s="817">
        <v>2</v>
      </c>
      <c r="B14" s="1306" t="s">
        <v>1031</v>
      </c>
      <c r="C14" s="1307"/>
      <c r="D14" s="1307"/>
      <c r="E14" s="1307"/>
      <c r="F14" s="1307"/>
      <c r="G14" s="1307"/>
      <c r="H14" s="1307"/>
      <c r="I14" s="1307"/>
      <c r="J14" s="1308"/>
      <c r="K14" s="1308"/>
      <c r="L14" s="818"/>
    </row>
    <row r="15" spans="1:12" ht="12.75">
      <c r="A15" s="819">
        <v>3</v>
      </c>
      <c r="B15" s="820" t="s">
        <v>1032</v>
      </c>
      <c r="C15" s="821">
        <v>0</v>
      </c>
      <c r="D15" s="822">
        <v>0</v>
      </c>
      <c r="E15" s="822">
        <v>0</v>
      </c>
      <c r="F15" s="822">
        <v>0</v>
      </c>
      <c r="G15" s="822">
        <v>0</v>
      </c>
      <c r="H15" s="822">
        <v>0</v>
      </c>
      <c r="I15" s="822">
        <v>0</v>
      </c>
      <c r="J15" s="823">
        <v>0</v>
      </c>
      <c r="K15" s="823">
        <v>0</v>
      </c>
      <c r="L15" s="1279"/>
    </row>
    <row r="16" spans="1:12" ht="13.5" thickBot="1">
      <c r="A16" s="824">
        <v>4</v>
      </c>
      <c r="B16" s="825" t="s">
        <v>1033</v>
      </c>
      <c r="C16" s="826">
        <f>SUM(D16:I16)</f>
        <v>250634800</v>
      </c>
      <c r="D16" s="827">
        <v>0</v>
      </c>
      <c r="E16" s="828">
        <v>59135000</v>
      </c>
      <c r="F16" s="828">
        <v>52411853</v>
      </c>
      <c r="G16" s="828">
        <v>46362649</v>
      </c>
      <c r="H16" s="828">
        <v>46362649</v>
      </c>
      <c r="I16" s="828">
        <v>46362649</v>
      </c>
      <c r="J16" s="829">
        <v>6685989</v>
      </c>
      <c r="K16" s="829">
        <f>40118910+13881090+6000000</f>
        <v>60000000</v>
      </c>
      <c r="L16" s="1280"/>
    </row>
    <row r="17" spans="1:12" ht="13.5" thickBot="1">
      <c r="A17" s="830">
        <v>5</v>
      </c>
      <c r="B17" s="831" t="s">
        <v>1034</v>
      </c>
      <c r="C17" s="832">
        <f aca="true" t="shared" si="0" ref="C17:K17">SUM(C15:C16)</f>
        <v>250634800</v>
      </c>
      <c r="D17" s="833">
        <f t="shared" si="0"/>
        <v>0</v>
      </c>
      <c r="E17" s="833">
        <f t="shared" si="0"/>
        <v>59135000</v>
      </c>
      <c r="F17" s="833">
        <f t="shared" si="0"/>
        <v>52411853</v>
      </c>
      <c r="G17" s="833">
        <f t="shared" si="0"/>
        <v>46362649</v>
      </c>
      <c r="H17" s="833">
        <f t="shared" si="0"/>
        <v>46362649</v>
      </c>
      <c r="I17" s="833">
        <f t="shared" si="0"/>
        <v>46362649</v>
      </c>
      <c r="J17" s="834">
        <f>SUM(J15:J16)</f>
        <v>6685989</v>
      </c>
      <c r="K17" s="834">
        <f t="shared" si="0"/>
        <v>60000000</v>
      </c>
      <c r="L17" s="1281"/>
    </row>
    <row r="18" spans="1:12" ht="13.5" thickBot="1">
      <c r="A18" s="830"/>
      <c r="B18" s="1282"/>
      <c r="C18" s="1272"/>
      <c r="D18" s="1272"/>
      <c r="E18" s="1272"/>
      <c r="F18" s="1272"/>
      <c r="G18" s="1272"/>
      <c r="H18" s="1272"/>
      <c r="I18" s="1272"/>
      <c r="J18" s="1272"/>
      <c r="K18" s="1283"/>
      <c r="L18" s="835"/>
    </row>
    <row r="19" spans="1:12" ht="12.75">
      <c r="A19" s="836">
        <v>6</v>
      </c>
      <c r="B19" s="837" t="s">
        <v>1035</v>
      </c>
      <c r="C19" s="838">
        <f>SUM(D19:I19)</f>
        <v>146735476</v>
      </c>
      <c r="D19" s="839">
        <v>2681560</v>
      </c>
      <c r="E19" s="839">
        <v>20997974</v>
      </c>
      <c r="F19" s="839">
        <v>41039699</v>
      </c>
      <c r="G19" s="839">
        <v>27338748</v>
      </c>
      <c r="H19" s="839">
        <v>27338748</v>
      </c>
      <c r="I19" s="839">
        <v>27338747</v>
      </c>
      <c r="J19" s="1279"/>
      <c r="K19" s="1279"/>
      <c r="L19" s="823">
        <v>29550455</v>
      </c>
    </row>
    <row r="20" spans="1:12" ht="12.75">
      <c r="A20" s="840">
        <v>7</v>
      </c>
      <c r="B20" s="841" t="s">
        <v>1036</v>
      </c>
      <c r="C20" s="842">
        <f>SUM(D20:I20)</f>
        <v>88344324</v>
      </c>
      <c r="D20" s="839">
        <v>0</v>
      </c>
      <c r="E20" s="839">
        <v>14084323</v>
      </c>
      <c r="F20" s="839">
        <v>17188297</v>
      </c>
      <c r="G20" s="839">
        <v>19023901</v>
      </c>
      <c r="H20" s="839">
        <v>19023901</v>
      </c>
      <c r="I20" s="839">
        <v>19023902</v>
      </c>
      <c r="J20" s="1280"/>
      <c r="K20" s="1280"/>
      <c r="L20" s="829">
        <f>17254444+13881090</f>
        <v>31135534</v>
      </c>
    </row>
    <row r="21" spans="1:12" ht="13.5" thickBot="1">
      <c r="A21" s="840">
        <v>8</v>
      </c>
      <c r="B21" s="843" t="s">
        <v>1037</v>
      </c>
      <c r="C21" s="844">
        <f>SUM(D21:I21)</f>
        <v>15555000</v>
      </c>
      <c r="D21" s="845">
        <v>0</v>
      </c>
      <c r="E21" s="845">
        <f>2893619+1250000</f>
        <v>4143619</v>
      </c>
      <c r="F21" s="845">
        <v>11411381</v>
      </c>
      <c r="G21" s="845">
        <v>0</v>
      </c>
      <c r="H21" s="845">
        <v>0</v>
      </c>
      <c r="I21" s="845">
        <v>0</v>
      </c>
      <c r="J21" s="1280"/>
      <c r="K21" s="1280"/>
      <c r="L21" s="846">
        <f>6000000</f>
        <v>6000000</v>
      </c>
    </row>
    <row r="22" spans="1:12" ht="13.5" thickBot="1">
      <c r="A22" s="847">
        <v>9</v>
      </c>
      <c r="B22" s="848" t="s">
        <v>370</v>
      </c>
      <c r="C22" s="849">
        <f aca="true" t="shared" si="1" ref="C22:I22">SUM(C19:C21)</f>
        <v>250634800</v>
      </c>
      <c r="D22" s="850">
        <f t="shared" si="1"/>
        <v>2681560</v>
      </c>
      <c r="E22" s="850">
        <f t="shared" si="1"/>
        <v>39225916</v>
      </c>
      <c r="F22" s="850">
        <f t="shared" si="1"/>
        <v>69639377</v>
      </c>
      <c r="G22" s="850">
        <f t="shared" si="1"/>
        <v>46362649</v>
      </c>
      <c r="H22" s="850">
        <f t="shared" si="1"/>
        <v>46362649</v>
      </c>
      <c r="I22" s="850">
        <f t="shared" si="1"/>
        <v>46362649</v>
      </c>
      <c r="J22" s="1284"/>
      <c r="K22" s="1284"/>
      <c r="L22" s="851">
        <f>SUM(L19:L21)</f>
        <v>66685989</v>
      </c>
    </row>
    <row r="23" spans="1:12" ht="14.25" thickBot="1" thickTop="1">
      <c r="A23" s="852"/>
      <c r="B23" s="1293"/>
      <c r="C23" s="1294"/>
      <c r="D23" s="1294"/>
      <c r="E23" s="1294"/>
      <c r="F23" s="1294"/>
      <c r="G23" s="1294"/>
      <c r="H23" s="1294"/>
      <c r="I23" s="1294"/>
      <c r="J23" s="1294"/>
      <c r="K23" s="1294"/>
      <c r="L23" s="1295"/>
    </row>
    <row r="24" spans="1:12" ht="16.5" thickBot="1" thickTop="1">
      <c r="A24" s="817">
        <v>10</v>
      </c>
      <c r="B24" s="1290" t="s">
        <v>1038</v>
      </c>
      <c r="C24" s="1291"/>
      <c r="D24" s="1291"/>
      <c r="E24" s="1291"/>
      <c r="F24" s="1291"/>
      <c r="G24" s="1291"/>
      <c r="H24" s="1291"/>
      <c r="I24" s="1291"/>
      <c r="J24" s="1292"/>
      <c r="K24" s="1292"/>
      <c r="L24" s="818"/>
    </row>
    <row r="25" spans="1:12" ht="12.75">
      <c r="A25" s="819">
        <v>11</v>
      </c>
      <c r="B25" s="853" t="s">
        <v>1032</v>
      </c>
      <c r="C25" s="842">
        <f>SUM(D25:F25)</f>
        <v>22542700</v>
      </c>
      <c r="D25" s="854">
        <v>0</v>
      </c>
      <c r="E25" s="854">
        <v>151044</v>
      </c>
      <c r="F25" s="854">
        <v>22391656</v>
      </c>
      <c r="G25" s="855"/>
      <c r="H25" s="855"/>
      <c r="I25" s="855"/>
      <c r="J25" s="823"/>
      <c r="K25" s="823">
        <v>0</v>
      </c>
      <c r="L25" s="1279"/>
    </row>
    <row r="26" spans="1:12" ht="13.5" thickBot="1">
      <c r="A26" s="830">
        <v>12</v>
      </c>
      <c r="B26" s="825" t="s">
        <v>1033</v>
      </c>
      <c r="C26" s="842">
        <f>SUM(D26:F26)</f>
        <v>242560000</v>
      </c>
      <c r="D26" s="827">
        <v>242560000</v>
      </c>
      <c r="E26" s="828">
        <v>0</v>
      </c>
      <c r="F26" s="828">
        <v>0</v>
      </c>
      <c r="G26" s="856"/>
      <c r="H26" s="856"/>
      <c r="I26" s="857"/>
      <c r="J26" s="829">
        <v>45188110</v>
      </c>
      <c r="K26" s="829"/>
      <c r="L26" s="1280"/>
    </row>
    <row r="27" spans="1:12" ht="13.5" thickBot="1">
      <c r="A27" s="830">
        <v>13</v>
      </c>
      <c r="B27" s="831" t="s">
        <v>1034</v>
      </c>
      <c r="C27" s="832">
        <f aca="true" t="shared" si="2" ref="C27:K27">SUM(C25:C26)</f>
        <v>265102700</v>
      </c>
      <c r="D27" s="833">
        <f t="shared" si="2"/>
        <v>242560000</v>
      </c>
      <c r="E27" s="833">
        <f t="shared" si="2"/>
        <v>151044</v>
      </c>
      <c r="F27" s="833">
        <f t="shared" si="2"/>
        <v>22391656</v>
      </c>
      <c r="G27" s="858"/>
      <c r="H27" s="858"/>
      <c r="I27" s="858"/>
      <c r="J27" s="834">
        <f>SUM(J25:J26)</f>
        <v>45188110</v>
      </c>
      <c r="K27" s="834">
        <f t="shared" si="2"/>
        <v>0</v>
      </c>
      <c r="L27" s="1281"/>
    </row>
    <row r="28" spans="1:12" ht="13.5" thickBot="1">
      <c r="A28" s="830"/>
      <c r="B28" s="1282"/>
      <c r="C28" s="1272"/>
      <c r="D28" s="1272"/>
      <c r="E28" s="1272"/>
      <c r="F28" s="1272"/>
      <c r="G28" s="1272"/>
      <c r="H28" s="1272"/>
      <c r="I28" s="1272"/>
      <c r="J28" s="1272"/>
      <c r="K28" s="1283"/>
      <c r="L28" s="835"/>
    </row>
    <row r="29" spans="1:12" ht="13.5" thickBot="1">
      <c r="A29" s="840">
        <v>14</v>
      </c>
      <c r="B29" s="837" t="s">
        <v>1036</v>
      </c>
      <c r="C29" s="859">
        <f>SUM(D29:F29)</f>
        <v>242560000</v>
      </c>
      <c r="D29" s="860">
        <v>392025</v>
      </c>
      <c r="E29" s="860">
        <v>12124400</v>
      </c>
      <c r="F29" s="860">
        <v>230043575</v>
      </c>
      <c r="G29" s="855"/>
      <c r="H29" s="855"/>
      <c r="I29" s="855"/>
      <c r="J29" s="1279"/>
      <c r="K29" s="1279"/>
      <c r="L29" s="823">
        <v>2533963</v>
      </c>
    </row>
    <row r="30" spans="1:12" ht="13.5" thickBot="1">
      <c r="A30" s="840">
        <v>15</v>
      </c>
      <c r="B30" s="837" t="s">
        <v>1037</v>
      </c>
      <c r="C30" s="844">
        <f>SUM(D30:F30)</f>
        <v>22542700</v>
      </c>
      <c r="D30" s="861">
        <v>0</v>
      </c>
      <c r="E30" s="861">
        <v>151044</v>
      </c>
      <c r="F30" s="861">
        <v>22391656</v>
      </c>
      <c r="G30" s="856"/>
      <c r="H30" s="856"/>
      <c r="I30" s="857"/>
      <c r="J30" s="1280"/>
      <c r="K30" s="1280"/>
      <c r="L30" s="829">
        <f>42654147-13005804</f>
        <v>29648343</v>
      </c>
    </row>
    <row r="31" spans="1:12" ht="13.5" thickBot="1">
      <c r="A31" s="840"/>
      <c r="B31" s="865" t="s">
        <v>1070</v>
      </c>
      <c r="C31" s="838"/>
      <c r="D31" s="882"/>
      <c r="E31" s="874"/>
      <c r="F31" s="874"/>
      <c r="G31" s="950"/>
      <c r="H31" s="950"/>
      <c r="I31" s="951"/>
      <c r="J31" s="1280"/>
      <c r="K31" s="1280"/>
      <c r="L31" s="876">
        <v>13005804</v>
      </c>
    </row>
    <row r="32" spans="1:12" ht="13.5" thickBot="1">
      <c r="A32" s="847">
        <v>16</v>
      </c>
      <c r="B32" s="848" t="s">
        <v>370</v>
      </c>
      <c r="C32" s="849">
        <f>SUM(C29:C31)</f>
        <v>265102700</v>
      </c>
      <c r="D32" s="850">
        <f>SUM(D29:D31)</f>
        <v>392025</v>
      </c>
      <c r="E32" s="850">
        <f>SUM(E29:E31)</f>
        <v>12275444</v>
      </c>
      <c r="F32" s="850">
        <f>SUM(F29:F31)</f>
        <v>252435231</v>
      </c>
      <c r="G32" s="858"/>
      <c r="H32" s="858"/>
      <c r="I32" s="858"/>
      <c r="J32" s="1284"/>
      <c r="K32" s="1284"/>
      <c r="L32" s="851">
        <f>SUM(L29:L31)</f>
        <v>45188110</v>
      </c>
    </row>
    <row r="33" spans="1:12" ht="14.25" thickBot="1" thickTop="1">
      <c r="A33" s="852"/>
      <c r="B33" s="1293"/>
      <c r="C33" s="1294"/>
      <c r="D33" s="1294"/>
      <c r="E33" s="1294"/>
      <c r="F33" s="1294"/>
      <c r="G33" s="1294"/>
      <c r="H33" s="1294"/>
      <c r="I33" s="1294"/>
      <c r="J33" s="1294"/>
      <c r="K33" s="1294"/>
      <c r="L33" s="1295"/>
    </row>
    <row r="34" spans="1:12" ht="16.5" thickBot="1" thickTop="1">
      <c r="A34" s="817">
        <v>24</v>
      </c>
      <c r="B34" s="1306" t="s">
        <v>1053</v>
      </c>
      <c r="C34" s="1307"/>
      <c r="D34" s="1307"/>
      <c r="E34" s="1307"/>
      <c r="F34" s="1307"/>
      <c r="G34" s="1307"/>
      <c r="H34" s="1307"/>
      <c r="I34" s="1307"/>
      <c r="J34" s="1308"/>
      <c r="K34" s="1308"/>
      <c r="L34" s="818"/>
    </row>
    <row r="35" spans="1:12" ht="12.75">
      <c r="A35" s="819">
        <v>25</v>
      </c>
      <c r="B35" s="820" t="s">
        <v>1032</v>
      </c>
      <c r="C35" s="821">
        <v>0</v>
      </c>
      <c r="D35" s="867"/>
      <c r="E35" s="822">
        <v>0</v>
      </c>
      <c r="F35" s="822">
        <v>0</v>
      </c>
      <c r="G35" s="822">
        <v>0</v>
      </c>
      <c r="H35" s="867"/>
      <c r="I35" s="867"/>
      <c r="J35" s="823">
        <v>0</v>
      </c>
      <c r="K35" s="823">
        <v>0</v>
      </c>
      <c r="L35" s="1279"/>
    </row>
    <row r="36" spans="1:12" ht="12.75">
      <c r="A36" s="819"/>
      <c r="B36" s="862" t="s">
        <v>1069</v>
      </c>
      <c r="C36" s="948"/>
      <c r="D36" s="949"/>
      <c r="E36" s="928"/>
      <c r="F36" s="928"/>
      <c r="G36" s="928"/>
      <c r="H36" s="949"/>
      <c r="I36" s="949"/>
      <c r="J36" s="876"/>
      <c r="K36" s="876">
        <v>2688779</v>
      </c>
      <c r="L36" s="1280"/>
    </row>
    <row r="37" spans="1:12" ht="13.5" thickBot="1">
      <c r="A37" s="824">
        <v>26</v>
      </c>
      <c r="B37" s="825" t="s">
        <v>1033</v>
      </c>
      <c r="C37" s="826">
        <v>202321812</v>
      </c>
      <c r="D37" s="868"/>
      <c r="E37" s="828">
        <f>104483115+10976885</f>
        <v>115460000</v>
      </c>
      <c r="F37" s="828">
        <v>75330433</v>
      </c>
      <c r="G37" s="828">
        <v>11531379</v>
      </c>
      <c r="H37" s="868"/>
      <c r="I37" s="868"/>
      <c r="J37" s="829">
        <v>54734977</v>
      </c>
      <c r="K37" s="829">
        <f>57968707</f>
        <v>57968707</v>
      </c>
      <c r="L37" s="1280"/>
    </row>
    <row r="38" spans="1:12" ht="13.5" thickBot="1">
      <c r="A38" s="830">
        <v>27</v>
      </c>
      <c r="B38" s="831" t="s">
        <v>1034</v>
      </c>
      <c r="C38" s="832">
        <f aca="true" t="shared" si="3" ref="C38:K38">SUM(C35:C37)</f>
        <v>202321812</v>
      </c>
      <c r="D38" s="869"/>
      <c r="E38" s="833">
        <f t="shared" si="3"/>
        <v>115460000</v>
      </c>
      <c r="F38" s="833">
        <f t="shared" si="3"/>
        <v>75330433</v>
      </c>
      <c r="G38" s="833">
        <f t="shared" si="3"/>
        <v>11531379</v>
      </c>
      <c r="H38" s="869"/>
      <c r="I38" s="869"/>
      <c r="J38" s="834">
        <f>SUM(J35:J37)</f>
        <v>54734977</v>
      </c>
      <c r="K38" s="834">
        <f t="shared" si="3"/>
        <v>60657486</v>
      </c>
      <c r="L38" s="1281"/>
    </row>
    <row r="39" spans="1:12" ht="13.5" thickBot="1">
      <c r="A39" s="830"/>
      <c r="B39" s="1282"/>
      <c r="C39" s="1272"/>
      <c r="D39" s="1272"/>
      <c r="E39" s="1272"/>
      <c r="F39" s="1272"/>
      <c r="G39" s="1272"/>
      <c r="H39" s="1272"/>
      <c r="I39" s="1272"/>
      <c r="J39" s="1272"/>
      <c r="K39" s="1283"/>
      <c r="L39" s="835"/>
    </row>
    <row r="40" spans="1:12" ht="13.5" thickBot="1">
      <c r="A40" s="836">
        <v>28</v>
      </c>
      <c r="B40" s="837" t="s">
        <v>1035</v>
      </c>
      <c r="C40" s="1309">
        <v>89908666</v>
      </c>
      <c r="D40" s="870"/>
      <c r="E40" s="860">
        <f>8545743+1</f>
        <v>8545744</v>
      </c>
      <c r="F40" s="854">
        <v>63219192</v>
      </c>
      <c r="G40" s="854">
        <v>9109530</v>
      </c>
      <c r="H40" s="870"/>
      <c r="I40" s="870"/>
      <c r="J40" s="1279"/>
      <c r="K40" s="1279"/>
      <c r="L40" s="823">
        <v>22115840</v>
      </c>
    </row>
    <row r="41" spans="1:12" ht="26.25" thickBot="1">
      <c r="A41" s="871">
        <v>29</v>
      </c>
      <c r="B41" s="872" t="s">
        <v>1040</v>
      </c>
      <c r="C41" s="1310"/>
      <c r="D41" s="873"/>
      <c r="E41" s="874">
        <v>860400</v>
      </c>
      <c r="F41" s="875">
        <v>6883200</v>
      </c>
      <c r="G41" s="875">
        <v>1290600</v>
      </c>
      <c r="H41" s="873"/>
      <c r="I41" s="873"/>
      <c r="J41" s="1280"/>
      <c r="K41" s="1280"/>
      <c r="L41" s="876">
        <v>4230000</v>
      </c>
    </row>
    <row r="42" spans="1:12" ht="25.5">
      <c r="A42" s="871">
        <v>30</v>
      </c>
      <c r="B42" s="872" t="s">
        <v>1041</v>
      </c>
      <c r="C42" s="877"/>
      <c r="D42" s="873"/>
      <c r="E42" s="874"/>
      <c r="F42" s="875"/>
      <c r="G42" s="875"/>
      <c r="H42" s="873"/>
      <c r="I42" s="873"/>
      <c r="J42" s="1280"/>
      <c r="K42" s="1280"/>
      <c r="L42" s="876">
        <v>2881247</v>
      </c>
    </row>
    <row r="43" spans="1:12" ht="12.75">
      <c r="A43" s="840">
        <v>31</v>
      </c>
      <c r="B43" s="841" t="s">
        <v>1036</v>
      </c>
      <c r="C43" s="878">
        <v>88083888</v>
      </c>
      <c r="D43" s="879"/>
      <c r="E43" s="828">
        <v>4803780</v>
      </c>
      <c r="F43" s="827">
        <v>82148859</v>
      </c>
      <c r="G43" s="827">
        <v>1131249</v>
      </c>
      <c r="H43" s="879"/>
      <c r="I43" s="879"/>
      <c r="J43" s="1280"/>
      <c r="K43" s="1280"/>
      <c r="L43" s="829">
        <f>22523810+60657486</f>
        <v>83181296</v>
      </c>
    </row>
    <row r="44" spans="1:12" ht="12.75">
      <c r="A44" s="840">
        <v>32</v>
      </c>
      <c r="B44" s="880" t="s">
        <v>1037</v>
      </c>
      <c r="C44" s="881">
        <v>17800696</v>
      </c>
      <c r="D44" s="882"/>
      <c r="E44" s="828">
        <v>13003105</v>
      </c>
      <c r="F44" s="827">
        <v>4797591</v>
      </c>
      <c r="G44" s="827">
        <v>0</v>
      </c>
      <c r="H44" s="882"/>
      <c r="I44" s="882"/>
      <c r="J44" s="1280"/>
      <c r="K44" s="1280"/>
      <c r="L44" s="829">
        <v>2460790</v>
      </c>
    </row>
    <row r="45" spans="1:12" ht="13.5" thickBot="1">
      <c r="A45" s="840">
        <v>33</v>
      </c>
      <c r="B45" s="883" t="s">
        <v>1042</v>
      </c>
      <c r="C45" s="878">
        <v>6528562</v>
      </c>
      <c r="D45" s="884"/>
      <c r="E45" s="885"/>
      <c r="F45" s="886">
        <v>6528562</v>
      </c>
      <c r="G45" s="886">
        <v>0</v>
      </c>
      <c r="H45" s="884"/>
      <c r="I45" s="884"/>
      <c r="J45" s="1280"/>
      <c r="K45" s="1280"/>
      <c r="L45" s="887">
        <v>523290</v>
      </c>
    </row>
    <row r="46" spans="1:12" ht="13.5" thickBot="1">
      <c r="A46" s="847">
        <v>34</v>
      </c>
      <c r="B46" s="848" t="s">
        <v>370</v>
      </c>
      <c r="C46" s="849">
        <f>SUM(C40:C45)</f>
        <v>202321812</v>
      </c>
      <c r="D46" s="866"/>
      <c r="E46" s="850">
        <f>SUM(E40:E45)</f>
        <v>27213029</v>
      </c>
      <c r="F46" s="850">
        <f>SUM(F40:F45)</f>
        <v>163577404</v>
      </c>
      <c r="G46" s="850">
        <f>SUM(G40:G45)</f>
        <v>11531379</v>
      </c>
      <c r="H46" s="866"/>
      <c r="I46" s="866"/>
      <c r="J46" s="1284"/>
      <c r="K46" s="1284"/>
      <c r="L46" s="851">
        <f>SUM(L40:L45)</f>
        <v>115392463</v>
      </c>
    </row>
    <row r="47" spans="1:12" ht="14.25" thickBot="1" thickTop="1">
      <c r="A47" s="816"/>
      <c r="B47" s="1293"/>
      <c r="C47" s="1294"/>
      <c r="D47" s="1294"/>
      <c r="E47" s="1294"/>
      <c r="F47" s="1294"/>
      <c r="G47" s="1294"/>
      <c r="H47" s="1294"/>
      <c r="I47" s="1294"/>
      <c r="J47" s="1294"/>
      <c r="K47" s="1294"/>
      <c r="L47" s="1295"/>
    </row>
    <row r="48" spans="1:12" ht="16.5" thickBot="1" thickTop="1">
      <c r="A48" s="817">
        <v>35</v>
      </c>
      <c r="B48" s="1306" t="s">
        <v>1054</v>
      </c>
      <c r="C48" s="1307"/>
      <c r="D48" s="1307"/>
      <c r="E48" s="1307"/>
      <c r="F48" s="1307"/>
      <c r="G48" s="1307"/>
      <c r="H48" s="1307"/>
      <c r="I48" s="1307"/>
      <c r="J48" s="1308"/>
      <c r="K48" s="1308"/>
      <c r="L48" s="818"/>
    </row>
    <row r="49" spans="1:12" ht="12.75">
      <c r="A49" s="819">
        <v>36</v>
      </c>
      <c r="B49" s="820" t="s">
        <v>1032</v>
      </c>
      <c r="C49" s="821">
        <v>0</v>
      </c>
      <c r="D49" s="867"/>
      <c r="E49" s="822">
        <v>0</v>
      </c>
      <c r="F49" s="822">
        <v>0</v>
      </c>
      <c r="G49" s="822">
        <v>0</v>
      </c>
      <c r="H49" s="822"/>
      <c r="I49" s="867"/>
      <c r="J49" s="823">
        <v>0</v>
      </c>
      <c r="K49" s="823">
        <v>0</v>
      </c>
      <c r="L49" s="1279"/>
    </row>
    <row r="50" spans="1:12" ht="13.5" thickBot="1">
      <c r="A50" s="824">
        <v>37</v>
      </c>
      <c r="B50" s="825" t="s">
        <v>1033</v>
      </c>
      <c r="C50" s="826">
        <v>62107135</v>
      </c>
      <c r="D50" s="868"/>
      <c r="E50" s="828">
        <v>32379432</v>
      </c>
      <c r="F50" s="828">
        <v>8244379</v>
      </c>
      <c r="G50" s="828">
        <v>20495112</v>
      </c>
      <c r="H50" s="828">
        <v>988212</v>
      </c>
      <c r="I50" s="868"/>
      <c r="J50" s="829">
        <v>12082950</v>
      </c>
      <c r="K50" s="829">
        <f>5788759+23938936</f>
        <v>29727695</v>
      </c>
      <c r="L50" s="1280"/>
    </row>
    <row r="51" spans="1:12" ht="13.5" thickBot="1">
      <c r="A51" s="830">
        <v>38</v>
      </c>
      <c r="B51" s="831" t="s">
        <v>1034</v>
      </c>
      <c r="C51" s="832">
        <f>SUM(C49:C50)</f>
        <v>62107135</v>
      </c>
      <c r="D51" s="869"/>
      <c r="E51" s="833">
        <f>SUM(E49:E50)</f>
        <v>32379432</v>
      </c>
      <c r="F51" s="833">
        <f>SUM(F49:F50)</f>
        <v>8244379</v>
      </c>
      <c r="G51" s="833">
        <f>SUM(G49:G50)</f>
        <v>20495112</v>
      </c>
      <c r="H51" s="833">
        <f>SUM(H49:H50)</f>
        <v>988212</v>
      </c>
      <c r="I51" s="869"/>
      <c r="J51" s="834">
        <f>SUM(J49:J50)</f>
        <v>12082950</v>
      </c>
      <c r="K51" s="834">
        <f>SUM(K49:K50)</f>
        <v>29727695</v>
      </c>
      <c r="L51" s="1281"/>
    </row>
    <row r="52" spans="1:12" ht="13.5" thickBot="1">
      <c r="A52" s="830"/>
      <c r="B52" s="1282"/>
      <c r="C52" s="1272"/>
      <c r="D52" s="1272"/>
      <c r="E52" s="1272"/>
      <c r="F52" s="1272"/>
      <c r="G52" s="1272"/>
      <c r="H52" s="1272"/>
      <c r="I52" s="1272"/>
      <c r="J52" s="1272"/>
      <c r="K52" s="1283"/>
      <c r="L52" s="835"/>
    </row>
    <row r="53" spans="1:12" ht="13.5" thickBot="1">
      <c r="A53" s="836">
        <v>39</v>
      </c>
      <c r="B53" s="837" t="s">
        <v>1035</v>
      </c>
      <c r="C53" s="1309">
        <v>30232800</v>
      </c>
      <c r="D53" s="870"/>
      <c r="E53" s="860">
        <v>1493750</v>
      </c>
      <c r="F53" s="854">
        <v>10460450</v>
      </c>
      <c r="G53" s="854">
        <v>6062400</v>
      </c>
      <c r="H53" s="854">
        <v>505200</v>
      </c>
      <c r="I53" s="870"/>
      <c r="J53" s="1279"/>
      <c r="K53" s="1279"/>
      <c r="L53" s="823">
        <f>10059909+5000000+875000</f>
        <v>15934909</v>
      </c>
    </row>
    <row r="54" spans="1:12" ht="25.5">
      <c r="A54" s="871">
        <v>40</v>
      </c>
      <c r="B54" s="872" t="s">
        <v>1041</v>
      </c>
      <c r="C54" s="1310"/>
      <c r="D54" s="873"/>
      <c r="E54" s="874">
        <v>3346000</v>
      </c>
      <c r="F54" s="875">
        <v>4015200</v>
      </c>
      <c r="G54" s="875">
        <v>4015200</v>
      </c>
      <c r="H54" s="875">
        <v>334600</v>
      </c>
      <c r="I54" s="873"/>
      <c r="J54" s="1280"/>
      <c r="K54" s="1280"/>
      <c r="L54" s="876">
        <v>5569500</v>
      </c>
    </row>
    <row r="55" spans="1:12" ht="12.75">
      <c r="A55" s="840">
        <v>41</v>
      </c>
      <c r="B55" s="841" t="s">
        <v>1036</v>
      </c>
      <c r="C55" s="842">
        <v>28874335</v>
      </c>
      <c r="D55" s="879"/>
      <c r="E55" s="828">
        <v>10552557</v>
      </c>
      <c r="F55" s="827">
        <v>8855854</v>
      </c>
      <c r="G55" s="827">
        <v>9417512</v>
      </c>
      <c r="H55" s="827">
        <v>48412</v>
      </c>
      <c r="I55" s="879"/>
      <c r="J55" s="1280"/>
      <c r="K55" s="1280"/>
      <c r="L55" s="829">
        <f>2242300+18063936</f>
        <v>20306236</v>
      </c>
    </row>
    <row r="56" spans="1:12" ht="13.5" thickBot="1">
      <c r="A56" s="840">
        <v>42</v>
      </c>
      <c r="B56" s="880" t="s">
        <v>1043</v>
      </c>
      <c r="C56" s="888">
        <v>3000000</v>
      </c>
      <c r="D56" s="882"/>
      <c r="E56" s="828">
        <v>0</v>
      </c>
      <c r="F56" s="827">
        <v>1900000</v>
      </c>
      <c r="G56" s="827">
        <v>1000000</v>
      </c>
      <c r="H56" s="827">
        <v>100000</v>
      </c>
      <c r="I56" s="882"/>
      <c r="J56" s="1280"/>
      <c r="K56" s="1280"/>
      <c r="L56" s="829"/>
    </row>
    <row r="57" spans="1:12" ht="13.5" thickBot="1">
      <c r="A57" s="847">
        <v>43</v>
      </c>
      <c r="B57" s="848" t="s">
        <v>370</v>
      </c>
      <c r="C57" s="849">
        <f>SUM(C53:C56)</f>
        <v>62107135</v>
      </c>
      <c r="D57" s="866"/>
      <c r="E57" s="850">
        <f>SUM(E53:E56)</f>
        <v>15392307</v>
      </c>
      <c r="F57" s="850">
        <f>SUM(F53:F56)</f>
        <v>25231504</v>
      </c>
      <c r="G57" s="850">
        <f>SUM(G53:G56)</f>
        <v>20495112</v>
      </c>
      <c r="H57" s="850">
        <f>SUM(H53:H56)</f>
        <v>988212</v>
      </c>
      <c r="I57" s="866"/>
      <c r="J57" s="1284"/>
      <c r="K57" s="1284"/>
      <c r="L57" s="851">
        <f>SUM(L53:L56)</f>
        <v>41810645</v>
      </c>
    </row>
    <row r="58" spans="1:12" ht="14.25" thickBot="1" thickTop="1">
      <c r="A58" s="830"/>
      <c r="B58" s="1282"/>
      <c r="C58" s="1272"/>
      <c r="D58" s="1272"/>
      <c r="E58" s="1272"/>
      <c r="F58" s="1272"/>
      <c r="G58" s="1272"/>
      <c r="H58" s="1272"/>
      <c r="I58" s="1272"/>
      <c r="J58" s="1272"/>
      <c r="K58" s="1283"/>
      <c r="L58" s="835"/>
    </row>
    <row r="59" spans="1:12" ht="16.5" thickBot="1" thickTop="1">
      <c r="A59" s="817">
        <v>44</v>
      </c>
      <c r="B59" s="1290" t="s">
        <v>1044</v>
      </c>
      <c r="C59" s="1291"/>
      <c r="D59" s="1291"/>
      <c r="E59" s="1291"/>
      <c r="F59" s="1291"/>
      <c r="G59" s="1291"/>
      <c r="H59" s="1291"/>
      <c r="I59" s="1291"/>
      <c r="J59" s="1292"/>
      <c r="K59" s="1292"/>
      <c r="L59" s="818"/>
    </row>
    <row r="60" spans="1:12" ht="12.75">
      <c r="A60" s="819">
        <v>45</v>
      </c>
      <c r="B60" s="853" t="s">
        <v>1032</v>
      </c>
      <c r="C60" s="838">
        <v>0</v>
      </c>
      <c r="D60" s="882"/>
      <c r="E60" s="860">
        <v>0</v>
      </c>
      <c r="F60" s="854">
        <v>0</v>
      </c>
      <c r="G60" s="854">
        <v>0</v>
      </c>
      <c r="H60" s="855"/>
      <c r="I60" s="855"/>
      <c r="J60" s="823">
        <v>0</v>
      </c>
      <c r="K60" s="823">
        <v>254000</v>
      </c>
      <c r="L60" s="1279"/>
    </row>
    <row r="61" spans="1:12" ht="13.5" thickBot="1">
      <c r="A61" s="830">
        <v>46</v>
      </c>
      <c r="B61" s="825" t="s">
        <v>1033</v>
      </c>
      <c r="C61" s="842">
        <v>196302400</v>
      </c>
      <c r="D61" s="882"/>
      <c r="E61" s="828">
        <v>196302400</v>
      </c>
      <c r="F61" s="828">
        <v>0</v>
      </c>
      <c r="G61" s="828">
        <v>0</v>
      </c>
      <c r="H61" s="856"/>
      <c r="I61" s="857"/>
      <c r="J61" s="829">
        <v>192295450</v>
      </c>
      <c r="K61" s="829"/>
      <c r="L61" s="1280"/>
    </row>
    <row r="62" spans="1:12" ht="13.5" thickBot="1">
      <c r="A62" s="830">
        <v>47</v>
      </c>
      <c r="B62" s="831" t="s">
        <v>1034</v>
      </c>
      <c r="C62" s="832">
        <f>SUM(C60:C61)</f>
        <v>196302400</v>
      </c>
      <c r="D62" s="863"/>
      <c r="E62" s="833">
        <f>SUM(E60:E61)</f>
        <v>196302400</v>
      </c>
      <c r="F62" s="833">
        <f>SUM(F60:F61)</f>
        <v>0</v>
      </c>
      <c r="G62" s="833">
        <f>SUM(G60:G61)</f>
        <v>0</v>
      </c>
      <c r="H62" s="863"/>
      <c r="I62" s="864"/>
      <c r="J62" s="834">
        <f>SUM(J60:J61)</f>
        <v>192295450</v>
      </c>
      <c r="K62" s="834">
        <f>SUM(K60:K61)</f>
        <v>254000</v>
      </c>
      <c r="L62" s="1281"/>
    </row>
    <row r="63" spans="1:12" ht="13.5" thickBot="1">
      <c r="A63" s="830"/>
      <c r="B63" s="1282"/>
      <c r="C63" s="1272"/>
      <c r="D63" s="1272"/>
      <c r="E63" s="1272"/>
      <c r="F63" s="1272"/>
      <c r="G63" s="1272"/>
      <c r="H63" s="1272"/>
      <c r="I63" s="1272"/>
      <c r="J63" s="1272"/>
      <c r="K63" s="1283"/>
      <c r="L63" s="835"/>
    </row>
    <row r="64" spans="1:12" ht="12.75">
      <c r="A64" s="840">
        <v>48</v>
      </c>
      <c r="B64" s="837" t="s">
        <v>1037</v>
      </c>
      <c r="C64" s="838">
        <f>SUM(E64:G64)</f>
        <v>196302400</v>
      </c>
      <c r="D64" s="858"/>
      <c r="E64" s="860">
        <v>0</v>
      </c>
      <c r="F64" s="860">
        <v>96822314</v>
      </c>
      <c r="G64" s="860">
        <v>99480086</v>
      </c>
      <c r="H64" s="858"/>
      <c r="I64" s="889"/>
      <c r="J64" s="1279"/>
      <c r="K64" s="1279"/>
      <c r="L64" s="823">
        <v>187978206</v>
      </c>
    </row>
    <row r="65" spans="1:12" ht="12.75">
      <c r="A65" s="840">
        <v>49</v>
      </c>
      <c r="B65" s="865" t="s">
        <v>1039</v>
      </c>
      <c r="C65" s="842">
        <v>0</v>
      </c>
      <c r="D65" s="890"/>
      <c r="E65" s="861">
        <v>0</v>
      </c>
      <c r="F65" s="861">
        <v>0</v>
      </c>
      <c r="G65" s="861">
        <v>0</v>
      </c>
      <c r="H65" s="891"/>
      <c r="I65" s="892"/>
      <c r="J65" s="1280"/>
      <c r="K65" s="1280"/>
      <c r="L65" s="829">
        <v>0</v>
      </c>
    </row>
    <row r="66" spans="1:12" ht="12.75">
      <c r="A66" s="840">
        <v>50</v>
      </c>
      <c r="B66" s="841" t="s">
        <v>1036</v>
      </c>
      <c r="C66" s="842"/>
      <c r="D66" s="890"/>
      <c r="E66" s="861"/>
      <c r="F66" s="861"/>
      <c r="G66" s="861"/>
      <c r="H66" s="891"/>
      <c r="I66" s="892"/>
      <c r="J66" s="1280"/>
      <c r="K66" s="1280"/>
      <c r="L66" s="829">
        <v>4317244</v>
      </c>
    </row>
    <row r="67" spans="1:12" ht="13.5" thickBot="1">
      <c r="A67" s="840">
        <v>51</v>
      </c>
      <c r="B67" s="841" t="s">
        <v>1045</v>
      </c>
      <c r="C67" s="844"/>
      <c r="D67" s="893"/>
      <c r="E67" s="894"/>
      <c r="F67" s="894"/>
      <c r="G67" s="894"/>
      <c r="H67" s="856"/>
      <c r="I67" s="857"/>
      <c r="J67" s="1280"/>
      <c r="K67" s="1280"/>
      <c r="L67" s="887">
        <v>254000</v>
      </c>
    </row>
    <row r="68" spans="1:12" ht="13.5" thickBot="1">
      <c r="A68" s="847">
        <v>52</v>
      </c>
      <c r="B68" s="848" t="s">
        <v>370</v>
      </c>
      <c r="C68" s="849">
        <f>SUM(C64:C65)</f>
        <v>196302400</v>
      </c>
      <c r="D68" s="866"/>
      <c r="E68" s="850">
        <f>SUM(E64:E65)</f>
        <v>0</v>
      </c>
      <c r="F68" s="850">
        <f>SUM(F64:F65)</f>
        <v>96822314</v>
      </c>
      <c r="G68" s="850">
        <f>SUM(G64:G65)</f>
        <v>99480086</v>
      </c>
      <c r="H68" s="866"/>
      <c r="I68" s="866"/>
      <c r="J68" s="1284"/>
      <c r="K68" s="1284"/>
      <c r="L68" s="851">
        <f>SUM(L64:L67)</f>
        <v>192549450</v>
      </c>
    </row>
    <row r="69" spans="1:12" ht="14.25" thickBot="1" thickTop="1">
      <c r="A69" s="830"/>
      <c r="B69" s="1282"/>
      <c r="C69" s="1272"/>
      <c r="D69" s="1272"/>
      <c r="E69" s="1272"/>
      <c r="F69" s="1272"/>
      <c r="G69" s="1272"/>
      <c r="H69" s="1272"/>
      <c r="I69" s="1272"/>
      <c r="J69" s="1272"/>
      <c r="K69" s="1283"/>
      <c r="L69" s="835"/>
    </row>
    <row r="70" spans="1:12" ht="16.5" thickBot="1" thickTop="1">
      <c r="A70" s="817">
        <v>53</v>
      </c>
      <c r="B70" s="1290" t="s">
        <v>1046</v>
      </c>
      <c r="C70" s="1291"/>
      <c r="D70" s="1291"/>
      <c r="E70" s="1291"/>
      <c r="F70" s="1291"/>
      <c r="G70" s="1291"/>
      <c r="H70" s="1291"/>
      <c r="I70" s="1291"/>
      <c r="J70" s="1292"/>
      <c r="K70" s="1292"/>
      <c r="L70" s="818"/>
    </row>
    <row r="71" spans="1:12" ht="12.75">
      <c r="A71" s="819">
        <v>54</v>
      </c>
      <c r="B71" s="853" t="s">
        <v>1032</v>
      </c>
      <c r="C71" s="838">
        <v>0</v>
      </c>
      <c r="D71" s="882"/>
      <c r="E71" s="860">
        <v>0</v>
      </c>
      <c r="F71" s="854">
        <v>0</v>
      </c>
      <c r="G71" s="855"/>
      <c r="H71" s="855"/>
      <c r="I71" s="855"/>
      <c r="J71" s="823">
        <v>0</v>
      </c>
      <c r="K71" s="823">
        <f>254000+500000</f>
        <v>754000</v>
      </c>
      <c r="L71" s="1279"/>
    </row>
    <row r="72" spans="1:12" ht="13.5" thickBot="1">
      <c r="A72" s="830">
        <v>55</v>
      </c>
      <c r="B72" s="825" t="s">
        <v>1033</v>
      </c>
      <c r="C72" s="842">
        <v>437625000</v>
      </c>
      <c r="D72" s="882"/>
      <c r="E72" s="828">
        <v>437625000</v>
      </c>
      <c r="F72" s="828">
        <v>0</v>
      </c>
      <c r="G72" s="856"/>
      <c r="H72" s="856"/>
      <c r="I72" s="857"/>
      <c r="J72" s="829">
        <v>414490929</v>
      </c>
      <c r="K72" s="829">
        <v>0</v>
      </c>
      <c r="L72" s="1280"/>
    </row>
    <row r="73" spans="1:12" ht="13.5" thickBot="1">
      <c r="A73" s="830">
        <v>56</v>
      </c>
      <c r="B73" s="831" t="s">
        <v>1034</v>
      </c>
      <c r="C73" s="832">
        <f>SUM(C71:C72)</f>
        <v>437625000</v>
      </c>
      <c r="D73" s="863"/>
      <c r="E73" s="833">
        <f>SUM(E71:E72)</f>
        <v>437625000</v>
      </c>
      <c r="F73" s="833">
        <f>SUM(F71:F72)</f>
        <v>0</v>
      </c>
      <c r="G73" s="863"/>
      <c r="H73" s="863"/>
      <c r="I73" s="864"/>
      <c r="J73" s="834">
        <f>SUM(J71:J72)</f>
        <v>414490929</v>
      </c>
      <c r="K73" s="834">
        <f>SUM(K71:K72)</f>
        <v>754000</v>
      </c>
      <c r="L73" s="1281"/>
    </row>
    <row r="74" spans="1:12" ht="13.5" thickBot="1">
      <c r="A74" s="830"/>
      <c r="B74" s="1282"/>
      <c r="C74" s="1272"/>
      <c r="D74" s="1272"/>
      <c r="E74" s="1272"/>
      <c r="F74" s="1272"/>
      <c r="G74" s="1272"/>
      <c r="H74" s="1272"/>
      <c r="I74" s="1272"/>
      <c r="J74" s="1272"/>
      <c r="K74" s="1283"/>
      <c r="L74" s="835"/>
    </row>
    <row r="75" spans="1:12" ht="12.75">
      <c r="A75" s="840">
        <v>57</v>
      </c>
      <c r="B75" s="837" t="s">
        <v>1037</v>
      </c>
      <c r="C75" s="838">
        <v>429750000</v>
      </c>
      <c r="D75" s="858"/>
      <c r="E75" s="860">
        <v>0</v>
      </c>
      <c r="F75" s="860">
        <v>429750000</v>
      </c>
      <c r="G75" s="855"/>
      <c r="H75" s="855"/>
      <c r="I75" s="855"/>
      <c r="J75" s="1279"/>
      <c r="K75" s="1279"/>
      <c r="L75" s="823">
        <v>404687022</v>
      </c>
    </row>
    <row r="76" spans="1:12" ht="12.75">
      <c r="A76" s="840">
        <v>58</v>
      </c>
      <c r="B76" s="841" t="s">
        <v>1036</v>
      </c>
      <c r="C76" s="842">
        <v>7875000</v>
      </c>
      <c r="D76" s="890"/>
      <c r="E76" s="861"/>
      <c r="F76" s="861">
        <v>7875000</v>
      </c>
      <c r="G76" s="861"/>
      <c r="H76" s="891"/>
      <c r="I76" s="892"/>
      <c r="J76" s="1280"/>
      <c r="K76" s="1280"/>
      <c r="L76" s="829">
        <v>9803907</v>
      </c>
    </row>
    <row r="77" spans="1:12" ht="13.5" thickBot="1">
      <c r="A77" s="840">
        <v>59</v>
      </c>
      <c r="B77" s="841" t="s">
        <v>1045</v>
      </c>
      <c r="C77" s="844"/>
      <c r="D77" s="893"/>
      <c r="E77" s="894"/>
      <c r="F77" s="894"/>
      <c r="G77" s="894"/>
      <c r="H77" s="856"/>
      <c r="I77" s="857"/>
      <c r="J77" s="1280"/>
      <c r="K77" s="1280"/>
      <c r="L77" s="887">
        <f>254000+500000</f>
        <v>754000</v>
      </c>
    </row>
    <row r="78" spans="1:12" ht="13.5" thickBot="1">
      <c r="A78" s="847">
        <v>60</v>
      </c>
      <c r="B78" s="848" t="s">
        <v>370</v>
      </c>
      <c r="C78" s="849">
        <f>SUM(C75:C77)</f>
        <v>437625000</v>
      </c>
      <c r="D78" s="866"/>
      <c r="E78" s="850">
        <f>SUM(E75:E77)</f>
        <v>0</v>
      </c>
      <c r="F78" s="850">
        <f>SUM(F75:F77)</f>
        <v>437625000</v>
      </c>
      <c r="G78" s="866"/>
      <c r="H78" s="866"/>
      <c r="I78" s="866"/>
      <c r="J78" s="1284"/>
      <c r="K78" s="1284"/>
      <c r="L78" s="851">
        <f>SUM(L75:L77)</f>
        <v>415244929</v>
      </c>
    </row>
    <row r="79" spans="1:12" ht="14.25" thickBot="1" thickTop="1">
      <c r="A79" s="830"/>
      <c r="B79" s="1282"/>
      <c r="C79" s="1272"/>
      <c r="D79" s="1272"/>
      <c r="E79" s="1272"/>
      <c r="F79" s="1272"/>
      <c r="G79" s="1272"/>
      <c r="H79" s="1272"/>
      <c r="I79" s="1272"/>
      <c r="J79" s="1272"/>
      <c r="K79" s="1283"/>
      <c r="L79" s="835"/>
    </row>
    <row r="80" spans="1:12" ht="16.5" thickBot="1" thickTop="1">
      <c r="A80" s="817">
        <v>61</v>
      </c>
      <c r="B80" s="1290" t="s">
        <v>1047</v>
      </c>
      <c r="C80" s="1291"/>
      <c r="D80" s="1291"/>
      <c r="E80" s="1291"/>
      <c r="F80" s="1291"/>
      <c r="G80" s="1291"/>
      <c r="H80" s="1291"/>
      <c r="I80" s="1291"/>
      <c r="J80" s="1292"/>
      <c r="K80" s="1292"/>
      <c r="L80" s="818"/>
    </row>
    <row r="81" spans="1:12" ht="12.75">
      <c r="A81" s="819">
        <v>62</v>
      </c>
      <c r="B81" s="853" t="s">
        <v>1032</v>
      </c>
      <c r="C81" s="838">
        <v>0</v>
      </c>
      <c r="D81" s="882"/>
      <c r="E81" s="860">
        <v>0</v>
      </c>
      <c r="F81" s="854">
        <v>0</v>
      </c>
      <c r="G81" s="854">
        <v>0</v>
      </c>
      <c r="H81" s="855"/>
      <c r="I81" s="855"/>
      <c r="J81" s="823">
        <v>0</v>
      </c>
      <c r="K81" s="823">
        <f>254000+863600</f>
        <v>1117600</v>
      </c>
      <c r="L81" s="1279"/>
    </row>
    <row r="82" spans="1:12" ht="13.5" thickBot="1">
      <c r="A82" s="830">
        <v>63</v>
      </c>
      <c r="B82" s="825" t="s">
        <v>1033</v>
      </c>
      <c r="C82" s="842">
        <v>100000000</v>
      </c>
      <c r="D82" s="882"/>
      <c r="E82" s="828">
        <v>100000000</v>
      </c>
      <c r="F82" s="828">
        <v>0</v>
      </c>
      <c r="G82" s="828">
        <v>0</v>
      </c>
      <c r="H82" s="856"/>
      <c r="I82" s="857"/>
      <c r="J82" s="829">
        <v>96609100</v>
      </c>
      <c r="K82" s="829"/>
      <c r="L82" s="1280"/>
    </row>
    <row r="83" spans="1:12" ht="13.5" thickBot="1">
      <c r="A83" s="830">
        <v>64</v>
      </c>
      <c r="B83" s="831" t="s">
        <v>1034</v>
      </c>
      <c r="C83" s="832">
        <f>SUM(C81:C82)</f>
        <v>100000000</v>
      </c>
      <c r="D83" s="863"/>
      <c r="E83" s="833">
        <f>SUM(E81:E82)</f>
        <v>100000000</v>
      </c>
      <c r="F83" s="833">
        <f>SUM(F81:F82)</f>
        <v>0</v>
      </c>
      <c r="G83" s="833">
        <f>SUM(G81:G82)</f>
        <v>0</v>
      </c>
      <c r="H83" s="863"/>
      <c r="I83" s="864"/>
      <c r="J83" s="834">
        <f>SUM(J81:J82)</f>
        <v>96609100</v>
      </c>
      <c r="K83" s="834">
        <f>SUM(K81:K82)</f>
        <v>1117600</v>
      </c>
      <c r="L83" s="1281"/>
    </row>
    <row r="84" spans="1:12" ht="13.5" thickBot="1">
      <c r="A84" s="830"/>
      <c r="B84" s="1282"/>
      <c r="C84" s="1272"/>
      <c r="D84" s="1272"/>
      <c r="E84" s="1272"/>
      <c r="F84" s="1272"/>
      <c r="G84" s="1272"/>
      <c r="H84" s="1272"/>
      <c r="I84" s="1272"/>
      <c r="J84" s="1272"/>
      <c r="K84" s="1283"/>
      <c r="L84" s="835"/>
    </row>
    <row r="85" spans="1:12" ht="12.75">
      <c r="A85" s="840">
        <v>65</v>
      </c>
      <c r="B85" s="837" t="s">
        <v>1042</v>
      </c>
      <c r="C85" s="838">
        <f>SUM(E85:G85)</f>
        <v>100000000</v>
      </c>
      <c r="D85" s="879"/>
      <c r="E85" s="860">
        <v>2393950</v>
      </c>
      <c r="F85" s="860">
        <v>85795050</v>
      </c>
      <c r="G85" s="860">
        <v>11811000</v>
      </c>
      <c r="H85" s="855"/>
      <c r="I85" s="855"/>
      <c r="J85" s="1279"/>
      <c r="K85" s="1279"/>
      <c r="L85" s="823">
        <v>91442680</v>
      </c>
    </row>
    <row r="86" spans="1:12" ht="13.5" thickBot="1">
      <c r="A86" s="840">
        <v>66</v>
      </c>
      <c r="B86" s="865" t="s">
        <v>1048</v>
      </c>
      <c r="C86" s="842">
        <v>0</v>
      </c>
      <c r="D86" s="882"/>
      <c r="E86" s="861">
        <v>0</v>
      </c>
      <c r="F86" s="861">
        <v>0</v>
      </c>
      <c r="G86" s="861">
        <v>0</v>
      </c>
      <c r="H86" s="895"/>
      <c r="I86" s="896"/>
      <c r="J86" s="1280"/>
      <c r="K86" s="1280"/>
      <c r="L86" s="829">
        <v>863600</v>
      </c>
    </row>
    <row r="87" spans="1:12" ht="12.75">
      <c r="A87" s="840">
        <v>67</v>
      </c>
      <c r="B87" s="837" t="s">
        <v>1035</v>
      </c>
      <c r="C87" s="842"/>
      <c r="D87" s="882"/>
      <c r="E87" s="861"/>
      <c r="F87" s="861"/>
      <c r="G87" s="861"/>
      <c r="H87" s="891"/>
      <c r="I87" s="892"/>
      <c r="J87" s="1280"/>
      <c r="K87" s="1280"/>
      <c r="L87" s="829">
        <v>752612</v>
      </c>
    </row>
    <row r="88" spans="1:12" ht="12.75">
      <c r="A88" s="840">
        <v>68</v>
      </c>
      <c r="B88" s="841" t="s">
        <v>1036</v>
      </c>
      <c r="C88" s="842">
        <v>0</v>
      </c>
      <c r="D88" s="890"/>
      <c r="E88" s="861"/>
      <c r="F88" s="861">
        <v>0</v>
      </c>
      <c r="G88" s="861"/>
      <c r="H88" s="891"/>
      <c r="I88" s="892"/>
      <c r="J88" s="1280"/>
      <c r="K88" s="1280"/>
      <c r="L88" s="829">
        <v>4413808</v>
      </c>
    </row>
    <row r="89" spans="1:12" ht="13.5" thickBot="1">
      <c r="A89" s="840">
        <v>69</v>
      </c>
      <c r="B89" s="841" t="s">
        <v>1045</v>
      </c>
      <c r="C89" s="842">
        <v>0</v>
      </c>
      <c r="D89" s="882"/>
      <c r="E89" s="861">
        <v>0</v>
      </c>
      <c r="F89" s="861">
        <v>0</v>
      </c>
      <c r="G89" s="861">
        <v>0</v>
      </c>
      <c r="H89" s="856"/>
      <c r="I89" s="857"/>
      <c r="J89" s="1280"/>
      <c r="K89" s="1280"/>
      <c r="L89" s="829">
        <v>254000</v>
      </c>
    </row>
    <row r="90" spans="1:12" ht="13.5" thickBot="1">
      <c r="A90" s="847">
        <v>70</v>
      </c>
      <c r="B90" s="848" t="s">
        <v>370</v>
      </c>
      <c r="C90" s="849">
        <f>SUM(C85:C89)</f>
        <v>100000000</v>
      </c>
      <c r="D90" s="866"/>
      <c r="E90" s="850">
        <f>SUM(E85:E89)</f>
        <v>2393950</v>
      </c>
      <c r="F90" s="850">
        <f>SUM(F85:F89)</f>
        <v>85795050</v>
      </c>
      <c r="G90" s="850">
        <f>SUM(G85:G89)</f>
        <v>11811000</v>
      </c>
      <c r="H90" s="866"/>
      <c r="I90" s="866"/>
      <c r="J90" s="1284"/>
      <c r="K90" s="1284"/>
      <c r="L90" s="851">
        <f>SUM(L85:L89)</f>
        <v>97726700</v>
      </c>
    </row>
    <row r="91" spans="1:12" ht="14.25" thickBot="1" thickTop="1">
      <c r="A91" s="830"/>
      <c r="B91" s="1282"/>
      <c r="C91" s="1272"/>
      <c r="D91" s="1272"/>
      <c r="E91" s="1272"/>
      <c r="F91" s="1272"/>
      <c r="G91" s="1272"/>
      <c r="H91" s="1272"/>
      <c r="I91" s="1272"/>
      <c r="J91" s="1272"/>
      <c r="K91" s="1283"/>
      <c r="L91" s="835"/>
    </row>
    <row r="92" spans="1:12" ht="16.5" thickBot="1" thickTop="1">
      <c r="A92" s="817">
        <v>71</v>
      </c>
      <c r="B92" s="1290" t="s">
        <v>1049</v>
      </c>
      <c r="C92" s="1291"/>
      <c r="D92" s="1291"/>
      <c r="E92" s="1291"/>
      <c r="F92" s="1291"/>
      <c r="G92" s="1291"/>
      <c r="H92" s="1291"/>
      <c r="I92" s="1291"/>
      <c r="J92" s="1292"/>
      <c r="K92" s="1292"/>
      <c r="L92" s="818"/>
    </row>
    <row r="93" spans="1:12" ht="12.75">
      <c r="A93" s="819">
        <v>72</v>
      </c>
      <c r="B93" s="853" t="s">
        <v>1032</v>
      </c>
      <c r="C93" s="838">
        <v>0</v>
      </c>
      <c r="D93" s="882"/>
      <c r="E93" s="860">
        <v>0</v>
      </c>
      <c r="F93" s="854">
        <v>0</v>
      </c>
      <c r="G93" s="855"/>
      <c r="H93" s="855"/>
      <c r="I93" s="855"/>
      <c r="J93" s="823">
        <v>0</v>
      </c>
      <c r="K93" s="823"/>
      <c r="L93" s="1279"/>
    </row>
    <row r="94" spans="1:12" ht="13.5" thickBot="1">
      <c r="A94" s="830">
        <v>73</v>
      </c>
      <c r="B94" s="825" t="s">
        <v>1033</v>
      </c>
      <c r="C94" s="842">
        <v>118000000</v>
      </c>
      <c r="D94" s="882"/>
      <c r="E94" s="828">
        <v>112219000</v>
      </c>
      <c r="F94" s="828">
        <v>5781000</v>
      </c>
      <c r="G94" s="856"/>
      <c r="H94" s="856"/>
      <c r="I94" s="857"/>
      <c r="J94" s="829">
        <v>105181800</v>
      </c>
      <c r="K94" s="829"/>
      <c r="L94" s="1280"/>
    </row>
    <row r="95" spans="1:12" ht="13.5" thickBot="1">
      <c r="A95" s="830">
        <v>74</v>
      </c>
      <c r="B95" s="831" t="s">
        <v>1034</v>
      </c>
      <c r="C95" s="832">
        <f>SUM(C93:C94)</f>
        <v>118000000</v>
      </c>
      <c r="D95" s="863"/>
      <c r="E95" s="833">
        <f>SUM(E93:E94)</f>
        <v>112219000</v>
      </c>
      <c r="F95" s="833">
        <f>SUM(F93:F94)</f>
        <v>5781000</v>
      </c>
      <c r="G95" s="863"/>
      <c r="H95" s="863"/>
      <c r="I95" s="864"/>
      <c r="J95" s="834">
        <f>SUM(J93:J94)</f>
        <v>105181800</v>
      </c>
      <c r="K95" s="834">
        <f>SUM(K93:K94)</f>
        <v>0</v>
      </c>
      <c r="L95" s="1281"/>
    </row>
    <row r="96" spans="1:12" ht="13.5" thickBot="1">
      <c r="A96" s="830"/>
      <c r="B96" s="1282"/>
      <c r="C96" s="1272"/>
      <c r="D96" s="1272"/>
      <c r="E96" s="1272"/>
      <c r="F96" s="1272"/>
      <c r="G96" s="1272"/>
      <c r="H96" s="1272"/>
      <c r="I96" s="1272"/>
      <c r="J96" s="1272"/>
      <c r="K96" s="1283"/>
      <c r="L96" s="835"/>
    </row>
    <row r="97" spans="1:12" ht="13.5" thickBot="1">
      <c r="A97" s="840">
        <v>75</v>
      </c>
      <c r="B97" s="837" t="s">
        <v>1037</v>
      </c>
      <c r="C97" s="838">
        <f>SUM(E97:G97)</f>
        <v>118000000</v>
      </c>
      <c r="D97" s="882"/>
      <c r="E97" s="860">
        <v>5857200</v>
      </c>
      <c r="F97" s="860">
        <v>112142800</v>
      </c>
      <c r="G97" s="855"/>
      <c r="H97" s="855"/>
      <c r="I97" s="855"/>
      <c r="J97" s="1279"/>
      <c r="K97" s="1279"/>
      <c r="L97" s="823">
        <f>100932090-3817843</f>
        <v>97114247</v>
      </c>
    </row>
    <row r="98" spans="1:12" ht="13.5" thickBot="1">
      <c r="A98" s="840"/>
      <c r="B98" s="865" t="s">
        <v>1070</v>
      </c>
      <c r="C98" s="838"/>
      <c r="D98" s="882"/>
      <c r="E98" s="874"/>
      <c r="F98" s="874"/>
      <c r="G98" s="950"/>
      <c r="H98" s="950"/>
      <c r="I98" s="951"/>
      <c r="J98" s="1280"/>
      <c r="K98" s="1280"/>
      <c r="L98" s="876">
        <f>3817843</f>
        <v>3817843</v>
      </c>
    </row>
    <row r="99" spans="1:12" ht="13.5" thickBot="1">
      <c r="A99" s="840">
        <v>76</v>
      </c>
      <c r="B99" s="841" t="s">
        <v>1036</v>
      </c>
      <c r="C99" s="838">
        <v>0</v>
      </c>
      <c r="D99" s="882"/>
      <c r="E99" s="861">
        <v>0</v>
      </c>
      <c r="F99" s="897">
        <v>0</v>
      </c>
      <c r="G99" s="856"/>
      <c r="H99" s="856"/>
      <c r="I99" s="857"/>
      <c r="J99" s="1280"/>
      <c r="K99" s="1280"/>
      <c r="L99" s="829">
        <v>4249710</v>
      </c>
    </row>
    <row r="100" spans="1:12" ht="13.5" thickBot="1">
      <c r="A100" s="847">
        <v>77</v>
      </c>
      <c r="B100" s="848" t="s">
        <v>370</v>
      </c>
      <c r="C100" s="849">
        <f>SUM(C97:C99)</f>
        <v>118000000</v>
      </c>
      <c r="D100" s="866"/>
      <c r="E100" s="850">
        <f>SUM(E97:E99)</f>
        <v>5857200</v>
      </c>
      <c r="F100" s="850">
        <f>SUM(F97:F99)</f>
        <v>112142800</v>
      </c>
      <c r="G100" s="866"/>
      <c r="H100" s="866"/>
      <c r="I100" s="866"/>
      <c r="J100" s="1284"/>
      <c r="K100" s="1284"/>
      <c r="L100" s="851">
        <f>SUM(L97:L99)</f>
        <v>105181800</v>
      </c>
    </row>
    <row r="101" spans="1:12" ht="14.25" thickBot="1" thickTop="1">
      <c r="A101" s="898"/>
      <c r="B101" s="899"/>
      <c r="C101" s="900"/>
      <c r="D101" s="901"/>
      <c r="E101" s="902"/>
      <c r="F101" s="902"/>
      <c r="G101" s="901"/>
      <c r="H101" s="901"/>
      <c r="I101" s="901"/>
      <c r="J101" s="903"/>
      <c r="K101" s="903"/>
      <c r="L101" s="904"/>
    </row>
    <row r="102" spans="1:12" ht="16.5" thickBot="1" thickTop="1">
      <c r="A102" s="817">
        <v>78</v>
      </c>
      <c r="B102" s="1290" t="s">
        <v>1050</v>
      </c>
      <c r="C102" s="1291"/>
      <c r="D102" s="1291"/>
      <c r="E102" s="1291"/>
      <c r="F102" s="1291"/>
      <c r="G102" s="1291"/>
      <c r="H102" s="1291"/>
      <c r="I102" s="1291"/>
      <c r="J102" s="1292"/>
      <c r="K102" s="1292"/>
      <c r="L102" s="818"/>
    </row>
    <row r="103" spans="1:12" ht="12.75">
      <c r="A103" s="819">
        <v>79</v>
      </c>
      <c r="B103" s="853" t="s">
        <v>1032</v>
      </c>
      <c r="C103" s="838">
        <v>0</v>
      </c>
      <c r="D103" s="882"/>
      <c r="E103" s="860">
        <v>0</v>
      </c>
      <c r="F103" s="854">
        <v>0</v>
      </c>
      <c r="G103" s="855"/>
      <c r="H103" s="855"/>
      <c r="I103" s="855"/>
      <c r="J103" s="823">
        <v>0</v>
      </c>
      <c r="K103" s="823">
        <v>0</v>
      </c>
      <c r="L103" s="1279"/>
    </row>
    <row r="104" spans="1:12" ht="13.5" thickBot="1">
      <c r="A104" s="830">
        <v>80</v>
      </c>
      <c r="B104" s="825" t="s">
        <v>1033</v>
      </c>
      <c r="C104" s="842">
        <v>50000000</v>
      </c>
      <c r="D104" s="882"/>
      <c r="E104" s="828">
        <v>50000000</v>
      </c>
      <c r="F104" s="828">
        <v>0</v>
      </c>
      <c r="G104" s="856"/>
      <c r="H104" s="856"/>
      <c r="I104" s="857"/>
      <c r="J104" s="829">
        <v>23207061</v>
      </c>
      <c r="K104" s="829"/>
      <c r="L104" s="1280"/>
    </row>
    <row r="105" spans="1:12" ht="13.5" thickBot="1">
      <c r="A105" s="830">
        <v>81</v>
      </c>
      <c r="B105" s="831" t="s">
        <v>1034</v>
      </c>
      <c r="C105" s="832">
        <f>SUM(C103:C104)</f>
        <v>50000000</v>
      </c>
      <c r="D105" s="863"/>
      <c r="E105" s="833">
        <f>SUM(E103:E104)</f>
        <v>50000000</v>
      </c>
      <c r="F105" s="833">
        <f>SUM(F103:F104)</f>
        <v>0</v>
      </c>
      <c r="G105" s="863"/>
      <c r="H105" s="863"/>
      <c r="I105" s="864"/>
      <c r="J105" s="834">
        <f>SUM(J103:J104)</f>
        <v>23207061</v>
      </c>
      <c r="K105" s="834">
        <f>SUM(K103:K104)</f>
        <v>0</v>
      </c>
      <c r="L105" s="1281"/>
    </row>
    <row r="106" spans="1:12" ht="13.5" thickBot="1">
      <c r="A106" s="830"/>
      <c r="B106" s="1282"/>
      <c r="C106" s="1272"/>
      <c r="D106" s="1272"/>
      <c r="E106" s="1272"/>
      <c r="F106" s="1272"/>
      <c r="G106" s="1272"/>
      <c r="H106" s="1272"/>
      <c r="I106" s="1272"/>
      <c r="J106" s="1272"/>
      <c r="K106" s="1283"/>
      <c r="L106" s="835"/>
    </row>
    <row r="107" spans="1:12" ht="12.75">
      <c r="A107" s="840">
        <v>82</v>
      </c>
      <c r="B107" s="837" t="s">
        <v>1042</v>
      </c>
      <c r="C107" s="838">
        <v>50000000</v>
      </c>
      <c r="D107" s="879"/>
      <c r="E107" s="905">
        <v>2450000</v>
      </c>
      <c r="F107" s="905">
        <v>47550000</v>
      </c>
      <c r="G107" s="855"/>
      <c r="H107" s="855"/>
      <c r="I107" s="855"/>
      <c r="J107" s="1279"/>
      <c r="K107" s="1279"/>
      <c r="L107" s="823">
        <v>21830061</v>
      </c>
    </row>
    <row r="108" spans="1:12" ht="13.5" thickBot="1">
      <c r="A108" s="840">
        <v>83</v>
      </c>
      <c r="B108" s="841" t="s">
        <v>1036</v>
      </c>
      <c r="C108" s="842">
        <v>0</v>
      </c>
      <c r="D108" s="882"/>
      <c r="E108" s="861">
        <v>0</v>
      </c>
      <c r="F108" s="861">
        <v>0</v>
      </c>
      <c r="G108" s="856"/>
      <c r="H108" s="856"/>
      <c r="I108" s="857"/>
      <c r="J108" s="1280"/>
      <c r="K108" s="1280"/>
      <c r="L108" s="829">
        <v>1377000</v>
      </c>
    </row>
    <row r="109" spans="1:12" ht="13.5" thickBot="1">
      <c r="A109" s="847">
        <v>84</v>
      </c>
      <c r="B109" s="848" t="s">
        <v>370</v>
      </c>
      <c r="C109" s="849">
        <f>SUM(C107:C108)</f>
        <v>50000000</v>
      </c>
      <c r="D109" s="866"/>
      <c r="E109" s="850">
        <f>SUM(E107:E108)</f>
        <v>2450000</v>
      </c>
      <c r="F109" s="850">
        <f>SUM(F107:F108)</f>
        <v>47550000</v>
      </c>
      <c r="G109" s="866"/>
      <c r="H109" s="866"/>
      <c r="I109" s="866"/>
      <c r="J109" s="1284"/>
      <c r="K109" s="1284"/>
      <c r="L109" s="851">
        <f>SUM(L107:L108)</f>
        <v>23207061</v>
      </c>
    </row>
    <row r="110" spans="1:12" ht="14.25" thickBot="1" thickTop="1">
      <c r="A110" s="840"/>
      <c r="B110" s="906"/>
      <c r="C110" s="907"/>
      <c r="D110" s="908"/>
      <c r="E110" s="907"/>
      <c r="F110" s="907"/>
      <c r="G110" s="908"/>
      <c r="H110" s="908"/>
      <c r="I110" s="908"/>
      <c r="J110" s="909"/>
      <c r="K110" s="909"/>
      <c r="L110" s="910"/>
    </row>
    <row r="111" spans="1:12" ht="16.5" thickBot="1" thickTop="1">
      <c r="A111" s="817">
        <v>85</v>
      </c>
      <c r="B111" s="1290" t="s">
        <v>1051</v>
      </c>
      <c r="C111" s="1291"/>
      <c r="D111" s="1291"/>
      <c r="E111" s="1291"/>
      <c r="F111" s="1291"/>
      <c r="G111" s="1291"/>
      <c r="H111" s="1291"/>
      <c r="I111" s="1291"/>
      <c r="J111" s="1292"/>
      <c r="K111" s="1292"/>
      <c r="L111" s="818"/>
    </row>
    <row r="112" spans="1:12" ht="12.75">
      <c r="A112" s="819">
        <v>86</v>
      </c>
      <c r="B112" s="853" t="s">
        <v>1032</v>
      </c>
      <c r="C112" s="838">
        <v>0</v>
      </c>
      <c r="D112" s="882"/>
      <c r="E112" s="860">
        <v>0</v>
      </c>
      <c r="F112" s="854">
        <v>0</v>
      </c>
      <c r="G112" s="911">
        <v>0</v>
      </c>
      <c r="H112" s="911">
        <v>0</v>
      </c>
      <c r="I112" s="911">
        <v>0</v>
      </c>
      <c r="J112" s="823">
        <v>0</v>
      </c>
      <c r="K112" s="823">
        <v>0</v>
      </c>
      <c r="L112" s="1279"/>
    </row>
    <row r="113" spans="1:12" ht="13.5" thickBot="1">
      <c r="A113" s="830">
        <v>88</v>
      </c>
      <c r="B113" s="825" t="s">
        <v>1033</v>
      </c>
      <c r="C113" s="842">
        <v>21635062</v>
      </c>
      <c r="D113" s="882"/>
      <c r="E113" s="828">
        <v>21635062</v>
      </c>
      <c r="F113" s="828">
        <v>0</v>
      </c>
      <c r="G113" s="912">
        <v>0</v>
      </c>
      <c r="H113" s="912">
        <v>0</v>
      </c>
      <c r="I113" s="913">
        <v>0</v>
      </c>
      <c r="J113" s="829">
        <v>12229669</v>
      </c>
      <c r="K113" s="829"/>
      <c r="L113" s="1280"/>
    </row>
    <row r="114" spans="1:12" ht="13.5" thickBot="1">
      <c r="A114" s="830">
        <v>89</v>
      </c>
      <c r="B114" s="831" t="s">
        <v>1034</v>
      </c>
      <c r="C114" s="832">
        <f>SUM(C112:C113)</f>
        <v>21635062</v>
      </c>
      <c r="D114" s="863"/>
      <c r="E114" s="833">
        <f aca="true" t="shared" si="4" ref="E114:K114">SUM(E112:E113)</f>
        <v>21635062</v>
      </c>
      <c r="F114" s="833">
        <f t="shared" si="4"/>
        <v>0</v>
      </c>
      <c r="G114" s="833">
        <f t="shared" si="4"/>
        <v>0</v>
      </c>
      <c r="H114" s="833">
        <f t="shared" si="4"/>
        <v>0</v>
      </c>
      <c r="I114" s="833">
        <f t="shared" si="4"/>
        <v>0</v>
      </c>
      <c r="J114" s="834">
        <f t="shared" si="4"/>
        <v>12229669</v>
      </c>
      <c r="K114" s="834">
        <f t="shared" si="4"/>
        <v>0</v>
      </c>
      <c r="L114" s="1281"/>
    </row>
    <row r="115" spans="1:12" ht="13.5" thickBot="1">
      <c r="A115" s="830"/>
      <c r="B115" s="1282"/>
      <c r="C115" s="1272"/>
      <c r="D115" s="1272"/>
      <c r="E115" s="1272"/>
      <c r="F115" s="1272"/>
      <c r="G115" s="1272"/>
      <c r="H115" s="1272"/>
      <c r="I115" s="1272"/>
      <c r="J115" s="1272"/>
      <c r="K115" s="1283"/>
      <c r="L115" s="835"/>
    </row>
    <row r="116" spans="1:12" ht="12.75">
      <c r="A116" s="840">
        <v>90</v>
      </c>
      <c r="B116" s="837" t="s">
        <v>1035</v>
      </c>
      <c r="C116" s="838">
        <v>10295000</v>
      </c>
      <c r="D116" s="879"/>
      <c r="E116" s="905">
        <v>717000</v>
      </c>
      <c r="F116" s="905">
        <v>3123000</v>
      </c>
      <c r="G116" s="905">
        <v>2880000</v>
      </c>
      <c r="H116" s="905">
        <v>2880000</v>
      </c>
      <c r="I116" s="905">
        <v>695000</v>
      </c>
      <c r="J116" s="1304"/>
      <c r="K116" s="1304"/>
      <c r="L116" s="838">
        <v>6327500</v>
      </c>
    </row>
    <row r="117" spans="1:12" ht="12.75">
      <c r="A117" s="840">
        <v>91</v>
      </c>
      <c r="B117" s="841" t="s">
        <v>1036</v>
      </c>
      <c r="C117" s="888">
        <v>10510062</v>
      </c>
      <c r="D117" s="879"/>
      <c r="E117" s="914">
        <v>315347</v>
      </c>
      <c r="F117" s="914">
        <f>3984278+55</f>
        <v>3984333</v>
      </c>
      <c r="G117" s="915">
        <v>2149813</v>
      </c>
      <c r="H117" s="915">
        <v>2149812</v>
      </c>
      <c r="I117" s="915">
        <v>1910757</v>
      </c>
      <c r="J117" s="1305"/>
      <c r="K117" s="1305"/>
      <c r="L117" s="888">
        <v>5902169</v>
      </c>
    </row>
    <row r="118" spans="1:12" ht="13.5" thickBot="1">
      <c r="A118" s="840">
        <v>92</v>
      </c>
      <c r="B118" s="880" t="s">
        <v>1037</v>
      </c>
      <c r="C118" s="842">
        <v>830000</v>
      </c>
      <c r="D118" s="882"/>
      <c r="E118" s="897">
        <v>829945</v>
      </c>
      <c r="F118" s="861">
        <f>55-55</f>
        <v>0</v>
      </c>
      <c r="G118" s="912">
        <v>0</v>
      </c>
      <c r="H118" s="912">
        <v>0</v>
      </c>
      <c r="I118" s="913">
        <v>0</v>
      </c>
      <c r="J118" s="1280"/>
      <c r="K118" s="1280"/>
      <c r="L118" s="842">
        <f>55-55</f>
        <v>0</v>
      </c>
    </row>
    <row r="119" spans="1:12" ht="13.5" thickBot="1">
      <c r="A119" s="847">
        <v>93</v>
      </c>
      <c r="B119" s="848" t="s">
        <v>370</v>
      </c>
      <c r="C119" s="849">
        <f>SUM(C116:C118)</f>
        <v>21635062</v>
      </c>
      <c r="D119" s="866"/>
      <c r="E119" s="850">
        <f>SUM(E116:E118)</f>
        <v>1862292</v>
      </c>
      <c r="F119" s="850">
        <f>SUM(F116:F118)</f>
        <v>7107333</v>
      </c>
      <c r="G119" s="850">
        <f>SUM(G116:G118)</f>
        <v>5029813</v>
      </c>
      <c r="H119" s="850">
        <f>SUM(H116:H118)</f>
        <v>5029812</v>
      </c>
      <c r="I119" s="850">
        <f>SUM(I116:I118)</f>
        <v>2605757</v>
      </c>
      <c r="J119" s="1284"/>
      <c r="K119" s="1284"/>
      <c r="L119" s="851">
        <f>SUM(L116:L118)</f>
        <v>12229669</v>
      </c>
    </row>
    <row r="120" spans="1:12" ht="14.25" thickBot="1" thickTop="1">
      <c r="A120" s="955"/>
      <c r="B120" s="923"/>
      <c r="C120" s="907"/>
      <c r="D120" s="908"/>
      <c r="E120" s="907"/>
      <c r="F120" s="907"/>
      <c r="G120" s="908"/>
      <c r="H120" s="908"/>
      <c r="I120" s="908"/>
      <c r="J120" s="909"/>
      <c r="K120" s="909"/>
      <c r="L120" s="910"/>
    </row>
    <row r="121" spans="1:12" ht="16.5" thickBot="1" thickTop="1">
      <c r="A121" s="817">
        <v>94</v>
      </c>
      <c r="B121" s="1290" t="s">
        <v>1055</v>
      </c>
      <c r="C121" s="1291"/>
      <c r="D121" s="1291"/>
      <c r="E121" s="1291"/>
      <c r="F121" s="1291"/>
      <c r="G121" s="1291"/>
      <c r="H121" s="1291"/>
      <c r="I121" s="1291"/>
      <c r="J121" s="1292"/>
      <c r="K121" s="1292"/>
      <c r="L121" s="916"/>
    </row>
    <row r="122" spans="1:12" ht="12.75">
      <c r="A122" s="819">
        <v>95</v>
      </c>
      <c r="B122" s="820" t="s">
        <v>1052</v>
      </c>
      <c r="C122" s="917">
        <f>SUM(I122+G122+F122+E122+D122)</f>
        <v>0</v>
      </c>
      <c r="D122" s="858"/>
      <c r="E122" s="858"/>
      <c r="F122" s="860">
        <v>0</v>
      </c>
      <c r="G122" s="860">
        <v>0</v>
      </c>
      <c r="H122" s="860">
        <v>0</v>
      </c>
      <c r="I122" s="858"/>
      <c r="J122" s="823">
        <v>0</v>
      </c>
      <c r="K122" s="823">
        <v>0</v>
      </c>
      <c r="L122" s="1279"/>
    </row>
    <row r="123" spans="1:12" ht="13.5" thickBot="1">
      <c r="A123" s="830">
        <v>96</v>
      </c>
      <c r="B123" s="825" t="s">
        <v>1033</v>
      </c>
      <c r="C123" s="918">
        <v>6119772</v>
      </c>
      <c r="D123" s="891"/>
      <c r="E123" s="891"/>
      <c r="F123" s="828">
        <v>1647423</v>
      </c>
      <c r="G123" s="828">
        <v>2435901</v>
      </c>
      <c r="H123" s="828">
        <v>2036448</v>
      </c>
      <c r="I123" s="891"/>
      <c r="J123" s="829">
        <v>1475404</v>
      </c>
      <c r="K123" s="829">
        <v>1092680</v>
      </c>
      <c r="L123" s="1280"/>
    </row>
    <row r="124" spans="1:12" ht="13.5" thickBot="1">
      <c r="A124" s="830">
        <v>97</v>
      </c>
      <c r="B124" s="831" t="s">
        <v>1034</v>
      </c>
      <c r="C124" s="832">
        <f>SUM(G124+F124+H124)</f>
        <v>6119772</v>
      </c>
      <c r="D124" s="869"/>
      <c r="E124" s="869"/>
      <c r="F124" s="833">
        <f>SUM(F122+F123)</f>
        <v>1647423</v>
      </c>
      <c r="G124" s="833">
        <f>SUM(G122+G123)</f>
        <v>2435901</v>
      </c>
      <c r="H124" s="833">
        <f>SUM(H122+H123)</f>
        <v>2036448</v>
      </c>
      <c r="I124" s="919"/>
      <c r="J124" s="834">
        <f>SUM(J122+J123)</f>
        <v>1475404</v>
      </c>
      <c r="K124" s="834">
        <f>SUM(K122+K123)</f>
        <v>1092680</v>
      </c>
      <c r="L124" s="1281"/>
    </row>
    <row r="125" spans="1:12" ht="13.5" thickBot="1">
      <c r="A125" s="830"/>
      <c r="B125" s="1296"/>
      <c r="C125" s="1297"/>
      <c r="D125" s="1298"/>
      <c r="E125" s="1298"/>
      <c r="F125" s="1298"/>
      <c r="G125" s="1298"/>
      <c r="H125" s="1298"/>
      <c r="I125" s="1298"/>
      <c r="J125" s="1299"/>
      <c r="K125" s="1300"/>
      <c r="L125" s="835"/>
    </row>
    <row r="126" spans="1:12" ht="12.75">
      <c r="A126" s="840"/>
      <c r="B126" s="837" t="s">
        <v>1035</v>
      </c>
      <c r="C126" s="838">
        <v>2588370</v>
      </c>
      <c r="D126" s="858"/>
      <c r="E126" s="858"/>
      <c r="F126" s="828">
        <v>816596</v>
      </c>
      <c r="G126" s="828">
        <v>1208430</v>
      </c>
      <c r="H126" s="828">
        <v>563344</v>
      </c>
      <c r="I126" s="889"/>
      <c r="J126" s="1304"/>
      <c r="K126" s="1304"/>
      <c r="L126" s="823">
        <v>1208430</v>
      </c>
    </row>
    <row r="127" spans="1:12" ht="12.75">
      <c r="A127" s="840"/>
      <c r="B127" s="841" t="s">
        <v>1036</v>
      </c>
      <c r="C127" s="842">
        <v>521854</v>
      </c>
      <c r="D127" s="952"/>
      <c r="E127" s="952"/>
      <c r="F127" s="828">
        <v>110969</v>
      </c>
      <c r="G127" s="828">
        <v>386554</v>
      </c>
      <c r="H127" s="828">
        <v>24331</v>
      </c>
      <c r="I127" s="954"/>
      <c r="J127" s="1305"/>
      <c r="K127" s="1305"/>
      <c r="L127" s="829">
        <v>386554</v>
      </c>
    </row>
    <row r="128" spans="1:12" ht="12.75">
      <c r="A128" s="840">
        <v>99</v>
      </c>
      <c r="B128" s="843" t="s">
        <v>1037</v>
      </c>
      <c r="C128" s="888">
        <v>973100</v>
      </c>
      <c r="D128" s="891"/>
      <c r="E128" s="891"/>
      <c r="F128" s="953">
        <v>0</v>
      </c>
      <c r="G128" s="828">
        <v>973100</v>
      </c>
      <c r="H128" s="953">
        <v>0</v>
      </c>
      <c r="I128" s="892"/>
      <c r="J128" s="1280"/>
      <c r="K128" s="1280"/>
      <c r="L128" s="876">
        <v>973100</v>
      </c>
    </row>
    <row r="129" spans="1:12" ht="13.5" thickBot="1">
      <c r="A129" s="840">
        <v>98</v>
      </c>
      <c r="B129" s="843" t="s">
        <v>1071</v>
      </c>
      <c r="C129" s="888">
        <v>2036448</v>
      </c>
      <c r="D129" s="952"/>
      <c r="E129" s="952"/>
      <c r="F129" s="953">
        <v>0</v>
      </c>
      <c r="G129" s="828">
        <v>2036448</v>
      </c>
      <c r="H129" s="953">
        <v>0</v>
      </c>
      <c r="I129" s="952"/>
      <c r="J129" s="1284"/>
      <c r="K129" s="1284"/>
      <c r="L129" s="876">
        <v>0</v>
      </c>
    </row>
    <row r="130" spans="1:12" ht="14.25" thickBot="1" thickTop="1">
      <c r="A130" s="920">
        <v>100</v>
      </c>
      <c r="B130" s="921" t="s">
        <v>370</v>
      </c>
      <c r="C130" s="849">
        <f>SUM(C126:C129)</f>
        <v>6119772</v>
      </c>
      <c r="D130" s="866"/>
      <c r="E130" s="866"/>
      <c r="F130" s="922">
        <f>SUM(F126:F129)</f>
        <v>927565</v>
      </c>
      <c r="G130" s="922">
        <f>SUM(G126:G129)</f>
        <v>4604532</v>
      </c>
      <c r="H130" s="922">
        <f>SUM(H126:H129)</f>
        <v>587675</v>
      </c>
      <c r="I130" s="866"/>
      <c r="J130" s="866"/>
      <c r="K130" s="866"/>
      <c r="L130" s="851">
        <f>SUM(L126:L129)</f>
        <v>2568084</v>
      </c>
    </row>
    <row r="131" spans="1:12" ht="14.25" thickBot="1" thickTop="1">
      <c r="A131" s="955"/>
      <c r="B131" s="923"/>
      <c r="C131" s="907"/>
      <c r="D131" s="908"/>
      <c r="E131" s="907"/>
      <c r="F131" s="907"/>
      <c r="G131" s="908"/>
      <c r="H131" s="908"/>
      <c r="I131" s="908"/>
      <c r="J131" s="909"/>
      <c r="K131" s="909"/>
      <c r="L131" s="910"/>
    </row>
    <row r="132" spans="1:12" ht="14.25" thickBot="1" thickTop="1">
      <c r="A132" s="819"/>
      <c r="B132" s="1301"/>
      <c r="C132" s="1302"/>
      <c r="D132" s="1302"/>
      <c r="E132" s="1302"/>
      <c r="F132" s="1302"/>
      <c r="G132" s="1302"/>
      <c r="H132" s="1302"/>
      <c r="I132" s="1302"/>
      <c r="J132" s="1302"/>
      <c r="K132" s="1302"/>
      <c r="L132" s="1303"/>
    </row>
    <row r="133" spans="1:12" ht="19.5" thickBot="1" thickTop="1">
      <c r="A133" s="924"/>
      <c r="B133" s="1287" t="s">
        <v>732</v>
      </c>
      <c r="C133" s="1288"/>
      <c r="D133" s="1288"/>
      <c r="E133" s="1288"/>
      <c r="F133" s="1288"/>
      <c r="G133" s="1288"/>
      <c r="H133" s="1288"/>
      <c r="I133" s="1288"/>
      <c r="J133" s="1288"/>
      <c r="K133" s="1288"/>
      <c r="L133" s="1289"/>
    </row>
    <row r="134" spans="1:12" ht="14.25" thickBot="1" thickTop="1">
      <c r="A134" s="816"/>
      <c r="B134" s="1293"/>
      <c r="C134" s="1294"/>
      <c r="D134" s="1294"/>
      <c r="E134" s="1294"/>
      <c r="F134" s="1294"/>
      <c r="G134" s="1294"/>
      <c r="H134" s="1294"/>
      <c r="I134" s="1294"/>
      <c r="J134" s="1294"/>
      <c r="K134" s="1294"/>
      <c r="L134" s="1295"/>
    </row>
    <row r="135" spans="1:12" ht="16.5" thickBot="1" thickTop="1">
      <c r="A135" s="817">
        <v>101</v>
      </c>
      <c r="B135" s="1285" t="s">
        <v>1054</v>
      </c>
      <c r="C135" s="1286"/>
      <c r="D135" s="1286"/>
      <c r="E135" s="1286"/>
      <c r="F135" s="1286"/>
      <c r="G135" s="1286"/>
      <c r="H135" s="1286"/>
      <c r="I135" s="1286"/>
      <c r="J135" s="1286"/>
      <c r="K135" s="1286"/>
      <c r="L135" s="925"/>
    </row>
    <row r="136" spans="1:12" ht="12.75">
      <c r="A136" s="819">
        <v>102</v>
      </c>
      <c r="B136" s="862" t="s">
        <v>1032</v>
      </c>
      <c r="C136" s="926">
        <v>0</v>
      </c>
      <c r="D136" s="927"/>
      <c r="E136" s="928">
        <v>0</v>
      </c>
      <c r="F136" s="928">
        <v>0</v>
      </c>
      <c r="G136" s="928">
        <v>0</v>
      </c>
      <c r="H136" s="928"/>
      <c r="I136" s="927"/>
      <c r="J136" s="876">
        <v>0</v>
      </c>
      <c r="K136" s="876">
        <v>0</v>
      </c>
      <c r="L136" s="1280"/>
    </row>
    <row r="137" spans="1:12" ht="13.5" thickBot="1">
      <c r="A137" s="824">
        <v>103</v>
      </c>
      <c r="B137" s="825" t="s">
        <v>1033</v>
      </c>
      <c r="C137" s="826">
        <v>88217316</v>
      </c>
      <c r="D137" s="868"/>
      <c r="E137" s="828">
        <v>45094449</v>
      </c>
      <c r="F137" s="828">
        <v>0</v>
      </c>
      <c r="G137" s="828">
        <v>0</v>
      </c>
      <c r="H137" s="828">
        <v>43122867</v>
      </c>
      <c r="I137" s="868"/>
      <c r="J137" s="829">
        <v>7760424</v>
      </c>
      <c r="K137" s="829">
        <v>5354163</v>
      </c>
      <c r="L137" s="1280"/>
    </row>
    <row r="138" spans="1:12" ht="13.5" thickBot="1">
      <c r="A138" s="830">
        <v>104</v>
      </c>
      <c r="B138" s="831" t="s">
        <v>1034</v>
      </c>
      <c r="C138" s="832">
        <f>SUM(C136:C137)</f>
        <v>88217316</v>
      </c>
      <c r="D138" s="869"/>
      <c r="E138" s="833">
        <f>SUM(E136:E137)</f>
        <v>45094449</v>
      </c>
      <c r="F138" s="833">
        <f>SUM(F136:F137)</f>
        <v>0</v>
      </c>
      <c r="G138" s="833">
        <f>SUM(G136:G137)</f>
        <v>0</v>
      </c>
      <c r="H138" s="833">
        <f>SUM(H136:H137)</f>
        <v>43122867</v>
      </c>
      <c r="I138" s="869"/>
      <c r="J138" s="834">
        <f>SUM(J136:J137)</f>
        <v>7760424</v>
      </c>
      <c r="K138" s="834">
        <f>SUM(K136:K137)</f>
        <v>5354163</v>
      </c>
      <c r="L138" s="1281"/>
    </row>
    <row r="139" spans="1:12" ht="13.5" thickBot="1">
      <c r="A139" s="830"/>
      <c r="B139" s="1282"/>
      <c r="C139" s="1272"/>
      <c r="D139" s="1272"/>
      <c r="E139" s="1272"/>
      <c r="F139" s="1272"/>
      <c r="G139" s="1272"/>
      <c r="H139" s="1272"/>
      <c r="I139" s="1272"/>
      <c r="J139" s="1272"/>
      <c r="K139" s="1283"/>
      <c r="L139" s="835"/>
    </row>
    <row r="140" spans="1:12" ht="12.75">
      <c r="A140" s="836">
        <v>105</v>
      </c>
      <c r="B140" s="837" t="s">
        <v>1035</v>
      </c>
      <c r="C140" s="859">
        <f>SUM(E140:H140)</f>
        <v>53041950</v>
      </c>
      <c r="D140" s="870"/>
      <c r="E140" s="860">
        <v>4082460</v>
      </c>
      <c r="F140" s="854">
        <v>23773325</v>
      </c>
      <c r="G140" s="854">
        <v>23773325</v>
      </c>
      <c r="H140" s="854">
        <v>1412840</v>
      </c>
      <c r="I140" s="870"/>
      <c r="J140" s="1279"/>
      <c r="K140" s="1279"/>
      <c r="L140" s="823">
        <f>7710424+2756937+482464</f>
        <v>10949825</v>
      </c>
    </row>
    <row r="141" spans="1:12" ht="12.75">
      <c r="A141" s="840">
        <v>106</v>
      </c>
      <c r="B141" s="841" t="s">
        <v>1036</v>
      </c>
      <c r="C141" s="842">
        <f>SUM(E141:H141)</f>
        <v>33488176</v>
      </c>
      <c r="D141" s="879"/>
      <c r="E141" s="828">
        <v>12718558</v>
      </c>
      <c r="F141" s="827">
        <v>10002127</v>
      </c>
      <c r="G141" s="827">
        <v>10002126</v>
      </c>
      <c r="H141" s="827">
        <v>765365</v>
      </c>
      <c r="I141" s="879"/>
      <c r="J141" s="1280"/>
      <c r="K141" s="1280"/>
      <c r="L141" s="829">
        <f>50000+2114762</f>
        <v>2164762</v>
      </c>
    </row>
    <row r="142" spans="1:12" ht="13.5" thickBot="1">
      <c r="A142" s="840">
        <v>107</v>
      </c>
      <c r="B142" s="880" t="s">
        <v>1037</v>
      </c>
      <c r="C142" s="888">
        <f>SUM(E142:H142)</f>
        <v>1687190</v>
      </c>
      <c r="D142" s="882"/>
      <c r="E142" s="828">
        <v>862449</v>
      </c>
      <c r="F142" s="827">
        <v>412371</v>
      </c>
      <c r="G142" s="827">
        <v>412370</v>
      </c>
      <c r="H142" s="827">
        <v>0</v>
      </c>
      <c r="I142" s="882"/>
      <c r="J142" s="1280"/>
      <c r="K142" s="1280"/>
      <c r="L142" s="829">
        <v>0</v>
      </c>
    </row>
    <row r="143" spans="1:12" ht="13.5" thickBot="1">
      <c r="A143" s="847">
        <v>108</v>
      </c>
      <c r="B143" s="848" t="s">
        <v>370</v>
      </c>
      <c r="C143" s="849">
        <f>SUM(C140:C142)</f>
        <v>88217316</v>
      </c>
      <c r="D143" s="866"/>
      <c r="E143" s="850">
        <f>SUM(E140:E142)</f>
        <v>17663467</v>
      </c>
      <c r="F143" s="850">
        <f>SUM(F140:F142)</f>
        <v>34187823</v>
      </c>
      <c r="G143" s="850">
        <f>SUM(G140:G142)</f>
        <v>34187821</v>
      </c>
      <c r="H143" s="850">
        <f>SUM(H140:H142)</f>
        <v>2178205</v>
      </c>
      <c r="I143" s="866"/>
      <c r="J143" s="1284"/>
      <c r="K143" s="1284"/>
      <c r="L143" s="851">
        <f>SUM(L140:L142)</f>
        <v>13114587</v>
      </c>
    </row>
    <row r="144" ht="14.25" thickBot="1" thickTop="1"/>
    <row r="145" spans="1:12" ht="19.5" thickBot="1" thickTop="1">
      <c r="A145" s="924"/>
      <c r="B145" s="1287" t="s">
        <v>769</v>
      </c>
      <c r="C145" s="1288"/>
      <c r="D145" s="1288"/>
      <c r="E145" s="1288"/>
      <c r="F145" s="1288"/>
      <c r="G145" s="1288"/>
      <c r="H145" s="1288"/>
      <c r="I145" s="1288"/>
      <c r="J145" s="1288"/>
      <c r="K145" s="1288"/>
      <c r="L145" s="1289"/>
    </row>
    <row r="146" spans="1:12" ht="14.25" thickBot="1" thickTop="1">
      <c r="A146" s="1273"/>
      <c r="B146" s="1274"/>
      <c r="C146" s="1274"/>
      <c r="D146" s="1274"/>
      <c r="E146" s="1274"/>
      <c r="F146" s="1274"/>
      <c r="G146" s="1274"/>
      <c r="H146" s="1274"/>
      <c r="I146" s="1274"/>
      <c r="J146" s="1274"/>
      <c r="K146" s="1274"/>
      <c r="L146" s="1275"/>
    </row>
    <row r="147" spans="1:12" ht="16.5" thickBot="1" thickTop="1">
      <c r="A147" s="817">
        <v>109</v>
      </c>
      <c r="B147" s="1276" t="s">
        <v>1056</v>
      </c>
      <c r="C147" s="1277"/>
      <c r="D147" s="1277"/>
      <c r="E147" s="1277"/>
      <c r="F147" s="1277"/>
      <c r="G147" s="1277"/>
      <c r="H147" s="1277"/>
      <c r="I147" s="1277"/>
      <c r="J147" s="1277"/>
      <c r="K147" s="1277"/>
      <c r="L147" s="1278"/>
    </row>
    <row r="148" spans="1:12" ht="12.75">
      <c r="A148" s="819">
        <v>110</v>
      </c>
      <c r="B148" s="820" t="s">
        <v>1032</v>
      </c>
      <c r="C148" s="821">
        <v>0</v>
      </c>
      <c r="D148" s="867"/>
      <c r="E148" s="867"/>
      <c r="F148" s="822">
        <v>0</v>
      </c>
      <c r="G148" s="867"/>
      <c r="H148" s="867"/>
      <c r="I148" s="867"/>
      <c r="J148" s="823">
        <v>0</v>
      </c>
      <c r="K148" s="823">
        <v>0</v>
      </c>
      <c r="L148" s="1279"/>
    </row>
    <row r="149" spans="1:12" ht="13.5" thickBot="1">
      <c r="A149" s="824">
        <v>111</v>
      </c>
      <c r="B149" s="825" t="s">
        <v>1033</v>
      </c>
      <c r="C149" s="826">
        <v>25000000</v>
      </c>
      <c r="D149" s="868"/>
      <c r="E149" s="868"/>
      <c r="F149" s="828">
        <v>25000000</v>
      </c>
      <c r="G149" s="868"/>
      <c r="H149" s="868"/>
      <c r="I149" s="868"/>
      <c r="J149" s="829">
        <v>5642681</v>
      </c>
      <c r="K149" s="829">
        <v>0</v>
      </c>
      <c r="L149" s="1280"/>
    </row>
    <row r="150" spans="1:12" ht="13.5" thickBot="1">
      <c r="A150" s="830">
        <v>112</v>
      </c>
      <c r="B150" s="831" t="s">
        <v>1034</v>
      </c>
      <c r="C150" s="832">
        <f>SUM(C148:C149)</f>
        <v>25000000</v>
      </c>
      <c r="D150" s="869"/>
      <c r="E150" s="869"/>
      <c r="F150" s="833">
        <f>SUM(F148:F149)</f>
        <v>25000000</v>
      </c>
      <c r="G150" s="869"/>
      <c r="H150" s="869"/>
      <c r="I150" s="869"/>
      <c r="J150" s="834">
        <f>SUM(J148:J149)</f>
        <v>5642681</v>
      </c>
      <c r="K150" s="834">
        <f>SUM(K148:K149)</f>
        <v>0</v>
      </c>
      <c r="L150" s="1281"/>
    </row>
    <row r="151" spans="1:12" ht="13.5" thickBot="1">
      <c r="A151" s="830"/>
      <c r="B151" s="1282"/>
      <c r="C151" s="1272"/>
      <c r="D151" s="1272"/>
      <c r="E151" s="1272"/>
      <c r="F151" s="1272"/>
      <c r="G151" s="1272"/>
      <c r="H151" s="1272"/>
      <c r="I151" s="1272"/>
      <c r="J151" s="1272"/>
      <c r="K151" s="1283"/>
      <c r="L151" s="835"/>
    </row>
    <row r="152" spans="1:12" ht="12.75">
      <c r="A152" s="836">
        <v>113</v>
      </c>
      <c r="B152" s="837" t="s">
        <v>1035</v>
      </c>
      <c r="C152" s="859">
        <f>SUM(E152:H152)</f>
        <v>8407749</v>
      </c>
      <c r="D152" s="870"/>
      <c r="E152" s="870"/>
      <c r="F152" s="860">
        <v>8407749</v>
      </c>
      <c r="G152" s="870"/>
      <c r="H152" s="870"/>
      <c r="I152" s="870"/>
      <c r="J152" s="1279"/>
      <c r="K152" s="1279"/>
      <c r="L152" s="823">
        <f>2115000+13166</f>
        <v>2128166</v>
      </c>
    </row>
    <row r="153" spans="1:12" ht="12.75">
      <c r="A153" s="840">
        <v>114</v>
      </c>
      <c r="B153" s="841" t="s">
        <v>1036</v>
      </c>
      <c r="C153" s="842">
        <f>SUM(E153:H153)</f>
        <v>14095151</v>
      </c>
      <c r="D153" s="879"/>
      <c r="E153" s="879"/>
      <c r="F153" s="828">
        <v>14095151</v>
      </c>
      <c r="G153" s="879"/>
      <c r="H153" s="879"/>
      <c r="I153" s="879"/>
      <c r="J153" s="1280"/>
      <c r="K153" s="1280"/>
      <c r="L153" s="829">
        <f>3527681-13166</f>
        <v>3514515</v>
      </c>
    </row>
    <row r="154" spans="1:12" ht="13.5" thickBot="1">
      <c r="A154" s="840">
        <v>115</v>
      </c>
      <c r="B154" s="880" t="s">
        <v>1037</v>
      </c>
      <c r="C154" s="888">
        <f>SUM(E154:H154)</f>
        <v>2497100</v>
      </c>
      <c r="D154" s="882"/>
      <c r="E154" s="882"/>
      <c r="F154" s="885">
        <v>2497100</v>
      </c>
      <c r="G154" s="882"/>
      <c r="H154" s="882"/>
      <c r="I154" s="882"/>
      <c r="J154" s="1280"/>
      <c r="K154" s="1280"/>
      <c r="L154" s="829">
        <v>0</v>
      </c>
    </row>
    <row r="155" spans="1:12" ht="13.5" thickBot="1">
      <c r="A155" s="847">
        <v>116</v>
      </c>
      <c r="B155" s="848" t="s">
        <v>370</v>
      </c>
      <c r="C155" s="849">
        <f>SUM(C152:C154)</f>
        <v>25000000</v>
      </c>
      <c r="D155" s="866"/>
      <c r="E155" s="866"/>
      <c r="F155" s="850">
        <f>SUM(F152:F154)</f>
        <v>25000000</v>
      </c>
      <c r="G155" s="866"/>
      <c r="H155" s="866"/>
      <c r="I155" s="866"/>
      <c r="J155" s="1284"/>
      <c r="K155" s="1284"/>
      <c r="L155" s="851">
        <f>SUM(L152:L154)</f>
        <v>5642681</v>
      </c>
    </row>
    <row r="156" spans="1:12" ht="13.5" thickTop="1">
      <c r="A156" s="805"/>
      <c r="B156" s="1272"/>
      <c r="C156" s="1272"/>
      <c r="D156" s="1272"/>
      <c r="E156" s="1272"/>
      <c r="F156" s="1272"/>
      <c r="G156" s="1272"/>
      <c r="H156" s="1272"/>
      <c r="I156" s="1272"/>
      <c r="J156" s="1272"/>
      <c r="K156" s="1272"/>
      <c r="L156" s="929"/>
    </row>
  </sheetData>
  <sheetProtection/>
  <mergeCells count="92">
    <mergeCell ref="B1:L1"/>
    <mergeCell ref="B4:L4"/>
    <mergeCell ref="A8:A10"/>
    <mergeCell ref="B8:B10"/>
    <mergeCell ref="C8:I8"/>
    <mergeCell ref="J8:J10"/>
    <mergeCell ref="K8:K10"/>
    <mergeCell ref="L8:L10"/>
    <mergeCell ref="C9:C10"/>
    <mergeCell ref="D9:I9"/>
    <mergeCell ref="B12:L12"/>
    <mergeCell ref="B13:L13"/>
    <mergeCell ref="B14:K14"/>
    <mergeCell ref="L15:L17"/>
    <mergeCell ref="B18:K18"/>
    <mergeCell ref="J19:J22"/>
    <mergeCell ref="K19:K22"/>
    <mergeCell ref="B23:L23"/>
    <mergeCell ref="B24:K24"/>
    <mergeCell ref="L25:L27"/>
    <mergeCell ref="B28:K28"/>
    <mergeCell ref="J29:J32"/>
    <mergeCell ref="K29:K32"/>
    <mergeCell ref="B33:L33"/>
    <mergeCell ref="J126:J129"/>
    <mergeCell ref="K126:K129"/>
    <mergeCell ref="B34:K34"/>
    <mergeCell ref="L35:L38"/>
    <mergeCell ref="B39:K39"/>
    <mergeCell ref="C40:C41"/>
    <mergeCell ref="J40:J46"/>
    <mergeCell ref="K40:K46"/>
    <mergeCell ref="B47:L47"/>
    <mergeCell ref="B48:K48"/>
    <mergeCell ref="L49:L51"/>
    <mergeCell ref="B52:K52"/>
    <mergeCell ref="C53:C54"/>
    <mergeCell ref="J53:J57"/>
    <mergeCell ref="K53:K57"/>
    <mergeCell ref="B58:K58"/>
    <mergeCell ref="B59:K59"/>
    <mergeCell ref="L60:L62"/>
    <mergeCell ref="B63:K63"/>
    <mergeCell ref="J64:J68"/>
    <mergeCell ref="K64:K68"/>
    <mergeCell ref="B69:K69"/>
    <mergeCell ref="B70:K70"/>
    <mergeCell ref="L71:L73"/>
    <mergeCell ref="B74:K74"/>
    <mergeCell ref="J75:J78"/>
    <mergeCell ref="K75:K78"/>
    <mergeCell ref="B79:K79"/>
    <mergeCell ref="B80:K80"/>
    <mergeCell ref="L81:L83"/>
    <mergeCell ref="B84:K84"/>
    <mergeCell ref="J85:J90"/>
    <mergeCell ref="K85:K90"/>
    <mergeCell ref="L112:L114"/>
    <mergeCell ref="B115:K115"/>
    <mergeCell ref="B91:K91"/>
    <mergeCell ref="B92:K92"/>
    <mergeCell ref="L93:L95"/>
    <mergeCell ref="B96:K96"/>
    <mergeCell ref="J97:J100"/>
    <mergeCell ref="K97:K100"/>
    <mergeCell ref="B102:K102"/>
    <mergeCell ref="L103:L105"/>
    <mergeCell ref="B106:K106"/>
    <mergeCell ref="J107:J109"/>
    <mergeCell ref="K107:K109"/>
    <mergeCell ref="B111:K111"/>
    <mergeCell ref="J116:J119"/>
    <mergeCell ref="K116:K119"/>
    <mergeCell ref="B121:K121"/>
    <mergeCell ref="L122:L124"/>
    <mergeCell ref="B133:L133"/>
    <mergeCell ref="B134:L134"/>
    <mergeCell ref="B125:K125"/>
    <mergeCell ref="B132:L132"/>
    <mergeCell ref="B135:K135"/>
    <mergeCell ref="L136:L138"/>
    <mergeCell ref="K140:K143"/>
    <mergeCell ref="B145:L145"/>
    <mergeCell ref="B139:K139"/>
    <mergeCell ref="J140:J143"/>
    <mergeCell ref="B156:K156"/>
    <mergeCell ref="A146:L146"/>
    <mergeCell ref="B147:L147"/>
    <mergeCell ref="L148:L150"/>
    <mergeCell ref="B151:K151"/>
    <mergeCell ref="J152:J155"/>
    <mergeCell ref="K152:K1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zoomScalePageLayoutView="0" workbookViewId="0" topLeftCell="A1">
      <selection activeCell="A3" sqref="A3:J76"/>
    </sheetView>
  </sheetViews>
  <sheetFormatPr defaultColWidth="9.00390625" defaultRowHeight="12.75"/>
  <cols>
    <col min="1" max="1" width="6.125" style="168" customWidth="1"/>
    <col min="2" max="4" width="9.125" style="168" customWidth="1"/>
    <col min="5" max="5" width="40.375" style="168" customWidth="1"/>
    <col min="6" max="6" width="16.125" style="168" bestFit="1" customWidth="1"/>
    <col min="7" max="7" width="14.125" style="168" bestFit="1" customWidth="1"/>
    <col min="8" max="9" width="14.875" style="168" customWidth="1"/>
    <col min="10" max="10" width="16.00390625" style="168" bestFit="1" customWidth="1"/>
    <col min="11" max="16384" width="9.125" style="168" customWidth="1"/>
  </cols>
  <sheetData>
    <row r="1" spans="1:10" s="172" customFormat="1" ht="12.75">
      <c r="A1" s="985" t="s">
        <v>1082</v>
      </c>
      <c r="B1" s="985"/>
      <c r="C1" s="985"/>
      <c r="D1" s="985"/>
      <c r="E1" s="985"/>
      <c r="F1" s="985"/>
      <c r="G1" s="985"/>
      <c r="H1" s="985"/>
      <c r="I1" s="985"/>
      <c r="J1" s="985"/>
    </row>
    <row r="2" spans="1:10" s="172" customFormat="1" ht="9.7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</row>
    <row r="3" spans="1:10" s="172" customFormat="1" ht="16.5">
      <c r="A3" s="986" t="s">
        <v>849</v>
      </c>
      <c r="B3" s="986"/>
      <c r="C3" s="986"/>
      <c r="D3" s="986"/>
      <c r="E3" s="986"/>
      <c r="F3" s="986"/>
      <c r="G3" s="986"/>
      <c r="H3" s="986"/>
      <c r="I3" s="986"/>
      <c r="J3" s="986"/>
    </row>
    <row r="4" spans="1:10" s="172" customFormat="1" ht="12.75">
      <c r="A4" s="173"/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8" customHeight="1">
      <c r="A5" s="987" t="s">
        <v>0</v>
      </c>
      <c r="B5" s="988"/>
      <c r="C5" s="988"/>
      <c r="D5" s="988"/>
      <c r="E5" s="989"/>
      <c r="F5" s="175" t="s">
        <v>86</v>
      </c>
      <c r="G5" s="175" t="s">
        <v>371</v>
      </c>
      <c r="H5" s="175" t="s">
        <v>732</v>
      </c>
      <c r="I5" s="175" t="s">
        <v>769</v>
      </c>
      <c r="J5" s="176" t="s">
        <v>365</v>
      </c>
    </row>
    <row r="6" spans="1:10" s="179" customFormat="1" ht="15">
      <c r="A6" s="177" t="s">
        <v>426</v>
      </c>
      <c r="B6" s="990" t="s">
        <v>427</v>
      </c>
      <c r="C6" s="991"/>
      <c r="D6" s="991"/>
      <c r="E6" s="992"/>
      <c r="F6" s="178" t="s">
        <v>428</v>
      </c>
      <c r="G6" s="178" t="s">
        <v>429</v>
      </c>
      <c r="H6" s="178" t="s">
        <v>430</v>
      </c>
      <c r="I6" s="178" t="s">
        <v>431</v>
      </c>
      <c r="J6" s="178" t="s">
        <v>433</v>
      </c>
    </row>
    <row r="7" spans="1:11" ht="14.25" customHeight="1">
      <c r="A7" s="180" t="s">
        <v>1</v>
      </c>
      <c r="B7" s="993" t="s">
        <v>344</v>
      </c>
      <c r="C7" s="993"/>
      <c r="D7" s="993"/>
      <c r="E7" s="993"/>
      <c r="F7" s="167">
        <f>34989435+3693375+12115695+1044000+609406+25000+27396716+80000+5400000+8650000+2543600+24650000+18342800+33000+1350000+1125000+23197320+11080125+6600+5000000+1344830+3459090+2500000+347826+45939</f>
        <v>189029757</v>
      </c>
      <c r="G7" s="167">
        <f>91562414+4740000+2452125+103400+1263600-340425+513114</f>
        <v>100294228</v>
      </c>
      <c r="H7" s="167">
        <f>169355757+3215520+639450-330000-1461600+2756937+1035000-976500+1125000-1245375+216700</f>
        <v>174330889</v>
      </c>
      <c r="I7" s="167">
        <f>2802000+11931088+1980314+1800000-775591+300000</f>
        <v>18037811</v>
      </c>
      <c r="J7" s="723">
        <f>SUM(F7:I7)</f>
        <v>481692685</v>
      </c>
      <c r="K7" s="609"/>
    </row>
    <row r="8" spans="1:11" ht="13.5" customHeight="1">
      <c r="A8" s="180" t="s">
        <v>3</v>
      </c>
      <c r="B8" s="993" t="s">
        <v>4</v>
      </c>
      <c r="C8" s="993"/>
      <c r="D8" s="993"/>
      <c r="E8" s="993"/>
      <c r="F8" s="167">
        <f>8083672+323170+1060123+164430+143206+3938+4793101+38963+927500+1409909+445130+4900455+3773040+5197+236250+196875+2029806+969525+1155+875000+208449+536159+387500+52174-45939</f>
        <v>31518788</v>
      </c>
      <c r="G8" s="167">
        <f>16696818+829500+429122+18095+221130-59575-513114</f>
        <v>17621976</v>
      </c>
      <c r="H8" s="167">
        <f>33361183+562716+111904-57750-255780+482464+181125-170887+196875-217940+37923</f>
        <v>34231833</v>
      </c>
      <c r="I8" s="167">
        <f>490350+2122958+964502+315000-377745+13166+367133</f>
        <v>3895364</v>
      </c>
      <c r="J8" s="723">
        <f aca="true" t="shared" si="0" ref="J8:J70">SUM(F8:I8)</f>
        <v>87267961</v>
      </c>
      <c r="K8" s="609"/>
    </row>
    <row r="9" spans="1:11" ht="12" customHeight="1">
      <c r="A9" s="180" t="s">
        <v>5</v>
      </c>
      <c r="B9" s="993" t="s">
        <v>6</v>
      </c>
      <c r="C9" s="993"/>
      <c r="D9" s="993"/>
      <c r="E9" s="993"/>
      <c r="F9" s="167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</f>
        <v>447600687</v>
      </c>
      <c r="G9" s="167">
        <v>26913440</v>
      </c>
      <c r="H9" s="167">
        <f>56130277-781083+2114762-47925</f>
        <v>57416031</v>
      </c>
      <c r="I9" s="167">
        <f>1082115+290700+14446890+7003586+3527681-317500+144779-2575544-800000-13166+2954117</f>
        <v>25743658</v>
      </c>
      <c r="J9" s="723">
        <f t="shared" si="0"/>
        <v>557673816</v>
      </c>
      <c r="K9" s="609"/>
    </row>
    <row r="10" spans="1:11" ht="12.75">
      <c r="A10" s="180" t="s">
        <v>8</v>
      </c>
      <c r="B10" s="993" t="s">
        <v>9</v>
      </c>
      <c r="C10" s="993"/>
      <c r="D10" s="993"/>
      <c r="E10" s="993"/>
      <c r="F10" s="167">
        <f>SUM(F11,F12,F15:F20)</f>
        <v>3804900</v>
      </c>
      <c r="G10" s="167">
        <f>SUM(G11,G12,G15:G20)</f>
        <v>0</v>
      </c>
      <c r="H10" s="167">
        <f>SUM(H11,H12,H15:H20)</f>
        <v>0</v>
      </c>
      <c r="I10" s="167">
        <f>SUM(I11,I12,I15:I20)</f>
        <v>0</v>
      </c>
      <c r="J10" s="723">
        <f t="shared" si="0"/>
        <v>3804900</v>
      </c>
      <c r="K10" s="609"/>
    </row>
    <row r="11" spans="1:11" ht="12.75">
      <c r="A11" s="163"/>
      <c r="B11" s="163" t="s">
        <v>10</v>
      </c>
      <c r="C11" s="976" t="s">
        <v>11</v>
      </c>
      <c r="D11" s="978"/>
      <c r="E11" s="977"/>
      <c r="F11" s="166">
        <v>0</v>
      </c>
      <c r="G11" s="166">
        <v>0</v>
      </c>
      <c r="H11" s="166">
        <v>0</v>
      </c>
      <c r="I11" s="166">
        <v>0</v>
      </c>
      <c r="J11" s="167">
        <f t="shared" si="0"/>
        <v>0</v>
      </c>
      <c r="K11" s="609"/>
    </row>
    <row r="12" spans="1:11" ht="12.75">
      <c r="A12" s="163"/>
      <c r="B12" s="163" t="s">
        <v>12</v>
      </c>
      <c r="C12" s="979" t="s">
        <v>13</v>
      </c>
      <c r="D12" s="979"/>
      <c r="E12" s="979"/>
      <c r="F12" s="166">
        <f>SUM(F13:F14)</f>
        <v>0</v>
      </c>
      <c r="G12" s="166">
        <f>SUM(G13:G14)</f>
        <v>0</v>
      </c>
      <c r="H12" s="166">
        <f>SUM(H13:H14)</f>
        <v>0</v>
      </c>
      <c r="I12" s="166">
        <f>SUM(I13:I14)</f>
        <v>0</v>
      </c>
      <c r="J12" s="167">
        <f t="shared" si="0"/>
        <v>0</v>
      </c>
      <c r="K12" s="609"/>
    </row>
    <row r="13" spans="1:11" ht="23.25" customHeight="1" hidden="1">
      <c r="A13" s="169"/>
      <c r="B13" s="163"/>
      <c r="C13" s="169"/>
      <c r="D13" s="974" t="s">
        <v>628</v>
      </c>
      <c r="E13" s="975"/>
      <c r="F13" s="170">
        <v>0</v>
      </c>
      <c r="G13" s="170"/>
      <c r="H13" s="170">
        <v>0</v>
      </c>
      <c r="I13" s="170">
        <v>0</v>
      </c>
      <c r="J13" s="181">
        <f t="shared" si="0"/>
        <v>0</v>
      </c>
      <c r="K13" s="609"/>
    </row>
    <row r="14" spans="1:11" ht="22.5" customHeight="1" hidden="1">
      <c r="A14" s="169"/>
      <c r="B14" s="163"/>
      <c r="C14" s="169"/>
      <c r="D14" s="994" t="s">
        <v>629</v>
      </c>
      <c r="E14" s="995"/>
      <c r="F14" s="170">
        <v>0</v>
      </c>
      <c r="G14" s="170">
        <v>0</v>
      </c>
      <c r="H14" s="170">
        <v>0</v>
      </c>
      <c r="I14" s="170">
        <v>0</v>
      </c>
      <c r="J14" s="181">
        <f t="shared" si="0"/>
        <v>0</v>
      </c>
      <c r="K14" s="609"/>
    </row>
    <row r="15" spans="1:11" ht="12.75">
      <c r="A15" s="163"/>
      <c r="B15" s="163" t="s">
        <v>126</v>
      </c>
      <c r="C15" s="979" t="s">
        <v>127</v>
      </c>
      <c r="D15" s="979"/>
      <c r="E15" s="979"/>
      <c r="F15" s="166">
        <v>0</v>
      </c>
      <c r="G15" s="166">
        <v>0</v>
      </c>
      <c r="H15" s="166">
        <v>0</v>
      </c>
      <c r="I15" s="166">
        <v>0</v>
      </c>
      <c r="J15" s="181">
        <f t="shared" si="0"/>
        <v>0</v>
      </c>
      <c r="K15" s="609"/>
    </row>
    <row r="16" spans="1:11" ht="12" customHeight="1">
      <c r="A16" s="163"/>
      <c r="B16" s="163" t="s">
        <v>128</v>
      </c>
      <c r="C16" s="976" t="s">
        <v>129</v>
      </c>
      <c r="D16" s="978"/>
      <c r="E16" s="977"/>
      <c r="F16" s="166">
        <f aca="true" t="shared" si="1" ref="F16:I17">SUM(F17:F18)</f>
        <v>0</v>
      </c>
      <c r="G16" s="166">
        <f t="shared" si="1"/>
        <v>0</v>
      </c>
      <c r="H16" s="166">
        <f t="shared" si="1"/>
        <v>0</v>
      </c>
      <c r="I16" s="166">
        <f t="shared" si="1"/>
        <v>0</v>
      </c>
      <c r="J16" s="181">
        <f t="shared" si="0"/>
        <v>0</v>
      </c>
      <c r="K16" s="609"/>
    </row>
    <row r="17" spans="1:11" ht="13.5" customHeight="1">
      <c r="A17" s="169"/>
      <c r="B17" s="163" t="s">
        <v>130</v>
      </c>
      <c r="C17" s="163" t="s">
        <v>131</v>
      </c>
      <c r="D17" s="164"/>
      <c r="E17" s="165"/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  <c r="J17" s="181">
        <f t="shared" si="0"/>
        <v>0</v>
      </c>
      <c r="K17" s="609"/>
    </row>
    <row r="18" spans="1:11" ht="12.75">
      <c r="A18" s="163"/>
      <c r="B18" s="163" t="s">
        <v>132</v>
      </c>
      <c r="C18" s="976" t="s">
        <v>133</v>
      </c>
      <c r="D18" s="978"/>
      <c r="E18" s="977"/>
      <c r="F18" s="166">
        <f>SUM(F19)</f>
        <v>0</v>
      </c>
      <c r="G18" s="166">
        <f>SUM(G19)</f>
        <v>0</v>
      </c>
      <c r="H18" s="166">
        <f>SUM(H19)</f>
        <v>0</v>
      </c>
      <c r="I18" s="166">
        <f>SUM(I19)</f>
        <v>0</v>
      </c>
      <c r="J18" s="181">
        <f t="shared" si="0"/>
        <v>0</v>
      </c>
      <c r="K18" s="609"/>
    </row>
    <row r="19" spans="1:11" ht="12.75">
      <c r="A19" s="163"/>
      <c r="B19" s="163" t="s">
        <v>134</v>
      </c>
      <c r="C19" s="979" t="s">
        <v>14</v>
      </c>
      <c r="D19" s="979"/>
      <c r="E19" s="979"/>
      <c r="F19" s="166">
        <v>0</v>
      </c>
      <c r="G19" s="166">
        <v>0</v>
      </c>
      <c r="H19" s="166">
        <v>0</v>
      </c>
      <c r="I19" s="166">
        <v>0</v>
      </c>
      <c r="J19" s="181">
        <f t="shared" si="0"/>
        <v>0</v>
      </c>
      <c r="K19" s="609"/>
    </row>
    <row r="20" spans="1:11" ht="12.75">
      <c r="A20" s="163"/>
      <c r="B20" s="163" t="s">
        <v>135</v>
      </c>
      <c r="C20" s="976" t="s">
        <v>136</v>
      </c>
      <c r="D20" s="978"/>
      <c r="E20" s="977"/>
      <c r="F20" s="166">
        <f>SUM(F21:F22)</f>
        <v>3804900</v>
      </c>
      <c r="G20" s="166">
        <f>SUM(G21:G22)</f>
        <v>0</v>
      </c>
      <c r="H20" s="166">
        <f>SUM(H21:H22)</f>
        <v>0</v>
      </c>
      <c r="I20" s="166">
        <f>SUM(I21:I22)</f>
        <v>0</v>
      </c>
      <c r="J20" s="181">
        <f t="shared" si="0"/>
        <v>3804900</v>
      </c>
      <c r="K20" s="609"/>
    </row>
    <row r="21" spans="1:11" ht="12.75">
      <c r="A21" s="169"/>
      <c r="B21" s="169"/>
      <c r="C21" s="169"/>
      <c r="D21" s="976" t="s">
        <v>589</v>
      </c>
      <c r="E21" s="977"/>
      <c r="F21" s="170">
        <v>1500000</v>
      </c>
      <c r="G21" s="170">
        <v>0</v>
      </c>
      <c r="H21" s="170">
        <v>0</v>
      </c>
      <c r="I21" s="170">
        <v>0</v>
      </c>
      <c r="J21" s="181">
        <f t="shared" si="0"/>
        <v>1500000</v>
      </c>
      <c r="K21" s="609"/>
    </row>
    <row r="22" spans="1:11" s="171" customFormat="1" ht="12.75">
      <c r="A22" s="169"/>
      <c r="B22" s="169"/>
      <c r="C22" s="169"/>
      <c r="D22" s="976" t="s">
        <v>588</v>
      </c>
      <c r="E22" s="977"/>
      <c r="F22" s="170">
        <v>2304900</v>
      </c>
      <c r="G22" s="170">
        <v>0</v>
      </c>
      <c r="H22" s="170">
        <v>0</v>
      </c>
      <c r="I22" s="170">
        <v>0</v>
      </c>
      <c r="J22" s="181">
        <f t="shared" si="0"/>
        <v>2304900</v>
      </c>
      <c r="K22" s="609"/>
    </row>
    <row r="23" spans="1:11" ht="12" customHeight="1">
      <c r="A23" s="180" t="s">
        <v>137</v>
      </c>
      <c r="B23" s="980" t="s">
        <v>138</v>
      </c>
      <c r="C23" s="981"/>
      <c r="D23" s="981"/>
      <c r="E23" s="982"/>
      <c r="F23" s="167">
        <f>SUM(F57+F46+F45+F43+F42+F41+F40+F29+F28+F27+F26+F24+F25)</f>
        <v>140449585</v>
      </c>
      <c r="G23" s="167">
        <f>SUM(G57+G46+G43+G42+G41+G40+G29+G28+G27+G26+G24+G25)</f>
        <v>0</v>
      </c>
      <c r="H23" s="167">
        <f>SUM(H57+H46+H43+H42+H41+H40+H29+H28+H27+H26+H24+H25)</f>
        <v>0</v>
      </c>
      <c r="I23" s="167">
        <f>SUM(I57+I46+I43+I42+I41+I40+I29+I28+I27+I26+I24+I25)</f>
        <v>0</v>
      </c>
      <c r="J23" s="723">
        <f t="shared" si="0"/>
        <v>140449585</v>
      </c>
      <c r="K23" s="609"/>
    </row>
    <row r="24" spans="1:11" ht="6" customHeight="1" hidden="1">
      <c r="A24" s="169"/>
      <c r="B24" s="169"/>
      <c r="C24" s="169" t="s">
        <v>139</v>
      </c>
      <c r="D24" s="169" t="s">
        <v>140</v>
      </c>
      <c r="E24" s="169"/>
      <c r="F24" s="170">
        <v>0</v>
      </c>
      <c r="G24" s="170">
        <v>0</v>
      </c>
      <c r="H24" s="170">
        <v>0</v>
      </c>
      <c r="I24" s="170">
        <v>0</v>
      </c>
      <c r="J24" s="181">
        <f t="shared" si="0"/>
        <v>0</v>
      </c>
      <c r="K24" s="610"/>
    </row>
    <row r="25" spans="1:11" ht="15" customHeight="1">
      <c r="A25" s="169"/>
      <c r="B25" s="169"/>
      <c r="C25" s="169" t="s">
        <v>141</v>
      </c>
      <c r="D25" s="169" t="s">
        <v>142</v>
      </c>
      <c r="E25" s="169"/>
      <c r="F25" s="170">
        <v>0</v>
      </c>
      <c r="G25" s="170">
        <v>0</v>
      </c>
      <c r="H25" s="170">
        <v>0</v>
      </c>
      <c r="I25" s="170">
        <v>0</v>
      </c>
      <c r="J25" s="181">
        <f t="shared" si="0"/>
        <v>0</v>
      </c>
      <c r="K25" s="610"/>
    </row>
    <row r="26" spans="1:11" ht="12.75" hidden="1">
      <c r="A26" s="169"/>
      <c r="B26" s="169"/>
      <c r="C26" s="169" t="s">
        <v>143</v>
      </c>
      <c r="D26" s="983" t="s">
        <v>144</v>
      </c>
      <c r="E26" s="984"/>
      <c r="F26" s="170">
        <v>0</v>
      </c>
      <c r="G26" s="170">
        <v>0</v>
      </c>
      <c r="H26" s="170">
        <v>0</v>
      </c>
      <c r="I26" s="170">
        <v>0</v>
      </c>
      <c r="J26" s="181">
        <f t="shared" si="0"/>
        <v>0</v>
      </c>
      <c r="K26" s="610"/>
    </row>
    <row r="27" spans="1:11" ht="12.75" hidden="1">
      <c r="A27" s="169"/>
      <c r="B27" s="169"/>
      <c r="C27" s="169" t="s">
        <v>145</v>
      </c>
      <c r="D27" s="983" t="s">
        <v>146</v>
      </c>
      <c r="E27" s="984"/>
      <c r="F27" s="170">
        <v>0</v>
      </c>
      <c r="G27" s="170">
        <v>0</v>
      </c>
      <c r="H27" s="170">
        <v>0</v>
      </c>
      <c r="I27" s="170">
        <v>0</v>
      </c>
      <c r="J27" s="181">
        <f t="shared" si="0"/>
        <v>0</v>
      </c>
      <c r="K27" s="610"/>
    </row>
    <row r="28" spans="1:11" ht="12.75" hidden="1">
      <c r="A28" s="169"/>
      <c r="B28" s="169"/>
      <c r="C28" s="169" t="s">
        <v>167</v>
      </c>
      <c r="D28" s="983" t="s">
        <v>168</v>
      </c>
      <c r="E28" s="984"/>
      <c r="F28" s="170">
        <v>0</v>
      </c>
      <c r="G28" s="170">
        <v>0</v>
      </c>
      <c r="H28" s="170">
        <v>0</v>
      </c>
      <c r="I28" s="170">
        <v>0</v>
      </c>
      <c r="J28" s="181">
        <f t="shared" si="0"/>
        <v>0</v>
      </c>
      <c r="K28" s="610"/>
    </row>
    <row r="29" spans="1:11" ht="12.75" hidden="1">
      <c r="A29" s="169"/>
      <c r="B29" s="169"/>
      <c r="C29" s="169" t="s">
        <v>169</v>
      </c>
      <c r="D29" s="983" t="s">
        <v>170</v>
      </c>
      <c r="E29" s="984"/>
      <c r="F29" s="170">
        <f>SUM(F30:F39)</f>
        <v>0</v>
      </c>
      <c r="G29" s="170">
        <f>SUM(G30:G39)</f>
        <v>0</v>
      </c>
      <c r="H29" s="170">
        <f>SUM(H30:H39)</f>
        <v>0</v>
      </c>
      <c r="I29" s="170">
        <f>SUM(I30:I39)</f>
        <v>0</v>
      </c>
      <c r="J29" s="181">
        <f t="shared" si="0"/>
        <v>0</v>
      </c>
      <c r="K29" s="610"/>
    </row>
    <row r="30" spans="1:11" ht="12.75" hidden="1">
      <c r="A30" s="182"/>
      <c r="B30" s="182"/>
      <c r="C30" s="183" t="s">
        <v>2</v>
      </c>
      <c r="D30" s="183" t="s">
        <v>147</v>
      </c>
      <c r="E30" s="183" t="s">
        <v>148</v>
      </c>
      <c r="F30" s="184">
        <v>0</v>
      </c>
      <c r="G30" s="184">
        <v>0</v>
      </c>
      <c r="H30" s="184">
        <v>0</v>
      </c>
      <c r="I30" s="184">
        <v>0</v>
      </c>
      <c r="J30" s="181">
        <f t="shared" si="0"/>
        <v>0</v>
      </c>
      <c r="K30" s="610"/>
    </row>
    <row r="31" spans="1:11" ht="12.75" hidden="1">
      <c r="A31" s="182"/>
      <c r="B31" s="182"/>
      <c r="C31" s="183"/>
      <c r="D31" s="183" t="s">
        <v>149</v>
      </c>
      <c r="E31" s="183" t="s">
        <v>150</v>
      </c>
      <c r="F31" s="184">
        <v>0</v>
      </c>
      <c r="G31" s="184">
        <v>0</v>
      </c>
      <c r="H31" s="184">
        <v>0</v>
      </c>
      <c r="I31" s="184">
        <v>0</v>
      </c>
      <c r="J31" s="181">
        <f t="shared" si="0"/>
        <v>0</v>
      </c>
      <c r="K31" s="610"/>
    </row>
    <row r="32" spans="1:11" ht="12.75" hidden="1">
      <c r="A32" s="182"/>
      <c r="B32" s="182"/>
      <c r="C32" s="183"/>
      <c r="D32" s="183" t="s">
        <v>151</v>
      </c>
      <c r="E32" s="183" t="s">
        <v>152</v>
      </c>
      <c r="F32" s="184">
        <v>0</v>
      </c>
      <c r="G32" s="184">
        <v>0</v>
      </c>
      <c r="H32" s="184">
        <v>0</v>
      </c>
      <c r="I32" s="184">
        <v>0</v>
      </c>
      <c r="J32" s="181">
        <f t="shared" si="0"/>
        <v>0</v>
      </c>
      <c r="K32" s="610"/>
    </row>
    <row r="33" spans="1:11" ht="12.75" hidden="1">
      <c r="A33" s="182"/>
      <c r="B33" s="182"/>
      <c r="C33" s="183"/>
      <c r="D33" s="183" t="s">
        <v>153</v>
      </c>
      <c r="E33" s="183" t="s">
        <v>154</v>
      </c>
      <c r="F33" s="184">
        <v>0</v>
      </c>
      <c r="G33" s="184">
        <v>0</v>
      </c>
      <c r="H33" s="184">
        <v>0</v>
      </c>
      <c r="I33" s="184">
        <v>0</v>
      </c>
      <c r="J33" s="181">
        <f t="shared" si="0"/>
        <v>0</v>
      </c>
      <c r="K33" s="610"/>
    </row>
    <row r="34" spans="1:11" ht="12.75" hidden="1">
      <c r="A34" s="182"/>
      <c r="B34" s="182"/>
      <c r="C34" s="183"/>
      <c r="D34" s="183" t="s">
        <v>155</v>
      </c>
      <c r="E34" s="183" t="s">
        <v>156</v>
      </c>
      <c r="F34" s="184">
        <v>0</v>
      </c>
      <c r="G34" s="184">
        <v>0</v>
      </c>
      <c r="H34" s="184">
        <v>0</v>
      </c>
      <c r="I34" s="184">
        <v>0</v>
      </c>
      <c r="J34" s="181">
        <f t="shared" si="0"/>
        <v>0</v>
      </c>
      <c r="K34" s="610"/>
    </row>
    <row r="35" spans="1:11" ht="12.75" hidden="1">
      <c r="A35" s="182"/>
      <c r="B35" s="182"/>
      <c r="C35" s="183"/>
      <c r="D35" s="183" t="s">
        <v>157</v>
      </c>
      <c r="E35" s="183" t="s">
        <v>158</v>
      </c>
      <c r="F35" s="184">
        <v>0</v>
      </c>
      <c r="G35" s="184">
        <v>0</v>
      </c>
      <c r="H35" s="184">
        <v>0</v>
      </c>
      <c r="I35" s="184">
        <v>0</v>
      </c>
      <c r="J35" s="181">
        <f t="shared" si="0"/>
        <v>0</v>
      </c>
      <c r="K35" s="610"/>
    </row>
    <row r="36" spans="1:11" ht="0.75" customHeight="1" hidden="1">
      <c r="A36" s="182"/>
      <c r="B36" s="182"/>
      <c r="C36" s="183"/>
      <c r="D36" s="183" t="s">
        <v>159</v>
      </c>
      <c r="E36" s="183" t="s">
        <v>160</v>
      </c>
      <c r="F36" s="184">
        <v>0</v>
      </c>
      <c r="G36" s="184">
        <v>0</v>
      </c>
      <c r="H36" s="184">
        <v>0</v>
      </c>
      <c r="I36" s="184">
        <v>0</v>
      </c>
      <c r="J36" s="181">
        <f t="shared" si="0"/>
        <v>0</v>
      </c>
      <c r="K36" s="610"/>
    </row>
    <row r="37" spans="1:11" ht="12.75" hidden="1">
      <c r="A37" s="182"/>
      <c r="B37" s="182"/>
      <c r="C37" s="183"/>
      <c r="D37" s="183" t="s">
        <v>161</v>
      </c>
      <c r="E37" s="183" t="s">
        <v>162</v>
      </c>
      <c r="F37" s="184">
        <v>0</v>
      </c>
      <c r="G37" s="184">
        <v>0</v>
      </c>
      <c r="H37" s="184">
        <v>0</v>
      </c>
      <c r="I37" s="184">
        <v>0</v>
      </c>
      <c r="J37" s="181">
        <f t="shared" si="0"/>
        <v>0</v>
      </c>
      <c r="K37" s="610"/>
    </row>
    <row r="38" spans="1:11" ht="12.75" hidden="1">
      <c r="A38" s="182"/>
      <c r="B38" s="182"/>
      <c r="C38" s="183"/>
      <c r="D38" s="183" t="s">
        <v>163</v>
      </c>
      <c r="E38" s="183" t="s">
        <v>164</v>
      </c>
      <c r="F38" s="184">
        <v>0</v>
      </c>
      <c r="G38" s="184">
        <v>0</v>
      </c>
      <c r="H38" s="184">
        <v>0</v>
      </c>
      <c r="I38" s="184">
        <v>0</v>
      </c>
      <c r="J38" s="181">
        <f t="shared" si="0"/>
        <v>0</v>
      </c>
      <c r="K38" s="610"/>
    </row>
    <row r="39" spans="1:11" ht="12.75" hidden="1">
      <c r="A39" s="182"/>
      <c r="B39" s="182"/>
      <c r="C39" s="183"/>
      <c r="D39" s="183" t="s">
        <v>165</v>
      </c>
      <c r="E39" s="183" t="s">
        <v>166</v>
      </c>
      <c r="F39" s="184">
        <v>0</v>
      </c>
      <c r="G39" s="184">
        <v>0</v>
      </c>
      <c r="H39" s="184">
        <v>0</v>
      </c>
      <c r="I39" s="184">
        <v>0</v>
      </c>
      <c r="J39" s="181">
        <f t="shared" si="0"/>
        <v>0</v>
      </c>
      <c r="K39" s="610"/>
    </row>
    <row r="40" spans="1:11" ht="12.75" hidden="1">
      <c r="A40" s="169"/>
      <c r="B40" s="169"/>
      <c r="C40" s="169" t="s">
        <v>171</v>
      </c>
      <c r="D40" s="983" t="s">
        <v>172</v>
      </c>
      <c r="E40" s="984"/>
      <c r="F40" s="170">
        <v>0</v>
      </c>
      <c r="G40" s="170">
        <v>0</v>
      </c>
      <c r="H40" s="170">
        <v>0</v>
      </c>
      <c r="I40" s="170">
        <v>0</v>
      </c>
      <c r="J40" s="181">
        <f t="shared" si="0"/>
        <v>0</v>
      </c>
      <c r="K40" s="610"/>
    </row>
    <row r="41" spans="1:11" ht="12.75" hidden="1">
      <c r="A41" s="169"/>
      <c r="B41" s="169"/>
      <c r="C41" s="169" t="s">
        <v>173</v>
      </c>
      <c r="D41" s="983" t="s">
        <v>520</v>
      </c>
      <c r="E41" s="984"/>
      <c r="F41" s="170">
        <v>0</v>
      </c>
      <c r="G41" s="170">
        <v>0</v>
      </c>
      <c r="H41" s="170">
        <v>0</v>
      </c>
      <c r="I41" s="170">
        <v>0</v>
      </c>
      <c r="J41" s="181">
        <f t="shared" si="0"/>
        <v>0</v>
      </c>
      <c r="K41" s="610"/>
    </row>
    <row r="42" spans="1:11" ht="12.75" hidden="1">
      <c r="A42" s="169"/>
      <c r="B42" s="169"/>
      <c r="C42" s="169" t="s">
        <v>184</v>
      </c>
      <c r="D42" s="983" t="s">
        <v>185</v>
      </c>
      <c r="E42" s="984"/>
      <c r="F42" s="170">
        <v>0</v>
      </c>
      <c r="G42" s="170">
        <v>0</v>
      </c>
      <c r="H42" s="170">
        <v>0</v>
      </c>
      <c r="I42" s="170">
        <v>0</v>
      </c>
      <c r="J42" s="181">
        <f t="shared" si="0"/>
        <v>0</v>
      </c>
      <c r="K42" s="610"/>
    </row>
    <row r="43" spans="1:11" ht="12.75" hidden="1">
      <c r="A43" s="169"/>
      <c r="B43" s="169"/>
      <c r="C43" s="169" t="s">
        <v>186</v>
      </c>
      <c r="D43" s="983" t="s">
        <v>187</v>
      </c>
      <c r="E43" s="984"/>
      <c r="F43" s="170">
        <v>0</v>
      </c>
      <c r="G43" s="170">
        <v>0</v>
      </c>
      <c r="H43" s="170">
        <v>0</v>
      </c>
      <c r="I43" s="170">
        <v>0</v>
      </c>
      <c r="J43" s="181">
        <f t="shared" si="0"/>
        <v>0</v>
      </c>
      <c r="K43" s="610"/>
    </row>
    <row r="44" spans="1:11" ht="12.75" hidden="1">
      <c r="A44" s="169"/>
      <c r="B44" s="169"/>
      <c r="C44" s="169" t="s">
        <v>188</v>
      </c>
      <c r="D44" s="983" t="s">
        <v>561</v>
      </c>
      <c r="E44" s="984"/>
      <c r="F44" s="170">
        <v>0</v>
      </c>
      <c r="G44" s="170">
        <v>0</v>
      </c>
      <c r="H44" s="170">
        <v>0</v>
      </c>
      <c r="I44" s="170">
        <v>0</v>
      </c>
      <c r="J44" s="181">
        <f t="shared" si="0"/>
        <v>0</v>
      </c>
      <c r="K44" s="610"/>
    </row>
    <row r="45" spans="1:11" ht="12.75">
      <c r="A45" s="169"/>
      <c r="B45" s="169"/>
      <c r="C45" s="169" t="s">
        <v>169</v>
      </c>
      <c r="D45" s="974" t="s">
        <v>785</v>
      </c>
      <c r="E45" s="975"/>
      <c r="F45" s="170">
        <f>100000+15000</f>
        <v>115000</v>
      </c>
      <c r="G45" s="170">
        <v>0</v>
      </c>
      <c r="H45" s="170">
        <v>0</v>
      </c>
      <c r="I45" s="170">
        <v>0</v>
      </c>
      <c r="J45" s="181">
        <f t="shared" si="0"/>
        <v>115000</v>
      </c>
      <c r="K45" s="610"/>
    </row>
    <row r="46" spans="1:11" ht="12.75">
      <c r="A46" s="169"/>
      <c r="B46" s="169"/>
      <c r="C46" s="169" t="s">
        <v>190</v>
      </c>
      <c r="D46" s="974" t="s">
        <v>189</v>
      </c>
      <c r="E46" s="975"/>
      <c r="F46" s="170">
        <f>22297000+42084000+12311385+32277000+14018000+16949000+10000000+2032000+2286000-70000-4779000-1444000-6364000-3280000+2626200-1016000-1143000</f>
        <v>138784585</v>
      </c>
      <c r="G46" s="170">
        <f>SUM(G47:G56)</f>
        <v>0</v>
      </c>
      <c r="H46" s="170">
        <f>SUM(H47:H56)</f>
        <v>0</v>
      </c>
      <c r="I46" s="170">
        <f>SUM(I47:I56)</f>
        <v>0</v>
      </c>
      <c r="J46" s="181">
        <f t="shared" si="0"/>
        <v>138784585</v>
      </c>
      <c r="K46" s="610"/>
    </row>
    <row r="47" spans="1:11" ht="12.75" hidden="1">
      <c r="A47" s="185"/>
      <c r="B47" s="185"/>
      <c r="C47" s="183" t="s">
        <v>2</v>
      </c>
      <c r="D47" s="233" t="s">
        <v>147</v>
      </c>
      <c r="E47" s="233" t="s">
        <v>174</v>
      </c>
      <c r="F47" s="184">
        <v>0</v>
      </c>
      <c r="G47" s="184">
        <v>0</v>
      </c>
      <c r="H47" s="184">
        <v>0</v>
      </c>
      <c r="I47" s="184">
        <v>0</v>
      </c>
      <c r="J47" s="181">
        <f t="shared" si="0"/>
        <v>0</v>
      </c>
      <c r="K47" s="610"/>
    </row>
    <row r="48" spans="1:11" ht="12.75" hidden="1">
      <c r="A48" s="185"/>
      <c r="B48" s="185"/>
      <c r="C48" s="183"/>
      <c r="D48" s="233" t="s">
        <v>149</v>
      </c>
      <c r="E48" s="233" t="s">
        <v>558</v>
      </c>
      <c r="F48" s="184">
        <v>0</v>
      </c>
      <c r="G48" s="184"/>
      <c r="H48" s="184"/>
      <c r="I48" s="184"/>
      <c r="J48" s="181">
        <f t="shared" si="0"/>
        <v>0</v>
      </c>
      <c r="K48" s="610"/>
    </row>
    <row r="49" spans="1:11" ht="12.75" hidden="1">
      <c r="A49" s="185"/>
      <c r="B49" s="185"/>
      <c r="C49" s="183"/>
      <c r="D49" s="233" t="s">
        <v>151</v>
      </c>
      <c r="E49" s="233" t="s">
        <v>175</v>
      </c>
      <c r="F49" s="184">
        <f>100000</f>
        <v>100000</v>
      </c>
      <c r="G49" s="184">
        <v>0</v>
      </c>
      <c r="H49" s="184">
        <v>0</v>
      </c>
      <c r="I49" s="184">
        <v>0</v>
      </c>
      <c r="J49" s="181">
        <f t="shared" si="0"/>
        <v>100000</v>
      </c>
      <c r="K49" s="610"/>
    </row>
    <row r="50" spans="1:11" ht="12.75" hidden="1">
      <c r="A50" s="185"/>
      <c r="B50" s="185"/>
      <c r="C50" s="183"/>
      <c r="D50" s="233" t="s">
        <v>153</v>
      </c>
      <c r="E50" s="233" t="s">
        <v>176</v>
      </c>
      <c r="F50" s="184">
        <v>0</v>
      </c>
      <c r="G50" s="184">
        <v>0</v>
      </c>
      <c r="H50" s="184">
        <v>0</v>
      </c>
      <c r="I50" s="184">
        <v>0</v>
      </c>
      <c r="J50" s="181">
        <f t="shared" si="0"/>
        <v>0</v>
      </c>
      <c r="K50" s="610"/>
    </row>
    <row r="51" spans="1:11" ht="12.75" hidden="1">
      <c r="A51" s="185"/>
      <c r="B51" s="185"/>
      <c r="C51" s="183"/>
      <c r="D51" s="233" t="s">
        <v>155</v>
      </c>
      <c r="E51" s="233" t="s">
        <v>177</v>
      </c>
      <c r="F51" s="184">
        <v>0</v>
      </c>
      <c r="G51" s="184">
        <v>0</v>
      </c>
      <c r="H51" s="184">
        <v>0</v>
      </c>
      <c r="I51" s="184">
        <v>0</v>
      </c>
      <c r="J51" s="181">
        <f t="shared" si="0"/>
        <v>0</v>
      </c>
      <c r="K51" s="610"/>
    </row>
    <row r="52" spans="1:11" ht="12.75" hidden="1">
      <c r="A52" s="185"/>
      <c r="B52" s="185"/>
      <c r="C52" s="183"/>
      <c r="D52" s="233" t="s">
        <v>157</v>
      </c>
      <c r="E52" s="233" t="s">
        <v>178</v>
      </c>
      <c r="F52" s="184">
        <v>0</v>
      </c>
      <c r="G52" s="184">
        <v>0</v>
      </c>
      <c r="H52" s="184">
        <v>0</v>
      </c>
      <c r="I52" s="184">
        <v>0</v>
      </c>
      <c r="J52" s="181">
        <f t="shared" si="0"/>
        <v>0</v>
      </c>
      <c r="K52" s="610"/>
    </row>
    <row r="53" spans="1:11" ht="12.75" hidden="1">
      <c r="A53" s="182"/>
      <c r="B53" s="182"/>
      <c r="C53" s="183"/>
      <c r="D53" s="233" t="s">
        <v>159</v>
      </c>
      <c r="E53" s="233" t="s">
        <v>179</v>
      </c>
      <c r="F53" s="184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84">
        <v>0</v>
      </c>
      <c r="H53" s="184">
        <v>0</v>
      </c>
      <c r="I53" s="184">
        <v>0</v>
      </c>
      <c r="J53" s="181">
        <f t="shared" si="0"/>
        <v>208924042</v>
      </c>
      <c r="K53" s="610"/>
    </row>
    <row r="54" spans="1:11" ht="12.75" hidden="1">
      <c r="A54" s="182"/>
      <c r="B54" s="182"/>
      <c r="C54" s="183"/>
      <c r="D54" s="233" t="s">
        <v>161</v>
      </c>
      <c r="E54" s="233" t="s">
        <v>180</v>
      </c>
      <c r="F54" s="184">
        <f>3224350+35026110</f>
        <v>38250460</v>
      </c>
      <c r="G54" s="184">
        <v>0</v>
      </c>
      <c r="H54" s="184">
        <v>0</v>
      </c>
      <c r="I54" s="184">
        <v>0</v>
      </c>
      <c r="J54" s="181">
        <f t="shared" si="0"/>
        <v>38250460</v>
      </c>
      <c r="K54" s="610"/>
    </row>
    <row r="55" spans="1:11" ht="12.75" hidden="1">
      <c r="A55" s="185"/>
      <c r="B55" s="185"/>
      <c r="C55" s="183"/>
      <c r="D55" s="233" t="s">
        <v>163</v>
      </c>
      <c r="E55" s="233" t="s">
        <v>182</v>
      </c>
      <c r="F55" s="184">
        <v>0</v>
      </c>
      <c r="G55" s="184">
        <v>0</v>
      </c>
      <c r="H55" s="184">
        <v>0</v>
      </c>
      <c r="I55" s="184">
        <v>0</v>
      </c>
      <c r="J55" s="181">
        <f t="shared" si="0"/>
        <v>0</v>
      </c>
      <c r="K55" s="610"/>
    </row>
    <row r="56" spans="1:11" ht="12.75" hidden="1">
      <c r="A56" s="185"/>
      <c r="B56" s="185"/>
      <c r="C56" s="183"/>
      <c r="D56" s="233" t="s">
        <v>165</v>
      </c>
      <c r="E56" s="233" t="s">
        <v>183</v>
      </c>
      <c r="F56" s="184">
        <v>0</v>
      </c>
      <c r="G56" s="184">
        <v>0</v>
      </c>
      <c r="H56" s="184">
        <v>0</v>
      </c>
      <c r="I56" s="184">
        <v>0</v>
      </c>
      <c r="J56" s="181">
        <f t="shared" si="0"/>
        <v>0</v>
      </c>
      <c r="K56" s="610"/>
    </row>
    <row r="57" spans="1:11" ht="12.75">
      <c r="A57" s="185"/>
      <c r="B57" s="185"/>
      <c r="C57" s="169" t="s">
        <v>562</v>
      </c>
      <c r="D57" s="974" t="s">
        <v>191</v>
      </c>
      <c r="E57" s="975"/>
      <c r="F57" s="170">
        <f>SUM(F58:F61)</f>
        <v>1550000</v>
      </c>
      <c r="G57" s="170">
        <f>SUM(G58:G61)</f>
        <v>0</v>
      </c>
      <c r="H57" s="170">
        <f>SUM(H58:H61)</f>
        <v>0</v>
      </c>
      <c r="I57" s="170">
        <f>SUM(I58:I61)</f>
        <v>0</v>
      </c>
      <c r="J57" s="181">
        <f t="shared" si="0"/>
        <v>1550000</v>
      </c>
      <c r="K57" s="610"/>
    </row>
    <row r="58" spans="1:11" ht="12.75">
      <c r="A58" s="182"/>
      <c r="B58" s="182"/>
      <c r="C58" s="186" t="s">
        <v>2</v>
      </c>
      <c r="D58" s="187"/>
      <c r="E58" s="188" t="s">
        <v>425</v>
      </c>
      <c r="F58" s="184">
        <f>1000000-1000000</f>
        <v>0</v>
      </c>
      <c r="G58" s="184">
        <v>0</v>
      </c>
      <c r="H58" s="184">
        <v>0</v>
      </c>
      <c r="I58" s="184">
        <v>0</v>
      </c>
      <c r="J58" s="181">
        <f t="shared" si="0"/>
        <v>0</v>
      </c>
      <c r="K58" s="610"/>
    </row>
    <row r="59" spans="1:11" ht="12.75">
      <c r="A59" s="182"/>
      <c r="B59" s="182"/>
      <c r="C59" s="183"/>
      <c r="D59" s="187"/>
      <c r="E59" s="188" t="s">
        <v>457</v>
      </c>
      <c r="F59" s="184">
        <v>1000000</v>
      </c>
      <c r="G59" s="184">
        <v>0</v>
      </c>
      <c r="H59" s="184">
        <v>0</v>
      </c>
      <c r="I59" s="184">
        <v>0</v>
      </c>
      <c r="J59" s="181">
        <f t="shared" si="0"/>
        <v>1000000</v>
      </c>
      <c r="K59" s="610"/>
    </row>
    <row r="60" spans="1:11" ht="12.75">
      <c r="A60" s="182"/>
      <c r="B60" s="182"/>
      <c r="C60" s="183"/>
      <c r="D60" s="187"/>
      <c r="E60" s="188" t="s">
        <v>671</v>
      </c>
      <c r="F60" s="184">
        <v>350000</v>
      </c>
      <c r="G60" s="184">
        <v>0</v>
      </c>
      <c r="H60" s="184">
        <v>0</v>
      </c>
      <c r="I60" s="184">
        <v>0</v>
      </c>
      <c r="J60" s="181">
        <f t="shared" si="0"/>
        <v>350000</v>
      </c>
      <c r="K60" s="610"/>
    </row>
    <row r="61" spans="1:11" ht="22.5">
      <c r="A61" s="182"/>
      <c r="B61" s="182"/>
      <c r="C61" s="183"/>
      <c r="D61" s="187"/>
      <c r="E61" s="608" t="s">
        <v>845</v>
      </c>
      <c r="F61" s="747">
        <v>200000</v>
      </c>
      <c r="G61" s="747">
        <v>0</v>
      </c>
      <c r="H61" s="747">
        <v>0</v>
      </c>
      <c r="I61" s="747">
        <v>0</v>
      </c>
      <c r="J61" s="748">
        <f t="shared" si="0"/>
        <v>200000</v>
      </c>
      <c r="K61" s="610"/>
    </row>
    <row r="62" spans="1:11" ht="12" customHeight="1">
      <c r="A62" s="180" t="s">
        <v>119</v>
      </c>
      <c r="B62" s="980" t="s">
        <v>367</v>
      </c>
      <c r="C62" s="981"/>
      <c r="D62" s="981"/>
      <c r="E62" s="982"/>
      <c r="F62" s="167">
        <f>452341169+25000000+363120+101682090+187978206+1940000+973100+19510500+3348220+190500+730250+74930+2460790-20000000-1730500+1000000+74295+190500-17780000+400000+100000+6000000+4790554-3817843-13005804+560000+250000</f>
        <v>753624077</v>
      </c>
      <c r="G62" s="167">
        <v>1934590</v>
      </c>
      <c r="H62" s="167">
        <f>1174115+47925</f>
        <v>1222040</v>
      </c>
      <c r="I62" s="167">
        <f>304800-177800+800000+700000</f>
        <v>1627000</v>
      </c>
      <c r="J62" s="723">
        <f t="shared" si="0"/>
        <v>758407707</v>
      </c>
      <c r="K62" s="609"/>
    </row>
    <row r="63" spans="1:11" ht="12.75">
      <c r="A63" s="180" t="s">
        <v>121</v>
      </c>
      <c r="B63" s="980" t="s">
        <v>120</v>
      </c>
      <c r="C63" s="981"/>
      <c r="D63" s="981"/>
      <c r="E63" s="982"/>
      <c r="F63" s="167">
        <f>8794813+21830061+91442680+6759599+2794000+2000000+31599998+523290+863600-5098639</f>
        <v>161509402</v>
      </c>
      <c r="G63" s="167">
        <v>0</v>
      </c>
      <c r="H63" s="167">
        <v>508000</v>
      </c>
      <c r="I63" s="167">
        <f>578000-578000</f>
        <v>0</v>
      </c>
      <c r="J63" s="723">
        <f t="shared" si="0"/>
        <v>162017402</v>
      </c>
      <c r="K63" s="609"/>
    </row>
    <row r="64" spans="1:11" ht="12.75">
      <c r="A64" s="180" t="s">
        <v>123</v>
      </c>
      <c r="B64" s="980" t="s">
        <v>122</v>
      </c>
      <c r="C64" s="981"/>
      <c r="D64" s="981"/>
      <c r="E64" s="982"/>
      <c r="F64" s="167">
        <f>SUM(F73)</f>
        <v>5449520</v>
      </c>
      <c r="G64" s="167">
        <f>SUM(G73)</f>
        <v>0</v>
      </c>
      <c r="H64" s="167">
        <f>SUM(H73)</f>
        <v>0</v>
      </c>
      <c r="I64" s="167">
        <f>SUM(I73)</f>
        <v>0</v>
      </c>
      <c r="J64" s="723">
        <f t="shared" si="0"/>
        <v>5449520</v>
      </c>
      <c r="K64" s="609"/>
    </row>
    <row r="65" spans="1:11" ht="12.75" hidden="1">
      <c r="A65" s="163"/>
      <c r="B65" s="163" t="s">
        <v>193</v>
      </c>
      <c r="C65" s="979" t="s">
        <v>194</v>
      </c>
      <c r="D65" s="979"/>
      <c r="E65" s="979"/>
      <c r="F65" s="166">
        <v>0</v>
      </c>
      <c r="G65" s="166">
        <v>0</v>
      </c>
      <c r="H65" s="166">
        <v>0</v>
      </c>
      <c r="I65" s="166">
        <v>0</v>
      </c>
      <c r="J65" s="167">
        <f t="shared" si="0"/>
        <v>0</v>
      </c>
      <c r="K65" s="609"/>
    </row>
    <row r="66" spans="1:11" ht="12.75" hidden="1">
      <c r="A66" s="163"/>
      <c r="B66" s="163" t="s">
        <v>195</v>
      </c>
      <c r="C66" s="979" t="s">
        <v>196</v>
      </c>
      <c r="D66" s="979"/>
      <c r="E66" s="979"/>
      <c r="F66" s="166">
        <v>0</v>
      </c>
      <c r="G66" s="166">
        <v>0</v>
      </c>
      <c r="H66" s="166">
        <v>0</v>
      </c>
      <c r="I66" s="166">
        <v>0</v>
      </c>
      <c r="J66" s="167">
        <f t="shared" si="0"/>
        <v>0</v>
      </c>
      <c r="K66" s="609"/>
    </row>
    <row r="67" spans="1:11" ht="12.75" hidden="1">
      <c r="A67" s="163" t="s">
        <v>192</v>
      </c>
      <c r="B67" s="163" t="s">
        <v>197</v>
      </c>
      <c r="C67" s="979" t="s">
        <v>198</v>
      </c>
      <c r="D67" s="979"/>
      <c r="E67" s="979"/>
      <c r="F67" s="166">
        <v>0</v>
      </c>
      <c r="G67" s="166">
        <v>0</v>
      </c>
      <c r="H67" s="166">
        <v>0</v>
      </c>
      <c r="I67" s="166">
        <v>0</v>
      </c>
      <c r="J67" s="167">
        <f t="shared" si="0"/>
        <v>0</v>
      </c>
      <c r="K67" s="609"/>
    </row>
    <row r="68" spans="1:11" ht="12.75" hidden="1">
      <c r="A68" s="163"/>
      <c r="B68" s="163" t="s">
        <v>199</v>
      </c>
      <c r="C68" s="979" t="s">
        <v>200</v>
      </c>
      <c r="D68" s="979"/>
      <c r="E68" s="979"/>
      <c r="F68" s="166">
        <v>0</v>
      </c>
      <c r="G68" s="166">
        <v>0</v>
      </c>
      <c r="H68" s="166">
        <v>0</v>
      </c>
      <c r="I68" s="166">
        <v>0</v>
      </c>
      <c r="J68" s="167">
        <f t="shared" si="0"/>
        <v>0</v>
      </c>
      <c r="K68" s="609"/>
    </row>
    <row r="69" spans="1:11" ht="12.75" hidden="1">
      <c r="A69" s="163"/>
      <c r="B69" s="163" t="s">
        <v>201</v>
      </c>
      <c r="C69" s="979" t="s">
        <v>202</v>
      </c>
      <c r="D69" s="979"/>
      <c r="E69" s="979"/>
      <c r="F69" s="166">
        <v>0</v>
      </c>
      <c r="G69" s="166">
        <v>0</v>
      </c>
      <c r="H69" s="166">
        <v>0</v>
      </c>
      <c r="I69" s="166">
        <v>0</v>
      </c>
      <c r="J69" s="167">
        <f t="shared" si="0"/>
        <v>0</v>
      </c>
      <c r="K69" s="609"/>
    </row>
    <row r="70" spans="1:11" ht="12.75" hidden="1">
      <c r="A70" s="163"/>
      <c r="B70" s="163" t="s">
        <v>203</v>
      </c>
      <c r="C70" s="979" t="s">
        <v>204</v>
      </c>
      <c r="D70" s="979"/>
      <c r="E70" s="979"/>
      <c r="F70" s="166">
        <v>0</v>
      </c>
      <c r="G70" s="166">
        <v>0</v>
      </c>
      <c r="H70" s="166">
        <v>0</v>
      </c>
      <c r="I70" s="166">
        <v>0</v>
      </c>
      <c r="J70" s="167">
        <f t="shared" si="0"/>
        <v>0</v>
      </c>
      <c r="K70" s="609"/>
    </row>
    <row r="71" spans="1:11" ht="12.75" hidden="1">
      <c r="A71" s="163"/>
      <c r="B71" s="163" t="s">
        <v>205</v>
      </c>
      <c r="C71" s="979" t="s">
        <v>206</v>
      </c>
      <c r="D71" s="979"/>
      <c r="E71" s="979"/>
      <c r="F71" s="166">
        <v>0</v>
      </c>
      <c r="G71" s="166">
        <v>0</v>
      </c>
      <c r="H71" s="166">
        <v>0</v>
      </c>
      <c r="I71" s="166">
        <v>0</v>
      </c>
      <c r="J71" s="167">
        <f>SUM(F71:I71)</f>
        <v>0</v>
      </c>
      <c r="K71" s="609"/>
    </row>
    <row r="72" spans="1:11" ht="12.75" hidden="1">
      <c r="A72" s="163"/>
      <c r="B72" s="163" t="s">
        <v>207</v>
      </c>
      <c r="C72" s="979" t="s">
        <v>564</v>
      </c>
      <c r="D72" s="979"/>
      <c r="E72" s="979"/>
      <c r="F72" s="166">
        <v>0</v>
      </c>
      <c r="G72" s="166">
        <v>0</v>
      </c>
      <c r="H72" s="166">
        <v>0</v>
      </c>
      <c r="I72" s="166">
        <v>0</v>
      </c>
      <c r="J72" s="167">
        <f>SUM(F72:I72)</f>
        <v>0</v>
      </c>
      <c r="K72" s="609"/>
    </row>
    <row r="73" spans="1:11" ht="12.75">
      <c r="A73" s="163"/>
      <c r="B73" s="163" t="s">
        <v>563</v>
      </c>
      <c r="C73" s="979" t="s">
        <v>670</v>
      </c>
      <c r="D73" s="979"/>
      <c r="E73" s="979"/>
      <c r="F73" s="166">
        <f>449520+5000000</f>
        <v>5449520</v>
      </c>
      <c r="G73" s="166">
        <v>0</v>
      </c>
      <c r="H73" s="166">
        <v>0</v>
      </c>
      <c r="I73" s="166">
        <v>0</v>
      </c>
      <c r="J73" s="181">
        <f>SUM(F73:I73)</f>
        <v>5449520</v>
      </c>
      <c r="K73" s="609"/>
    </row>
    <row r="74" spans="1:11" ht="12.75">
      <c r="A74" s="180" t="s">
        <v>125</v>
      </c>
      <c r="B74" s="980" t="s">
        <v>124</v>
      </c>
      <c r="C74" s="981"/>
      <c r="D74" s="981"/>
      <c r="E74" s="982"/>
      <c r="F74" s="167">
        <v>19299537</v>
      </c>
      <c r="G74" s="167">
        <v>0</v>
      </c>
      <c r="H74" s="167">
        <v>0</v>
      </c>
      <c r="I74" s="167">
        <v>0</v>
      </c>
      <c r="J74" s="723">
        <f>SUM(F74:I74)</f>
        <v>19299537</v>
      </c>
      <c r="K74" s="609"/>
    </row>
    <row r="75" spans="1:10" ht="12.75">
      <c r="A75" s="189"/>
      <c r="B75" s="190"/>
      <c r="C75" s="190"/>
      <c r="D75" s="190"/>
      <c r="E75" s="190"/>
      <c r="F75" s="191"/>
      <c r="G75" s="749"/>
      <c r="H75" s="749"/>
      <c r="I75" s="749"/>
      <c r="J75" s="192"/>
    </row>
    <row r="76" spans="1:10" ht="15.75">
      <c r="A76" s="996" t="s">
        <v>208</v>
      </c>
      <c r="B76" s="997"/>
      <c r="C76" s="997"/>
      <c r="D76" s="997"/>
      <c r="E76" s="998"/>
      <c r="F76" s="193">
        <f>SUM(F7+F8+F9+F10+F23+F62+F63+F64+F74)</f>
        <v>1752286253</v>
      </c>
      <c r="G76" s="193">
        <f>SUM(G7+G8+G9+G10+G23+G62+G63+G64+G74)</f>
        <v>146764234</v>
      </c>
      <c r="H76" s="193">
        <f>SUM(H7+H8+H9+H10+H23+H62+H63+H64+H74)</f>
        <v>267708793</v>
      </c>
      <c r="I76" s="193">
        <f>SUM(I7+I8+I9+I10+I23+I62+I63+I64+I74)</f>
        <v>49303833</v>
      </c>
      <c r="J76" s="193">
        <f>SUM(J7+J8+J9+J10+J23+J62+J63+J64+J74)</f>
        <v>2216063113</v>
      </c>
    </row>
  </sheetData>
  <sheetProtection/>
  <mergeCells count="46">
    <mergeCell ref="C73:E73"/>
    <mergeCell ref="B74:E74"/>
    <mergeCell ref="A76:E76"/>
    <mergeCell ref="C67:E67"/>
    <mergeCell ref="C68:E68"/>
    <mergeCell ref="C69:E69"/>
    <mergeCell ref="C70:E70"/>
    <mergeCell ref="C71:E71"/>
    <mergeCell ref="C72:E72"/>
    <mergeCell ref="B64:E64"/>
    <mergeCell ref="C65:E65"/>
    <mergeCell ref="C66:E66"/>
    <mergeCell ref="B63:E63"/>
    <mergeCell ref="D46:E46"/>
    <mergeCell ref="D57:E57"/>
    <mergeCell ref="B62:E62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1">
      <selection activeCell="A2" sqref="A2:I54"/>
    </sheetView>
  </sheetViews>
  <sheetFormatPr defaultColWidth="9.00390625" defaultRowHeight="12.75"/>
  <cols>
    <col min="1" max="1" width="4.125" style="88" bestFit="1" customWidth="1"/>
    <col min="2" max="2" width="55.125" style="37" bestFit="1" customWidth="1"/>
    <col min="3" max="3" width="13.375" style="37" bestFit="1" customWidth="1"/>
    <col min="4" max="5" width="15.125" style="37" bestFit="1" customWidth="1"/>
    <col min="6" max="6" width="53.875" style="37" bestFit="1" customWidth="1"/>
    <col min="7" max="7" width="15.00390625" style="37" bestFit="1" customWidth="1"/>
    <col min="8" max="9" width="15.875" style="37" bestFit="1" customWidth="1"/>
    <col min="10" max="16384" width="9.125" style="37" customWidth="1"/>
  </cols>
  <sheetData>
    <row r="1" spans="6:10" ht="12.75" customHeight="1">
      <c r="F1" s="1002" t="s">
        <v>1083</v>
      </c>
      <c r="G1" s="1003"/>
      <c r="H1" s="1003"/>
      <c r="I1" s="1003"/>
      <c r="J1" s="81"/>
    </row>
    <row r="2" spans="2:9" ht="15.75">
      <c r="B2" s="1004" t="s">
        <v>850</v>
      </c>
      <c r="C2" s="1004"/>
      <c r="D2" s="1004"/>
      <c r="E2" s="1004"/>
      <c r="F2" s="1004"/>
      <c r="G2" s="1004"/>
      <c r="H2" s="1004"/>
      <c r="I2" s="1004"/>
    </row>
    <row r="3" ht="8.25" customHeight="1"/>
    <row r="4" spans="1:9" s="38" customFormat="1" ht="15" customHeight="1">
      <c r="A4" s="1006" t="s">
        <v>432</v>
      </c>
      <c r="B4" s="1005" t="s">
        <v>438</v>
      </c>
      <c r="C4" s="1005"/>
      <c r="D4" s="1005"/>
      <c r="E4" s="1005"/>
      <c r="F4" s="1005" t="s">
        <v>362</v>
      </c>
      <c r="G4" s="1005"/>
      <c r="H4" s="1005"/>
      <c r="I4" s="1005"/>
    </row>
    <row r="5" spans="1:9" s="41" customFormat="1" ht="14.25">
      <c r="A5" s="1006"/>
      <c r="B5" s="39" t="s">
        <v>361</v>
      </c>
      <c r="C5" s="40" t="s">
        <v>339</v>
      </c>
      <c r="D5" s="40" t="s">
        <v>338</v>
      </c>
      <c r="E5" s="40" t="s">
        <v>421</v>
      </c>
      <c r="F5" s="39" t="s">
        <v>361</v>
      </c>
      <c r="G5" s="40" t="s">
        <v>339</v>
      </c>
      <c r="H5" s="40" t="s">
        <v>338</v>
      </c>
      <c r="I5" s="40" t="s">
        <v>421</v>
      </c>
    </row>
    <row r="6" spans="1:9" s="87" customFormat="1" ht="12">
      <c r="A6" s="1006"/>
      <c r="B6" s="86" t="s">
        <v>426</v>
      </c>
      <c r="C6" s="86" t="s">
        <v>427</v>
      </c>
      <c r="D6" s="86" t="s">
        <v>428</v>
      </c>
      <c r="E6" s="86" t="s">
        <v>429</v>
      </c>
      <c r="F6" s="86" t="s">
        <v>430</v>
      </c>
      <c r="G6" s="86" t="s">
        <v>431</v>
      </c>
      <c r="H6" s="86" t="s">
        <v>433</v>
      </c>
      <c r="I6" s="86" t="s">
        <v>434</v>
      </c>
    </row>
    <row r="7" spans="1:9" s="57" customFormat="1" ht="14.25">
      <c r="A7" s="86">
        <v>1</v>
      </c>
      <c r="B7" s="56" t="s">
        <v>504</v>
      </c>
      <c r="C7" s="74">
        <f>SUM(C8)</f>
        <v>1102293633</v>
      </c>
      <c r="D7" s="74">
        <f>SUM(D32,D8)</f>
        <v>64131719</v>
      </c>
      <c r="E7" s="74">
        <f aca="true" t="shared" si="0" ref="E7:E30">SUM(C7:D7)</f>
        <v>1166425352</v>
      </c>
      <c r="F7" s="56" t="s">
        <v>505</v>
      </c>
      <c r="G7" s="74">
        <f>SUM(G8,G32)</f>
        <v>1270888947</v>
      </c>
      <c r="H7" s="74">
        <f>SUM(H8,H32)</f>
        <v>925874629</v>
      </c>
      <c r="I7" s="74">
        <f aca="true" t="shared" si="1" ref="I7:I18">SUM(G7:H7)</f>
        <v>2196763576</v>
      </c>
    </row>
    <row r="8" spans="1:9" s="66" customFormat="1" ht="12.75">
      <c r="A8" s="89">
        <v>2</v>
      </c>
      <c r="B8" s="63" t="s">
        <v>451</v>
      </c>
      <c r="C8" s="64">
        <f>SUM(C28+C18+C13+C9)</f>
        <v>1102293633</v>
      </c>
      <c r="D8" s="64">
        <f>SUM(D28+D18+D13+D9)</f>
        <v>0</v>
      </c>
      <c r="E8" s="64">
        <f t="shared" si="0"/>
        <v>1102293633</v>
      </c>
      <c r="F8" s="65" t="s">
        <v>454</v>
      </c>
      <c r="G8" s="64">
        <f>SUM(G9:G13)</f>
        <v>1270888947</v>
      </c>
      <c r="H8" s="64">
        <f>SUM(H9:H13)</f>
        <v>0</v>
      </c>
      <c r="I8" s="64">
        <f t="shared" si="1"/>
        <v>1270888947</v>
      </c>
    </row>
    <row r="9" spans="1:9" s="44" customFormat="1" ht="12.75">
      <c r="A9" s="89">
        <v>3</v>
      </c>
      <c r="B9" s="72" t="s">
        <v>15</v>
      </c>
      <c r="C9" s="53">
        <f>SUM(C10:C12)</f>
        <v>790762838</v>
      </c>
      <c r="D9" s="53">
        <v>0</v>
      </c>
      <c r="E9" s="53">
        <f t="shared" si="0"/>
        <v>790762838</v>
      </c>
      <c r="F9" s="73" t="s">
        <v>455</v>
      </c>
      <c r="G9" s="53">
        <f>426163725+33000+1350000+1125000+3215520+639450-330000-1461600+2756937+1035000-976500+1125000-1245375-775591+23197320+11080125+6600+103400+216700+5000000+1263600+300000+1344830+3459090+2500000+347826+45939+513114-340425</f>
        <v>481692685</v>
      </c>
      <c r="H9" s="53">
        <v>0</v>
      </c>
      <c r="I9" s="53">
        <f t="shared" si="1"/>
        <v>481692685</v>
      </c>
    </row>
    <row r="10" spans="1:9" s="44" customFormat="1" ht="12.75">
      <c r="A10" s="86">
        <v>4</v>
      </c>
      <c r="B10" s="50" t="s">
        <v>16</v>
      </c>
      <c r="C10" s="55">
        <f>482488434+22486700+418000+383873+10959511+1038000+426173+10068391+848820-11343384+8095006</f>
        <v>525869524</v>
      </c>
      <c r="D10" s="55">
        <v>0</v>
      </c>
      <c r="E10" s="55">
        <f t="shared" si="0"/>
        <v>525869524</v>
      </c>
      <c r="F10" s="73" t="s">
        <v>684</v>
      </c>
      <c r="G10" s="53">
        <f>81276070+5197+236250+196875+562716+111904-57750-255780+482464+181125-170887+196875-217940-377745+2029806+969525+1155+18095+37923+875000+221130+13166+367133+208449+536159+387500+52174-45939-513114-59575</f>
        <v>87267961</v>
      </c>
      <c r="H10" s="53">
        <v>0</v>
      </c>
      <c r="I10" s="53">
        <f t="shared" si="1"/>
        <v>87267961</v>
      </c>
    </row>
    <row r="11" spans="1:9" s="44" customFormat="1" ht="12.75">
      <c r="A11" s="89">
        <v>5</v>
      </c>
      <c r="B11" s="50" t="s">
        <v>682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418929171-54000-254000+500000-781083+2114762-317500+144779-2575544+1500000+1310301+4441343-800000+600000+1275000+13881090+60657486+18063936+308085+16823647-13166+2954117-47925+17596440+175000+92377+6500+1143000</f>
        <v>557673816</v>
      </c>
      <c r="H11" s="53">
        <v>0</v>
      </c>
      <c r="I11" s="53">
        <f t="shared" si="1"/>
        <v>557673816</v>
      </c>
    </row>
    <row r="12" spans="1:9" s="44" customFormat="1" ht="12.75">
      <c r="A12" s="89">
        <v>6</v>
      </c>
      <c r="B12" s="50" t="s">
        <v>17</v>
      </c>
      <c r="C12" s="55">
        <f>110463289+5354163+26537427+16490993+13881090+60657486+23938936+2626200+1484730+571500+2887500</f>
        <v>264893314</v>
      </c>
      <c r="D12" s="55">
        <v>0</v>
      </c>
      <c r="E12" s="55">
        <f t="shared" si="0"/>
        <v>264893314</v>
      </c>
      <c r="F12" s="73" t="s">
        <v>39</v>
      </c>
      <c r="G12" s="53">
        <v>3804900</v>
      </c>
      <c r="H12" s="53">
        <v>0</v>
      </c>
      <c r="I12" s="53">
        <f t="shared" si="1"/>
        <v>3804900</v>
      </c>
    </row>
    <row r="13" spans="1:9" s="44" customFormat="1" ht="12.75">
      <c r="A13" s="86">
        <v>7</v>
      </c>
      <c r="B13" s="72" t="s">
        <v>21</v>
      </c>
      <c r="C13" s="53">
        <f>SUM(C14:C17)</f>
        <v>239700000</v>
      </c>
      <c r="D13" s="53">
        <f>SUM(D14:D17)</f>
        <v>0</v>
      </c>
      <c r="E13" s="53">
        <f t="shared" si="0"/>
        <v>239700000</v>
      </c>
      <c r="F13" s="76" t="s">
        <v>40</v>
      </c>
      <c r="G13" s="53">
        <f>SUM(G14:G18)</f>
        <v>140449585</v>
      </c>
      <c r="H13" s="53">
        <f>SUM(H14:H18)</f>
        <v>0</v>
      </c>
      <c r="I13" s="53">
        <f t="shared" si="1"/>
        <v>140449585</v>
      </c>
    </row>
    <row r="14" spans="1:9" s="45" customFormat="1" ht="12.75">
      <c r="A14" s="89">
        <v>8</v>
      </c>
      <c r="B14" s="50" t="s">
        <v>110</v>
      </c>
      <c r="C14" s="55">
        <v>239000000</v>
      </c>
      <c r="D14" s="55">
        <v>0</v>
      </c>
      <c r="E14" s="55">
        <f t="shared" si="0"/>
        <v>239000000</v>
      </c>
      <c r="F14" s="52" t="s">
        <v>746</v>
      </c>
      <c r="G14" s="55">
        <v>0</v>
      </c>
      <c r="H14" s="55">
        <v>0</v>
      </c>
      <c r="I14" s="55">
        <f t="shared" si="1"/>
        <v>0</v>
      </c>
    </row>
    <row r="15" spans="1:9" s="45" customFormat="1" ht="12.75">
      <c r="A15" s="89"/>
      <c r="B15" s="51" t="s">
        <v>765</v>
      </c>
      <c r="C15" s="55">
        <v>50000</v>
      </c>
      <c r="D15" s="55">
        <v>0</v>
      </c>
      <c r="E15" s="55">
        <f t="shared" si="0"/>
        <v>50000</v>
      </c>
      <c r="F15" s="52" t="s">
        <v>683</v>
      </c>
      <c r="G15" s="55">
        <v>0</v>
      </c>
      <c r="H15" s="55">
        <v>0</v>
      </c>
      <c r="I15" s="55">
        <f t="shared" si="1"/>
        <v>0</v>
      </c>
    </row>
    <row r="16" spans="1:9" s="45" customFormat="1" ht="12.75">
      <c r="A16" s="89">
        <v>9</v>
      </c>
      <c r="B16" s="51" t="s">
        <v>766</v>
      </c>
      <c r="C16" s="55">
        <f>22000000-10269500-11730500</f>
        <v>0</v>
      </c>
      <c r="D16" s="55">
        <v>0</v>
      </c>
      <c r="E16" s="55">
        <f t="shared" si="0"/>
        <v>0</v>
      </c>
      <c r="F16" s="52" t="s">
        <v>786</v>
      </c>
      <c r="G16" s="55">
        <v>115000</v>
      </c>
      <c r="H16" s="55">
        <v>0</v>
      </c>
      <c r="I16" s="55">
        <f t="shared" si="1"/>
        <v>115000</v>
      </c>
    </row>
    <row r="17" spans="1:9" s="45" customFormat="1" ht="12.75">
      <c r="A17" s="86">
        <v>10</v>
      </c>
      <c r="B17" s="50" t="s">
        <v>767</v>
      </c>
      <c r="C17" s="55">
        <v>650000</v>
      </c>
      <c r="D17" s="55">
        <v>0</v>
      </c>
      <c r="E17" s="55">
        <f t="shared" si="0"/>
        <v>650000</v>
      </c>
      <c r="F17" s="52" t="s">
        <v>787</v>
      </c>
      <c r="G17" s="55">
        <f>154254385-70000-4779000-1444000-6364000-3280000+2626200-1016000-1143000</f>
        <v>138784585</v>
      </c>
      <c r="H17" s="55">
        <v>0</v>
      </c>
      <c r="I17" s="55">
        <f t="shared" si="1"/>
        <v>138784585</v>
      </c>
    </row>
    <row r="18" spans="1:9" s="45" customFormat="1" ht="12.75">
      <c r="A18" s="89">
        <v>11</v>
      </c>
      <c r="B18" s="72" t="s">
        <v>22</v>
      </c>
      <c r="C18" s="53">
        <f>SUM(C19:C27)</f>
        <v>71455795</v>
      </c>
      <c r="D18" s="53">
        <f>SUM(D19:D27)</f>
        <v>0</v>
      </c>
      <c r="E18" s="53">
        <f t="shared" si="0"/>
        <v>71455795</v>
      </c>
      <c r="F18" s="52" t="s">
        <v>788</v>
      </c>
      <c r="G18" s="55">
        <f>26199000-23849000+200000-1000000</f>
        <v>1550000</v>
      </c>
      <c r="H18" s="55">
        <v>0</v>
      </c>
      <c r="I18" s="55">
        <f t="shared" si="1"/>
        <v>1550000</v>
      </c>
    </row>
    <row r="19" spans="1:9" s="44" customFormat="1" ht="12.75">
      <c r="A19" s="89">
        <v>12</v>
      </c>
      <c r="B19" s="50" t="s">
        <v>565</v>
      </c>
      <c r="C19" s="55">
        <v>9500000</v>
      </c>
      <c r="D19" s="55">
        <v>0</v>
      </c>
      <c r="E19" s="55">
        <f t="shared" si="0"/>
        <v>9500000</v>
      </c>
      <c r="F19" s="76"/>
      <c r="G19" s="53"/>
      <c r="H19" s="53"/>
      <c r="I19" s="53"/>
    </row>
    <row r="20" spans="1:9" s="44" customFormat="1" ht="12.75">
      <c r="A20" s="86">
        <v>13</v>
      </c>
      <c r="B20" s="50" t="s">
        <v>23</v>
      </c>
      <c r="C20" s="55">
        <f>21002978+536221+3402559+342137</f>
        <v>25283895</v>
      </c>
      <c r="D20" s="55">
        <v>0</v>
      </c>
      <c r="E20" s="55">
        <f t="shared" si="0"/>
        <v>25283895</v>
      </c>
      <c r="F20" s="52"/>
      <c r="G20" s="55"/>
      <c r="H20" s="55"/>
      <c r="I20" s="55"/>
    </row>
    <row r="21" spans="1:9" s="44" customFormat="1" ht="12.75">
      <c r="A21" s="89">
        <v>14</v>
      </c>
      <c r="B21" s="50" t="s">
        <v>24</v>
      </c>
      <c r="C21" s="55">
        <v>7687837</v>
      </c>
      <c r="D21" s="55">
        <v>0</v>
      </c>
      <c r="E21" s="55">
        <f t="shared" si="0"/>
        <v>7687837</v>
      </c>
      <c r="F21" s="52"/>
      <c r="G21" s="55"/>
      <c r="H21" s="55"/>
      <c r="I21" s="55"/>
    </row>
    <row r="22" spans="1:9" s="44" customFormat="1" ht="12.75">
      <c r="A22" s="89">
        <v>15</v>
      </c>
      <c r="B22" s="50" t="s">
        <v>521</v>
      </c>
      <c r="C22" s="55">
        <v>746000</v>
      </c>
      <c r="D22" s="55">
        <v>0</v>
      </c>
      <c r="E22" s="55">
        <f t="shared" si="0"/>
        <v>746000</v>
      </c>
      <c r="F22" s="52"/>
      <c r="G22" s="55"/>
      <c r="H22" s="55"/>
      <c r="I22" s="55"/>
    </row>
    <row r="23" spans="1:9" s="44" customFormat="1" ht="12.75">
      <c r="A23" s="86">
        <v>16</v>
      </c>
      <c r="B23" s="50" t="s">
        <v>25</v>
      </c>
      <c r="C23" s="55">
        <f>7036704+12898200+635625</f>
        <v>20570529</v>
      </c>
      <c r="D23" s="55">
        <v>0</v>
      </c>
      <c r="E23" s="55">
        <f t="shared" si="0"/>
        <v>20570529</v>
      </c>
      <c r="F23" s="52"/>
      <c r="G23" s="55"/>
      <c r="H23" s="55"/>
      <c r="I23" s="55"/>
    </row>
    <row r="24" spans="1:9" s="44" customFormat="1" ht="12.75">
      <c r="A24" s="89">
        <v>17</v>
      </c>
      <c r="B24" s="50" t="s">
        <v>26</v>
      </c>
      <c r="C24" s="55">
        <f>6431187+144779+918691+92377</f>
        <v>7587034</v>
      </c>
      <c r="D24" s="55">
        <v>0</v>
      </c>
      <c r="E24" s="55">
        <f t="shared" si="0"/>
        <v>7587034</v>
      </c>
      <c r="F24" s="43"/>
      <c r="G24" s="55"/>
      <c r="H24" s="54"/>
      <c r="I24" s="54"/>
    </row>
    <row r="25" spans="1:9" s="44" customFormat="1" ht="12.75">
      <c r="A25" s="89">
        <v>18</v>
      </c>
      <c r="B25" s="50" t="s">
        <v>300</v>
      </c>
      <c r="C25" s="55">
        <v>0</v>
      </c>
      <c r="D25" s="55">
        <v>0</v>
      </c>
      <c r="E25" s="55">
        <f t="shared" si="0"/>
        <v>0</v>
      </c>
      <c r="F25" s="43"/>
      <c r="G25" s="55"/>
      <c r="H25" s="54"/>
      <c r="I25" s="54"/>
    </row>
    <row r="26" spans="1:9" s="44" customFormat="1" ht="12.75">
      <c r="A26" s="89">
        <v>19</v>
      </c>
      <c r="B26" s="50" t="s">
        <v>703</v>
      </c>
      <c r="C26" s="55">
        <v>500</v>
      </c>
      <c r="D26" s="55">
        <v>0</v>
      </c>
      <c r="E26" s="55">
        <f t="shared" si="0"/>
        <v>500</v>
      </c>
      <c r="F26" s="43"/>
      <c r="G26" s="55"/>
      <c r="H26" s="54"/>
      <c r="I26" s="54"/>
    </row>
    <row r="27" spans="1:9" s="42" customFormat="1" ht="12.75">
      <c r="A27" s="86">
        <v>20</v>
      </c>
      <c r="B27" s="50" t="s">
        <v>704</v>
      </c>
      <c r="C27" s="55">
        <f>11039511-10959511</f>
        <v>80000</v>
      </c>
      <c r="D27" s="55">
        <v>0</v>
      </c>
      <c r="E27" s="55">
        <f t="shared" si="0"/>
        <v>80000</v>
      </c>
      <c r="F27" s="43"/>
      <c r="G27" s="54"/>
      <c r="H27" s="54"/>
      <c r="I27" s="54"/>
    </row>
    <row r="28" spans="1:9" s="42" customFormat="1" ht="12.75">
      <c r="A28" s="89">
        <v>21</v>
      </c>
      <c r="B28" s="72" t="s">
        <v>32</v>
      </c>
      <c r="C28" s="53">
        <f>SUM(C29:C30)</f>
        <v>375000</v>
      </c>
      <c r="D28" s="53">
        <v>0</v>
      </c>
      <c r="E28" s="53">
        <f t="shared" si="0"/>
        <v>375000</v>
      </c>
      <c r="F28" s="43"/>
      <c r="G28" s="54"/>
      <c r="H28" s="54"/>
      <c r="I28" s="54"/>
    </row>
    <row r="29" spans="1:9" s="42" customFormat="1" ht="12.75">
      <c r="A29" s="89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3"/>
      <c r="G29" s="54"/>
      <c r="H29" s="54"/>
      <c r="I29" s="54"/>
    </row>
    <row r="30" spans="1:9" s="42" customFormat="1" ht="12.75">
      <c r="A30" s="86">
        <v>23</v>
      </c>
      <c r="B30" s="50" t="s">
        <v>34</v>
      </c>
      <c r="C30" s="55">
        <v>375000</v>
      </c>
      <c r="D30" s="55">
        <v>0</v>
      </c>
      <c r="E30" s="55">
        <f t="shared" si="0"/>
        <v>375000</v>
      </c>
      <c r="F30" s="43"/>
      <c r="G30" s="54"/>
      <c r="H30" s="54"/>
      <c r="I30" s="54"/>
    </row>
    <row r="31" spans="1:9" s="42" customFormat="1" ht="12.75">
      <c r="A31" s="89">
        <v>24</v>
      </c>
      <c r="B31" s="50"/>
      <c r="C31" s="55"/>
      <c r="D31" s="55"/>
      <c r="E31" s="55"/>
      <c r="F31" s="43"/>
      <c r="G31" s="54"/>
      <c r="H31" s="54"/>
      <c r="I31" s="54"/>
    </row>
    <row r="32" spans="1:9" s="66" customFormat="1" ht="12.75">
      <c r="A32" s="89">
        <v>25</v>
      </c>
      <c r="B32" s="67" t="s">
        <v>453</v>
      </c>
      <c r="C32" s="64">
        <f>SUM(C41+C36+C33)</f>
        <v>0</v>
      </c>
      <c r="D32" s="64">
        <f>SUM(D41+D36+D33)</f>
        <v>64131719</v>
      </c>
      <c r="E32" s="64">
        <f>SUM(D32:D32)</f>
        <v>64131719</v>
      </c>
      <c r="F32" s="65" t="s">
        <v>334</v>
      </c>
      <c r="G32" s="64">
        <f>SUM(G33:G35)</f>
        <v>0</v>
      </c>
      <c r="H32" s="64">
        <f>SUM(H33:H35)</f>
        <v>925874629</v>
      </c>
      <c r="I32" s="64">
        <f aca="true" t="shared" si="2" ref="I32:I40">SUM(G32:H32)</f>
        <v>925874629</v>
      </c>
    </row>
    <row r="33" spans="1:9" s="42" customFormat="1" ht="12.75">
      <c r="A33" s="86">
        <v>26</v>
      </c>
      <c r="B33" s="72" t="s">
        <v>18</v>
      </c>
      <c r="C33" s="53">
        <f>SUM(C34:C35)</f>
        <v>0</v>
      </c>
      <c r="D33" s="53">
        <f>SUM(D34:D35)</f>
        <v>6264795</v>
      </c>
      <c r="E33" s="53">
        <f>SUM(D33:D33)</f>
        <v>6264795</v>
      </c>
      <c r="F33" s="73" t="s">
        <v>41</v>
      </c>
      <c r="G33" s="53">
        <v>0</v>
      </c>
      <c r="H33" s="53">
        <f>800006380-20000000-1730500-177800+1000000+74295+190500+800000-17780000+400000+100000+6000000+4790554-3817843-13005804+700000+47925+560000+250000</f>
        <v>758407707</v>
      </c>
      <c r="I33" s="53">
        <f t="shared" si="2"/>
        <v>758407707</v>
      </c>
    </row>
    <row r="34" spans="1:9" s="42" customFormat="1" ht="12.75">
      <c r="A34" s="89">
        <v>27</v>
      </c>
      <c r="B34" s="50" t="s">
        <v>19</v>
      </c>
      <c r="C34" s="55">
        <v>0</v>
      </c>
      <c r="D34" s="55">
        <v>0</v>
      </c>
      <c r="E34" s="55">
        <f aca="true" t="shared" si="3" ref="E34:E43">SUM(D34:D34)</f>
        <v>0</v>
      </c>
      <c r="F34" s="73" t="s">
        <v>42</v>
      </c>
      <c r="G34" s="53">
        <v>0</v>
      </c>
      <c r="H34" s="53">
        <f>166252441+863600+578000-5098639-578000</f>
        <v>162017402</v>
      </c>
      <c r="I34" s="53">
        <f t="shared" si="2"/>
        <v>162017402</v>
      </c>
    </row>
    <row r="35" spans="1:9" s="42" customFormat="1" ht="12.75">
      <c r="A35" s="89">
        <v>28</v>
      </c>
      <c r="B35" s="50" t="s">
        <v>20</v>
      </c>
      <c r="C35" s="55">
        <v>0</v>
      </c>
      <c r="D35" s="55">
        <f>6000000+74295+190500-6000000+6000000</f>
        <v>6264795</v>
      </c>
      <c r="E35" s="55">
        <f t="shared" si="3"/>
        <v>6264795</v>
      </c>
      <c r="F35" s="73" t="s">
        <v>43</v>
      </c>
      <c r="G35" s="53">
        <f>SUM(G36:G40)</f>
        <v>0</v>
      </c>
      <c r="H35" s="53">
        <v>5449520</v>
      </c>
      <c r="I35" s="53">
        <f t="shared" si="2"/>
        <v>5449520</v>
      </c>
    </row>
    <row r="36" spans="1:9" s="42" customFormat="1" ht="12.75">
      <c r="A36" s="86">
        <v>29</v>
      </c>
      <c r="B36" s="72" t="s">
        <v>27</v>
      </c>
      <c r="C36" s="53">
        <f>SUM(C37:C40)</f>
        <v>0</v>
      </c>
      <c r="D36" s="53">
        <f>SUM(D37:D40)</f>
        <v>57599464</v>
      </c>
      <c r="E36" s="53">
        <f t="shared" si="3"/>
        <v>57599464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2" customFormat="1" ht="12.75">
      <c r="A37" s="89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4" customFormat="1" ht="12.75">
      <c r="A38" s="89">
        <v>31</v>
      </c>
      <c r="B38" s="50" t="s">
        <v>29</v>
      </c>
      <c r="C38" s="55">
        <f>SUM(C39:C40)</f>
        <v>0</v>
      </c>
      <c r="D38" s="55">
        <f>44406964+1500000+1000000+11730500-1038000</f>
        <v>57599464</v>
      </c>
      <c r="E38" s="55">
        <f t="shared" si="3"/>
        <v>57599464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4" customFormat="1" ht="12.75">
      <c r="A39" s="86">
        <v>32</v>
      </c>
      <c r="B39" s="50" t="s">
        <v>30</v>
      </c>
      <c r="C39" s="55">
        <v>0</v>
      </c>
      <c r="D39" s="55">
        <v>0</v>
      </c>
      <c r="E39" s="55">
        <f t="shared" si="3"/>
        <v>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6" customFormat="1" ht="13.5">
      <c r="A40" s="89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v>5449520</v>
      </c>
      <c r="I40" s="55">
        <f t="shared" si="2"/>
        <v>5449520</v>
      </c>
    </row>
    <row r="41" spans="1:9" s="46" customFormat="1" ht="13.5">
      <c r="A41" s="89">
        <v>34</v>
      </c>
      <c r="B41" s="72" t="s">
        <v>35</v>
      </c>
      <c r="C41" s="53">
        <f>SUM(C42:C43)</f>
        <v>0</v>
      </c>
      <c r="D41" s="53">
        <f>SUM(D42:D43)</f>
        <v>267460</v>
      </c>
      <c r="E41" s="53">
        <f t="shared" si="3"/>
        <v>267460</v>
      </c>
      <c r="F41" s="52"/>
      <c r="G41" s="55"/>
      <c r="H41" s="55"/>
      <c r="I41" s="55"/>
    </row>
    <row r="42" spans="1:9" s="46" customFormat="1" ht="13.5">
      <c r="A42" s="86">
        <v>35</v>
      </c>
      <c r="B42" s="50" t="s">
        <v>675</v>
      </c>
      <c r="C42" s="55">
        <v>0</v>
      </c>
      <c r="D42" s="55">
        <v>0</v>
      </c>
      <c r="E42" s="55">
        <f t="shared" si="3"/>
        <v>0</v>
      </c>
      <c r="F42" s="47"/>
      <c r="G42" s="55"/>
      <c r="H42" s="55"/>
      <c r="I42" s="55"/>
    </row>
    <row r="43" spans="1:9" s="46" customFormat="1" ht="13.5">
      <c r="A43" s="89">
        <v>36</v>
      </c>
      <c r="B43" s="50" t="s">
        <v>674</v>
      </c>
      <c r="C43" s="55">
        <v>0</v>
      </c>
      <c r="D43" s="55">
        <v>267460</v>
      </c>
      <c r="E43" s="55">
        <f t="shared" si="3"/>
        <v>267460</v>
      </c>
      <c r="F43" s="47"/>
      <c r="G43" s="55"/>
      <c r="H43" s="55"/>
      <c r="I43" s="55"/>
    </row>
    <row r="44" spans="1:9" s="48" customFormat="1" ht="6" customHeight="1">
      <c r="A44" s="1007"/>
      <c r="B44" s="1008"/>
      <c r="C44" s="1008"/>
      <c r="D44" s="1008"/>
      <c r="E44" s="1008"/>
      <c r="F44" s="1008"/>
      <c r="G44" s="1008"/>
      <c r="H44" s="1008"/>
      <c r="I44" s="1009"/>
    </row>
    <row r="45" spans="1:9" s="48" customFormat="1" ht="15">
      <c r="A45" s="89">
        <v>37</v>
      </c>
      <c r="B45" s="1010" t="s">
        <v>506</v>
      </c>
      <c r="C45" s="1011"/>
      <c r="D45" s="1011"/>
      <c r="E45" s="1011"/>
      <c r="F45" s="1011"/>
      <c r="G45" s="130">
        <f>C7-G7</f>
        <v>-168595314</v>
      </c>
      <c r="H45" s="130">
        <f>D7-H7</f>
        <v>-861742910</v>
      </c>
      <c r="I45" s="130">
        <f>SUM(G45:H45)</f>
        <v>-1030338224</v>
      </c>
    </row>
    <row r="46" spans="1:9" s="48" customFormat="1" ht="6" customHeight="1">
      <c r="A46" s="999"/>
      <c r="B46" s="1000"/>
      <c r="C46" s="1000"/>
      <c r="D46" s="1000"/>
      <c r="E46" s="1000"/>
      <c r="F46" s="1000"/>
      <c r="G46" s="1000"/>
      <c r="H46" s="1000"/>
      <c r="I46" s="1001"/>
    </row>
    <row r="47" spans="1:9" s="60" customFormat="1" ht="28.5">
      <c r="A47" s="89">
        <v>38</v>
      </c>
      <c r="B47" s="56" t="s">
        <v>335</v>
      </c>
      <c r="C47" s="58">
        <f>SUM(C48)</f>
        <v>153530385</v>
      </c>
      <c r="D47" s="58">
        <f>SUM(D48)</f>
        <v>896107376</v>
      </c>
      <c r="E47" s="58">
        <f aca="true" t="shared" si="4" ref="E47:E54">SUM(C47:D47)</f>
        <v>1049637761</v>
      </c>
      <c r="F47" s="59"/>
      <c r="G47" s="58"/>
      <c r="H47" s="58"/>
      <c r="I47" s="58"/>
    </row>
    <row r="48" spans="1:9" s="69" customFormat="1" ht="13.5">
      <c r="A48" s="86">
        <v>39</v>
      </c>
      <c r="B48" s="70" t="s">
        <v>676</v>
      </c>
      <c r="C48" s="64">
        <f>152741175+789210</f>
        <v>153530385</v>
      </c>
      <c r="D48" s="64">
        <f>896617876-510500</f>
        <v>896107376</v>
      </c>
      <c r="E48" s="64">
        <f t="shared" si="4"/>
        <v>1049637761</v>
      </c>
      <c r="F48" s="65"/>
      <c r="G48" s="64"/>
      <c r="H48" s="64"/>
      <c r="I48" s="64"/>
    </row>
    <row r="49" spans="1:9" s="69" customFormat="1" ht="13.5">
      <c r="A49" s="86">
        <v>40</v>
      </c>
      <c r="B49" s="70" t="s">
        <v>677</v>
      </c>
      <c r="C49" s="64">
        <v>0</v>
      </c>
      <c r="D49" s="64">
        <v>0</v>
      </c>
      <c r="E49" s="64">
        <f>SUM(C49:D49)</f>
        <v>0</v>
      </c>
      <c r="F49" s="65"/>
      <c r="G49" s="64"/>
      <c r="H49" s="64"/>
      <c r="I49" s="64"/>
    </row>
    <row r="50" spans="1:9" s="60" customFormat="1" ht="28.5">
      <c r="A50" s="89">
        <v>41</v>
      </c>
      <c r="B50" s="56" t="s">
        <v>336</v>
      </c>
      <c r="C50" s="755">
        <f>SUM(C51:C53)</f>
        <v>0</v>
      </c>
      <c r="D50" s="755">
        <f>SUM(D51:D53)</f>
        <v>0</v>
      </c>
      <c r="E50" s="755">
        <f t="shared" si="4"/>
        <v>0</v>
      </c>
      <c r="F50" s="756" t="s">
        <v>337</v>
      </c>
      <c r="G50" s="755">
        <f>SUM(G51:G53)</f>
        <v>19299537</v>
      </c>
      <c r="H50" s="755">
        <f>SUM(H51:H53)</f>
        <v>0</v>
      </c>
      <c r="I50" s="755">
        <f>SUM(G50:H50)</f>
        <v>19299537</v>
      </c>
    </row>
    <row r="51" spans="1:9" s="69" customFormat="1" ht="13.5">
      <c r="A51" s="89">
        <v>42</v>
      </c>
      <c r="B51" s="68" t="s">
        <v>678</v>
      </c>
      <c r="C51" s="64">
        <v>0</v>
      </c>
      <c r="D51" s="64">
        <v>0</v>
      </c>
      <c r="E51" s="64">
        <f t="shared" si="4"/>
        <v>0</v>
      </c>
      <c r="F51" s="65" t="s">
        <v>680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89">
        <v>43</v>
      </c>
      <c r="B52" s="68" t="s">
        <v>679</v>
      </c>
      <c r="C52" s="64">
        <v>0</v>
      </c>
      <c r="D52" s="64">
        <v>0</v>
      </c>
      <c r="E52" s="64">
        <f>SUM(C52:D52)</f>
        <v>0</v>
      </c>
      <c r="F52" s="65" t="s">
        <v>681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89">
        <v>44</v>
      </c>
      <c r="B53" s="68" t="s">
        <v>672</v>
      </c>
      <c r="C53" s="64">
        <v>0</v>
      </c>
      <c r="D53" s="64">
        <v>0</v>
      </c>
      <c r="E53" s="64">
        <f>SUM(C53:D53)</f>
        <v>0</v>
      </c>
      <c r="F53" s="68" t="s">
        <v>673</v>
      </c>
      <c r="G53" s="64">
        <v>19299537</v>
      </c>
      <c r="H53" s="64">
        <v>0</v>
      </c>
      <c r="I53" s="64">
        <f>SUM(G53:H53)</f>
        <v>19299537</v>
      </c>
    </row>
    <row r="54" spans="1:9" s="62" customFormat="1" ht="15.75">
      <c r="A54" s="89">
        <v>45</v>
      </c>
      <c r="B54" s="61" t="s">
        <v>439</v>
      </c>
      <c r="C54" s="75">
        <f>SUM(C7,C47,C50)</f>
        <v>1255824018</v>
      </c>
      <c r="D54" s="75">
        <f>SUM(D7,D47,D50)</f>
        <v>960239095</v>
      </c>
      <c r="E54" s="75">
        <f t="shared" si="4"/>
        <v>2216063113</v>
      </c>
      <c r="F54" s="61" t="s">
        <v>345</v>
      </c>
      <c r="G54" s="75">
        <f>SUM(G7,G50)</f>
        <v>1290188484</v>
      </c>
      <c r="H54" s="75">
        <f>SUM(H7,H50)</f>
        <v>925874629</v>
      </c>
      <c r="I54" s="75">
        <f>SUM(G54:H54)</f>
        <v>2216063113</v>
      </c>
    </row>
    <row r="61" ht="15">
      <c r="B61" s="49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55"/>
  <sheetViews>
    <sheetView zoomScale="95" zoomScaleNormal="95" zoomScalePageLayoutView="0" workbookViewId="0" topLeftCell="C1">
      <pane xSplit="4" ySplit="7" topLeftCell="G46" activePane="bottomRight" state="frozen"/>
      <selection pane="topLeft" activeCell="C1" sqref="C1"/>
      <selection pane="topRight" activeCell="G1" sqref="G1"/>
      <selection pane="bottomLeft" activeCell="C8" sqref="C8"/>
      <selection pane="bottomRight" activeCell="C2" sqref="C2:V50"/>
    </sheetView>
  </sheetViews>
  <sheetFormatPr defaultColWidth="8.875" defaultRowHeight="12.75"/>
  <cols>
    <col min="1" max="1" width="1.37890625" style="492" hidden="1" customWidth="1"/>
    <col min="2" max="2" width="8.00390625" style="493" hidden="1" customWidth="1"/>
    <col min="3" max="3" width="8.00390625" style="493" customWidth="1"/>
    <col min="4" max="4" width="4.625" style="494" bestFit="1" customWidth="1"/>
    <col min="5" max="5" width="30.375" style="492" customWidth="1"/>
    <col min="6" max="6" width="9.25390625" style="495" hidden="1" customWidth="1"/>
    <col min="7" max="7" width="11.375" style="492" bestFit="1" customWidth="1"/>
    <col min="8" max="8" width="11.125" style="492" customWidth="1"/>
    <col min="9" max="9" width="11.375" style="492" customWidth="1"/>
    <col min="10" max="11" width="10.25390625" style="492" customWidth="1"/>
    <col min="12" max="12" width="11.625" style="492" customWidth="1"/>
    <col min="13" max="13" width="9.875" style="492" customWidth="1"/>
    <col min="14" max="14" width="9.25390625" style="492" customWidth="1"/>
    <col min="15" max="16" width="10.00390625" style="492" customWidth="1"/>
    <col min="17" max="17" width="10.375" style="492" bestFit="1" customWidth="1"/>
    <col min="18" max="18" width="12.875" style="492" bestFit="1" customWidth="1"/>
    <col min="19" max="19" width="11.375" style="492" bestFit="1" customWidth="1"/>
    <col min="20" max="20" width="11.125" style="492" customWidth="1"/>
    <col min="21" max="21" width="10.625" style="492" customWidth="1"/>
    <col min="22" max="22" width="15.75390625" style="549" bestFit="1" customWidth="1"/>
    <col min="23" max="23" width="14.375" style="492" customWidth="1"/>
    <col min="24" max="24" width="9.875" style="492" bestFit="1" customWidth="1"/>
    <col min="25" max="16384" width="8.875" style="492" customWidth="1"/>
  </cols>
  <sheetData>
    <row r="1" spans="3:22" ht="15">
      <c r="C1" s="1329"/>
      <c r="M1" s="172"/>
      <c r="N1" s="172"/>
      <c r="O1" s="172"/>
      <c r="P1" s="172"/>
      <c r="Q1" s="1014" t="s">
        <v>1084</v>
      </c>
      <c r="R1" s="1015"/>
      <c r="S1" s="1015"/>
      <c r="T1" s="1015"/>
      <c r="U1" s="1015"/>
      <c r="V1" s="1015"/>
    </row>
    <row r="2" spans="1:22" ht="15.75">
      <c r="A2" s="496"/>
      <c r="B2" s="497"/>
      <c r="C2" s="1329"/>
      <c r="D2" s="497"/>
      <c r="E2" s="1016" t="s">
        <v>851</v>
      </c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</row>
    <row r="3" ht="12.75" thickBot="1">
      <c r="V3" s="498"/>
    </row>
    <row r="4" spans="2:22" s="499" customFormat="1" ht="12.75" customHeight="1">
      <c r="B4" s="500"/>
      <c r="C4" s="500"/>
      <c r="D4" s="1017" t="s">
        <v>432</v>
      </c>
      <c r="E4" s="1020" t="s">
        <v>361</v>
      </c>
      <c r="F4" s="1023" t="s">
        <v>368</v>
      </c>
      <c r="G4" s="1029" t="s">
        <v>369</v>
      </c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1"/>
      <c r="V4" s="1032" t="s">
        <v>370</v>
      </c>
    </row>
    <row r="5" spans="2:22" s="501" customFormat="1" ht="12" customHeight="1">
      <c r="B5" s="502"/>
      <c r="C5" s="502"/>
      <c r="D5" s="1018"/>
      <c r="E5" s="1021"/>
      <c r="F5" s="1024"/>
      <c r="G5" s="503" t="s">
        <v>1</v>
      </c>
      <c r="H5" s="503" t="s">
        <v>3</v>
      </c>
      <c r="I5" s="503" t="s">
        <v>5</v>
      </c>
      <c r="J5" s="503" t="s">
        <v>8</v>
      </c>
      <c r="K5" s="1026" t="s">
        <v>627</v>
      </c>
      <c r="L5" s="1027"/>
      <c r="M5" s="1027"/>
      <c r="N5" s="1027"/>
      <c r="O5" s="1027"/>
      <c r="P5" s="1027"/>
      <c r="Q5" s="1028"/>
      <c r="R5" s="505" t="s">
        <v>119</v>
      </c>
      <c r="S5" s="505" t="s">
        <v>121</v>
      </c>
      <c r="T5" s="503" t="s">
        <v>123</v>
      </c>
      <c r="U5" s="503" t="s">
        <v>125</v>
      </c>
      <c r="V5" s="1033"/>
    </row>
    <row r="6" spans="2:22" s="501" customFormat="1" ht="63.75" customHeight="1">
      <c r="B6" s="502"/>
      <c r="C6" s="502"/>
      <c r="D6" s="1018"/>
      <c r="E6" s="1022"/>
      <c r="F6" s="1025"/>
      <c r="G6" s="506" t="s">
        <v>344</v>
      </c>
      <c r="H6" s="506" t="s">
        <v>618</v>
      </c>
      <c r="I6" s="506" t="s">
        <v>363</v>
      </c>
      <c r="J6" s="506" t="s">
        <v>9</v>
      </c>
      <c r="K6" s="506" t="s">
        <v>142</v>
      </c>
      <c r="L6" s="506" t="s">
        <v>118</v>
      </c>
      <c r="M6" s="506" t="s">
        <v>793</v>
      </c>
      <c r="N6" s="506" t="s">
        <v>425</v>
      </c>
      <c r="O6" s="506" t="s">
        <v>437</v>
      </c>
      <c r="P6" s="506" t="s">
        <v>457</v>
      </c>
      <c r="Q6" s="506" t="s">
        <v>846</v>
      </c>
      <c r="R6" s="504" t="s">
        <v>342</v>
      </c>
      <c r="S6" s="504" t="s">
        <v>372</v>
      </c>
      <c r="T6" s="506" t="s">
        <v>626</v>
      </c>
      <c r="U6" s="506" t="s">
        <v>124</v>
      </c>
      <c r="V6" s="1034"/>
    </row>
    <row r="7" spans="2:22" s="507" customFormat="1" ht="12">
      <c r="B7" s="508"/>
      <c r="C7" s="508"/>
      <c r="D7" s="1019"/>
      <c r="E7" s="509" t="s">
        <v>426</v>
      </c>
      <c r="F7" s="510" t="s">
        <v>427</v>
      </c>
      <c r="G7" s="511" t="s">
        <v>427</v>
      </c>
      <c r="H7" s="511" t="s">
        <v>428</v>
      </c>
      <c r="I7" s="512" t="s">
        <v>429</v>
      </c>
      <c r="J7" s="509" t="s">
        <v>430</v>
      </c>
      <c r="K7" s="509" t="s">
        <v>431</v>
      </c>
      <c r="L7" s="512" t="s">
        <v>433</v>
      </c>
      <c r="M7" s="512" t="s">
        <v>434</v>
      </c>
      <c r="N7" s="512" t="s">
        <v>385</v>
      </c>
      <c r="O7" s="512" t="s">
        <v>386</v>
      </c>
      <c r="P7" s="511" t="s">
        <v>387</v>
      </c>
      <c r="Q7" s="511" t="s">
        <v>388</v>
      </c>
      <c r="R7" s="512" t="s">
        <v>389</v>
      </c>
      <c r="S7" s="512" t="s">
        <v>390</v>
      </c>
      <c r="T7" s="513" t="s">
        <v>391</v>
      </c>
      <c r="U7" s="514" t="s">
        <v>392</v>
      </c>
      <c r="V7" s="515" t="s">
        <v>818</v>
      </c>
    </row>
    <row r="8" spans="1:22" s="523" customFormat="1" ht="24">
      <c r="A8" s="492"/>
      <c r="B8" s="493"/>
      <c r="C8" s="493" t="s">
        <v>58</v>
      </c>
      <c r="D8" s="516" t="s">
        <v>393</v>
      </c>
      <c r="E8" s="517" t="s">
        <v>59</v>
      </c>
      <c r="F8" s="518"/>
      <c r="G8" s="519">
        <f>34989435+6600+347826+45939</f>
        <v>35389800</v>
      </c>
      <c r="H8" s="519">
        <f>8083672+1155+52174-45939</f>
        <v>8091062</v>
      </c>
      <c r="I8" s="520">
        <f>15275133+16823647+92377+6500</f>
        <v>32197657</v>
      </c>
      <c r="J8" s="520"/>
      <c r="K8" s="520"/>
      <c r="L8" s="520">
        <f>22297000-70000</f>
        <v>22227000</v>
      </c>
      <c r="M8" s="520">
        <v>100000</v>
      </c>
      <c r="N8" s="520"/>
      <c r="O8" s="520"/>
      <c r="P8" s="520"/>
      <c r="Q8" s="520"/>
      <c r="R8" s="519"/>
      <c r="S8" s="520"/>
      <c r="T8" s="521"/>
      <c r="U8" s="520"/>
      <c r="V8" s="522">
        <f aca="true" t="shared" si="0" ref="V8:V49">SUM(G8:U8)</f>
        <v>98005519</v>
      </c>
    </row>
    <row r="9" spans="1:22" s="523" customFormat="1" ht="24">
      <c r="A9" s="492"/>
      <c r="B9" s="493" t="s">
        <v>52</v>
      </c>
      <c r="C9" s="493" t="s">
        <v>55</v>
      </c>
      <c r="D9" s="524" t="s">
        <v>394</v>
      </c>
      <c r="E9" s="525" t="s">
        <v>56</v>
      </c>
      <c r="F9" s="526"/>
      <c r="G9" s="527"/>
      <c r="H9" s="527"/>
      <c r="I9" s="521">
        <f>40527704-54000+500000+308085+1143000</f>
        <v>42424789</v>
      </c>
      <c r="J9" s="521"/>
      <c r="K9" s="521"/>
      <c r="L9" s="521">
        <f>42084000-4779000</f>
        <v>37305000</v>
      </c>
      <c r="M9" s="521"/>
      <c r="N9" s="521"/>
      <c r="O9" s="521"/>
      <c r="P9" s="521"/>
      <c r="Q9" s="521"/>
      <c r="R9" s="527">
        <f>452341169+4790554-13005804</f>
        <v>444125919</v>
      </c>
      <c r="S9" s="521">
        <f>8794813-5098639</f>
        <v>3696174</v>
      </c>
      <c r="T9" s="521">
        <v>449520</v>
      </c>
      <c r="U9" s="521"/>
      <c r="V9" s="522">
        <f t="shared" si="0"/>
        <v>528001402</v>
      </c>
    </row>
    <row r="10" spans="1:22" s="523" customFormat="1" ht="23.25" customHeight="1">
      <c r="A10" s="492"/>
      <c r="B10" s="493"/>
      <c r="C10" s="493" t="s">
        <v>615</v>
      </c>
      <c r="D10" s="524" t="s">
        <v>395</v>
      </c>
      <c r="E10" s="525" t="s">
        <v>616</v>
      </c>
      <c r="F10" s="526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1"/>
      <c r="T10" s="521"/>
      <c r="U10" s="521">
        <v>19299537</v>
      </c>
      <c r="V10" s="522">
        <f t="shared" si="0"/>
        <v>19299537</v>
      </c>
    </row>
    <row r="11" spans="1:22" s="523" customFormat="1" ht="24">
      <c r="A11" s="492">
        <v>20215</v>
      </c>
      <c r="B11" s="493" t="s">
        <v>55</v>
      </c>
      <c r="C11" s="493" t="s">
        <v>63</v>
      </c>
      <c r="D11" s="524" t="s">
        <v>396</v>
      </c>
      <c r="E11" s="525" t="s">
        <v>64</v>
      </c>
      <c r="F11" s="526"/>
      <c r="G11" s="527"/>
      <c r="H11" s="527"/>
      <c r="I11" s="521"/>
      <c r="J11" s="521"/>
      <c r="K11" s="521"/>
      <c r="L11" s="521">
        <v>12311385</v>
      </c>
      <c r="M11" s="521"/>
      <c r="N11" s="521"/>
      <c r="O11" s="521"/>
      <c r="P11" s="521"/>
      <c r="Q11" s="521"/>
      <c r="R11" s="527"/>
      <c r="S11" s="521"/>
      <c r="T11" s="521"/>
      <c r="U11" s="521"/>
      <c r="V11" s="522">
        <f t="shared" si="0"/>
        <v>12311385</v>
      </c>
    </row>
    <row r="12" spans="1:22" s="523" customFormat="1" ht="24">
      <c r="A12" s="492"/>
      <c r="B12" s="493"/>
      <c r="C12" s="493" t="s">
        <v>753</v>
      </c>
      <c r="D12" s="524" t="s">
        <v>397</v>
      </c>
      <c r="E12" s="525" t="s">
        <v>747</v>
      </c>
      <c r="F12" s="526"/>
      <c r="G12" s="527">
        <f>3693375+11080125</f>
        <v>14773500</v>
      </c>
      <c r="H12" s="527">
        <f>323170+969525</f>
        <v>1292695</v>
      </c>
      <c r="I12" s="527">
        <f>4441343</f>
        <v>4441343</v>
      </c>
      <c r="J12" s="527"/>
      <c r="K12" s="527"/>
      <c r="L12" s="527"/>
      <c r="M12" s="527"/>
      <c r="N12" s="527"/>
      <c r="O12" s="527"/>
      <c r="P12" s="527"/>
      <c r="Q12" s="527"/>
      <c r="R12" s="527">
        <f>190500</f>
        <v>190500</v>
      </c>
      <c r="S12" s="521"/>
      <c r="T12" s="527"/>
      <c r="U12" s="521"/>
      <c r="V12" s="522">
        <f t="shared" si="0"/>
        <v>20698038</v>
      </c>
    </row>
    <row r="13" spans="1:22" s="523" customFormat="1" ht="24">
      <c r="A13" s="492"/>
      <c r="B13" s="493"/>
      <c r="C13" s="493" t="s">
        <v>754</v>
      </c>
      <c r="D13" s="524" t="s">
        <v>398</v>
      </c>
      <c r="E13" s="525" t="s">
        <v>748</v>
      </c>
      <c r="F13" s="526"/>
      <c r="G13" s="527">
        <f>12115695+23197320</f>
        <v>35313015</v>
      </c>
      <c r="H13" s="527">
        <f>1060123+2029806</f>
        <v>3089929</v>
      </c>
      <c r="I13" s="527">
        <f>52070+1310301</f>
        <v>1362371</v>
      </c>
      <c r="J13" s="527"/>
      <c r="K13" s="527"/>
      <c r="L13" s="527"/>
      <c r="M13" s="527"/>
      <c r="N13" s="527"/>
      <c r="O13" s="527"/>
      <c r="P13" s="527"/>
      <c r="Q13" s="527"/>
      <c r="R13" s="527">
        <f>74295</f>
        <v>74295</v>
      </c>
      <c r="S13" s="521"/>
      <c r="T13" s="527"/>
      <c r="U13" s="521"/>
      <c r="V13" s="522">
        <f t="shared" si="0"/>
        <v>39839610</v>
      </c>
    </row>
    <row r="14" spans="1:22" s="523" customFormat="1" ht="22.5" customHeight="1">
      <c r="A14" s="492"/>
      <c r="B14" s="493"/>
      <c r="C14" s="493" t="s">
        <v>617</v>
      </c>
      <c r="D14" s="524" t="s">
        <v>399</v>
      </c>
      <c r="E14" s="525" t="s">
        <v>852</v>
      </c>
      <c r="F14" s="526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>
        <f>25000000-20000000</f>
        <v>5000000</v>
      </c>
      <c r="S14" s="521"/>
      <c r="T14" s="527"/>
      <c r="U14" s="521"/>
      <c r="V14" s="522">
        <f t="shared" si="0"/>
        <v>5000000</v>
      </c>
    </row>
    <row r="15" spans="2:22" ht="24">
      <c r="B15" s="493" t="s">
        <v>58</v>
      </c>
      <c r="C15" s="493" t="s">
        <v>53</v>
      </c>
      <c r="D15" s="524" t="s">
        <v>400</v>
      </c>
      <c r="E15" s="525" t="s">
        <v>523</v>
      </c>
      <c r="F15" s="526"/>
      <c r="G15" s="527"/>
      <c r="H15" s="527"/>
      <c r="I15" s="521">
        <v>15377340</v>
      </c>
      <c r="J15" s="521"/>
      <c r="K15" s="521"/>
      <c r="L15" s="521"/>
      <c r="M15" s="521"/>
      <c r="N15" s="521"/>
      <c r="O15" s="521"/>
      <c r="P15" s="521"/>
      <c r="Q15" s="521"/>
      <c r="R15" s="521">
        <v>363120</v>
      </c>
      <c r="S15" s="521"/>
      <c r="T15" s="521"/>
      <c r="U15" s="521"/>
      <c r="V15" s="522">
        <f t="shared" si="0"/>
        <v>15740460</v>
      </c>
    </row>
    <row r="16" spans="2:22" ht="24">
      <c r="B16" s="493" t="s">
        <v>60</v>
      </c>
      <c r="C16" s="493" t="s">
        <v>65</v>
      </c>
      <c r="D16" s="524" t="s">
        <v>401</v>
      </c>
      <c r="E16" s="525" t="s">
        <v>66</v>
      </c>
      <c r="F16" s="526"/>
      <c r="G16" s="527"/>
      <c r="H16" s="527"/>
      <c r="I16" s="521">
        <v>5249710</v>
      </c>
      <c r="J16" s="521"/>
      <c r="K16" s="521"/>
      <c r="L16" s="521"/>
      <c r="M16" s="521"/>
      <c r="N16" s="521"/>
      <c r="O16" s="521"/>
      <c r="P16" s="521"/>
      <c r="Q16" s="521"/>
      <c r="R16" s="521">
        <f>101682090-3817843</f>
        <v>97864247</v>
      </c>
      <c r="S16" s="521"/>
      <c r="T16" s="521"/>
      <c r="U16" s="521"/>
      <c r="V16" s="522">
        <f t="shared" si="0"/>
        <v>103113957</v>
      </c>
    </row>
    <row r="17" spans="3:22" ht="24">
      <c r="C17" s="493" t="s">
        <v>812</v>
      </c>
      <c r="D17" s="524" t="s">
        <v>402</v>
      </c>
      <c r="E17" s="525" t="s">
        <v>794</v>
      </c>
      <c r="F17" s="528"/>
      <c r="G17" s="527"/>
      <c r="H17" s="527"/>
      <c r="I17" s="521">
        <v>4571244</v>
      </c>
      <c r="J17" s="521"/>
      <c r="K17" s="521"/>
      <c r="L17" s="521"/>
      <c r="M17" s="521"/>
      <c r="N17" s="521"/>
      <c r="O17" s="521"/>
      <c r="P17" s="521"/>
      <c r="Q17" s="521"/>
      <c r="R17" s="521">
        <v>187978206</v>
      </c>
      <c r="S17" s="521"/>
      <c r="T17" s="521"/>
      <c r="U17" s="521"/>
      <c r="V17" s="522">
        <f t="shared" si="0"/>
        <v>192549450</v>
      </c>
    </row>
    <row r="18" spans="1:22" ht="24">
      <c r="A18" s="492">
        <v>751791</v>
      </c>
      <c r="B18" s="493" t="s">
        <v>61</v>
      </c>
      <c r="C18" s="493" t="s">
        <v>49</v>
      </c>
      <c r="D18" s="524" t="s">
        <v>403</v>
      </c>
      <c r="E18" s="525" t="s">
        <v>50</v>
      </c>
      <c r="F18" s="528"/>
      <c r="G18" s="521"/>
      <c r="H18" s="527"/>
      <c r="I18" s="521">
        <v>3416864</v>
      </c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2">
        <f t="shared" si="0"/>
        <v>3416864</v>
      </c>
    </row>
    <row r="19" spans="1:22" ht="24">
      <c r="A19" s="492">
        <v>751834</v>
      </c>
      <c r="B19" s="493" t="s">
        <v>62</v>
      </c>
      <c r="C19" s="493" t="s">
        <v>51</v>
      </c>
      <c r="D19" s="524" t="s">
        <v>404</v>
      </c>
      <c r="E19" s="525" t="s">
        <v>375</v>
      </c>
      <c r="F19" s="526"/>
      <c r="G19" s="527"/>
      <c r="H19" s="527"/>
      <c r="I19" s="521">
        <v>9798424</v>
      </c>
      <c r="J19" s="521"/>
      <c r="K19" s="521"/>
      <c r="L19" s="521"/>
      <c r="M19" s="521"/>
      <c r="N19" s="521"/>
      <c r="O19" s="521"/>
      <c r="P19" s="521"/>
      <c r="Q19" s="521"/>
      <c r="R19" s="521">
        <v>1000000</v>
      </c>
      <c r="S19" s="521"/>
      <c r="T19" s="521"/>
      <c r="U19" s="521"/>
      <c r="V19" s="522">
        <f t="shared" si="0"/>
        <v>10798424</v>
      </c>
    </row>
    <row r="20" spans="3:22" ht="24">
      <c r="C20" s="493" t="s">
        <v>52</v>
      </c>
      <c r="D20" s="524" t="s">
        <v>405</v>
      </c>
      <c r="E20" s="525" t="s">
        <v>795</v>
      </c>
      <c r="F20" s="526"/>
      <c r="G20" s="527"/>
      <c r="H20" s="527"/>
      <c r="I20" s="521">
        <v>4276480</v>
      </c>
      <c r="J20" s="521"/>
      <c r="K20" s="521"/>
      <c r="L20" s="521"/>
      <c r="M20" s="521"/>
      <c r="N20" s="521"/>
      <c r="O20" s="521"/>
      <c r="P20" s="521"/>
      <c r="Q20" s="521"/>
      <c r="R20" s="527">
        <v>1940000</v>
      </c>
      <c r="S20" s="521"/>
      <c r="T20" s="521">
        <v>5000000</v>
      </c>
      <c r="U20" s="521"/>
      <c r="V20" s="522">
        <f t="shared" si="0"/>
        <v>11216480</v>
      </c>
    </row>
    <row r="21" spans="3:22" ht="24">
      <c r="C21" s="493" t="s">
        <v>813</v>
      </c>
      <c r="D21" s="524" t="s">
        <v>406</v>
      </c>
      <c r="E21" s="525" t="s">
        <v>796</v>
      </c>
      <c r="F21" s="526"/>
      <c r="G21" s="527"/>
      <c r="H21" s="527"/>
      <c r="I21" s="521">
        <v>1377000</v>
      </c>
      <c r="J21" s="521"/>
      <c r="K21" s="521"/>
      <c r="L21" s="521"/>
      <c r="M21" s="521"/>
      <c r="N21" s="521"/>
      <c r="O21" s="521"/>
      <c r="P21" s="521"/>
      <c r="Q21" s="521"/>
      <c r="R21" s="527"/>
      <c r="S21" s="521">
        <v>21830061</v>
      </c>
      <c r="T21" s="521"/>
      <c r="U21" s="521"/>
      <c r="V21" s="522">
        <f t="shared" si="0"/>
        <v>23207061</v>
      </c>
    </row>
    <row r="22" spans="3:22" ht="24">
      <c r="C22" s="493" t="s">
        <v>904</v>
      </c>
      <c r="D22" s="524" t="s">
        <v>407</v>
      </c>
      <c r="E22" s="525" t="s">
        <v>853</v>
      </c>
      <c r="F22" s="526"/>
      <c r="G22" s="527">
        <v>1044000</v>
      </c>
      <c r="H22" s="527">
        <v>164430</v>
      </c>
      <c r="I22" s="521">
        <f>640554-254000</f>
        <v>386554</v>
      </c>
      <c r="J22" s="521"/>
      <c r="K22" s="521"/>
      <c r="L22" s="521"/>
      <c r="M22" s="521"/>
      <c r="N22" s="521"/>
      <c r="O22" s="521"/>
      <c r="P22" s="521"/>
      <c r="Q22" s="521"/>
      <c r="R22" s="527">
        <v>973100</v>
      </c>
      <c r="S22" s="521"/>
      <c r="T22" s="521"/>
      <c r="U22" s="521"/>
      <c r="V22" s="522">
        <f t="shared" si="0"/>
        <v>2568084</v>
      </c>
    </row>
    <row r="23" spans="3:22" ht="24">
      <c r="C23" s="493" t="s">
        <v>814</v>
      </c>
      <c r="D23" s="524" t="s">
        <v>408</v>
      </c>
      <c r="E23" s="525" t="s">
        <v>797</v>
      </c>
      <c r="F23" s="526"/>
      <c r="G23" s="527">
        <v>609406</v>
      </c>
      <c r="H23" s="527">
        <v>143206</v>
      </c>
      <c r="I23" s="521">
        <v>4667808</v>
      </c>
      <c r="J23" s="521"/>
      <c r="K23" s="521"/>
      <c r="L23" s="521"/>
      <c r="M23" s="521"/>
      <c r="N23" s="521"/>
      <c r="O23" s="521"/>
      <c r="P23" s="521"/>
      <c r="Q23" s="521"/>
      <c r="R23" s="527">
        <f>19510500-1730500-17780000</f>
        <v>0</v>
      </c>
      <c r="S23" s="521">
        <f>91442680+863600</f>
        <v>92306280</v>
      </c>
      <c r="T23" s="521"/>
      <c r="U23" s="521"/>
      <c r="V23" s="522">
        <f t="shared" si="0"/>
        <v>97726700</v>
      </c>
    </row>
    <row r="24" spans="3:22" ht="24" customHeight="1">
      <c r="C24" s="493" t="s">
        <v>749</v>
      </c>
      <c r="D24" s="524" t="s">
        <v>409</v>
      </c>
      <c r="E24" s="525" t="s">
        <v>750</v>
      </c>
      <c r="F24" s="526"/>
      <c r="G24" s="527"/>
      <c r="H24" s="521"/>
      <c r="I24" s="521">
        <v>416194</v>
      </c>
      <c r="J24" s="521"/>
      <c r="K24" s="521"/>
      <c r="L24" s="521"/>
      <c r="M24" s="521"/>
      <c r="N24" s="521"/>
      <c r="O24" s="521"/>
      <c r="P24" s="521"/>
      <c r="Q24" s="521"/>
      <c r="R24" s="527"/>
      <c r="S24" s="521">
        <v>6759599</v>
      </c>
      <c r="T24" s="521"/>
      <c r="U24" s="521"/>
      <c r="V24" s="522">
        <f t="shared" si="0"/>
        <v>7175793</v>
      </c>
    </row>
    <row r="25" spans="1:22" ht="24" customHeight="1">
      <c r="A25" s="492">
        <v>751966</v>
      </c>
      <c r="B25" s="493" t="s">
        <v>63</v>
      </c>
      <c r="C25" s="493" t="s">
        <v>61</v>
      </c>
      <c r="D25" s="524" t="s">
        <v>410</v>
      </c>
      <c r="E25" s="525" t="s">
        <v>378</v>
      </c>
      <c r="F25" s="526"/>
      <c r="G25" s="527"/>
      <c r="H25" s="521"/>
      <c r="I25" s="521">
        <v>24094440</v>
      </c>
      <c r="J25" s="521"/>
      <c r="K25" s="521"/>
      <c r="L25" s="521"/>
      <c r="M25" s="521"/>
      <c r="N25" s="521"/>
      <c r="O25" s="521"/>
      <c r="P25" s="521"/>
      <c r="Q25" s="521"/>
      <c r="R25" s="527"/>
      <c r="S25" s="521">
        <v>2794000</v>
      </c>
      <c r="T25" s="521"/>
      <c r="U25" s="521"/>
      <c r="V25" s="522">
        <f t="shared" si="0"/>
        <v>26888440</v>
      </c>
    </row>
    <row r="26" spans="1:22" ht="24" customHeight="1">
      <c r="A26" s="492">
        <v>751999</v>
      </c>
      <c r="B26" s="493" t="s">
        <v>65</v>
      </c>
      <c r="C26" s="493" t="s">
        <v>57</v>
      </c>
      <c r="D26" s="524" t="s">
        <v>411</v>
      </c>
      <c r="E26" s="525" t="s">
        <v>524</v>
      </c>
      <c r="F26" s="526"/>
      <c r="G26" s="527"/>
      <c r="H26" s="527"/>
      <c r="I26" s="521">
        <v>2640000</v>
      </c>
      <c r="J26" s="521"/>
      <c r="K26" s="521"/>
      <c r="L26" s="521">
        <f>32277000-1444000</f>
        <v>30833000</v>
      </c>
      <c r="M26" s="521"/>
      <c r="N26" s="521"/>
      <c r="O26" s="521"/>
      <c r="P26" s="521"/>
      <c r="Q26" s="521"/>
      <c r="R26" s="527"/>
      <c r="S26" s="521"/>
      <c r="T26" s="521"/>
      <c r="U26" s="521"/>
      <c r="V26" s="522">
        <f t="shared" si="0"/>
        <v>33473000</v>
      </c>
    </row>
    <row r="27" spans="2:23" ht="24">
      <c r="B27" s="493" t="s">
        <v>67</v>
      </c>
      <c r="C27" s="493" t="s">
        <v>62</v>
      </c>
      <c r="D27" s="524" t="s">
        <v>412</v>
      </c>
      <c r="E27" s="525" t="s">
        <v>525</v>
      </c>
      <c r="F27" s="526"/>
      <c r="G27" s="527">
        <f>25000+33000</f>
        <v>58000</v>
      </c>
      <c r="H27" s="527">
        <f>3938+5197</f>
        <v>9135</v>
      </c>
      <c r="I27" s="521">
        <v>14028933</v>
      </c>
      <c r="J27" s="521"/>
      <c r="K27" s="521"/>
      <c r="L27" s="521">
        <f>14018000-6364000-3280000</f>
        <v>4374000</v>
      </c>
      <c r="M27" s="521"/>
      <c r="N27" s="521"/>
      <c r="O27" s="521"/>
      <c r="P27" s="521"/>
      <c r="Q27" s="521"/>
      <c r="R27" s="527">
        <v>3348220</v>
      </c>
      <c r="S27" s="521">
        <v>2000000</v>
      </c>
      <c r="T27" s="521"/>
      <c r="U27" s="521"/>
      <c r="V27" s="522">
        <f t="shared" si="0"/>
        <v>23818288</v>
      </c>
      <c r="W27" s="529"/>
    </row>
    <row r="28" spans="2:23" ht="24" customHeight="1">
      <c r="B28" s="493" t="s">
        <v>68</v>
      </c>
      <c r="C28" s="493" t="s">
        <v>68</v>
      </c>
      <c r="D28" s="1012" t="s">
        <v>859</v>
      </c>
      <c r="E28" s="525" t="s">
        <v>380</v>
      </c>
      <c r="F28" s="530"/>
      <c r="G28" s="521"/>
      <c r="H28" s="521"/>
      <c r="I28" s="521">
        <v>360000</v>
      </c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2">
        <f t="shared" si="0"/>
        <v>360000</v>
      </c>
      <c r="W28" s="529"/>
    </row>
    <row r="29" spans="2:24" ht="24" customHeight="1">
      <c r="B29" s="493" t="s">
        <v>69</v>
      </c>
      <c r="C29" s="493" t="s">
        <v>69</v>
      </c>
      <c r="D29" s="1012"/>
      <c r="E29" s="525" t="s">
        <v>381</v>
      </c>
      <c r="F29" s="530"/>
      <c r="G29" s="521"/>
      <c r="H29" s="521"/>
      <c r="I29" s="521">
        <v>27644450</v>
      </c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2">
        <f t="shared" si="0"/>
        <v>27644450</v>
      </c>
      <c r="X29" s="492" t="s">
        <v>720</v>
      </c>
    </row>
    <row r="30" spans="1:24" ht="24" customHeight="1">
      <c r="A30" s="492">
        <v>851286</v>
      </c>
      <c r="B30" s="493" t="s">
        <v>70</v>
      </c>
      <c r="C30" s="493" t="s">
        <v>70</v>
      </c>
      <c r="D30" s="1012"/>
      <c r="E30" s="525" t="s">
        <v>382</v>
      </c>
      <c r="F30" s="530"/>
      <c r="G30" s="521"/>
      <c r="H30" s="521"/>
      <c r="I30" s="521">
        <v>120000</v>
      </c>
      <c r="J30" s="521"/>
      <c r="K30" s="521"/>
      <c r="L30" s="521">
        <v>2626200</v>
      </c>
      <c r="M30" s="521"/>
      <c r="N30" s="521"/>
      <c r="O30" s="521"/>
      <c r="P30" s="521"/>
      <c r="Q30" s="521"/>
      <c r="R30" s="521"/>
      <c r="S30" s="521"/>
      <c r="T30" s="521"/>
      <c r="U30" s="521"/>
      <c r="V30" s="522">
        <f t="shared" si="0"/>
        <v>2746200</v>
      </c>
      <c r="X30" s="529">
        <f>SUM(V28:V31)</f>
        <v>68967887</v>
      </c>
    </row>
    <row r="31" spans="1:22" s="523" customFormat="1" ht="27" customHeight="1">
      <c r="A31" s="492">
        <v>851297</v>
      </c>
      <c r="B31" s="493" t="s">
        <v>71</v>
      </c>
      <c r="C31" s="493" t="s">
        <v>71</v>
      </c>
      <c r="D31" s="1012"/>
      <c r="E31" s="525" t="s">
        <v>436</v>
      </c>
      <c r="F31" s="530"/>
      <c r="G31" s="521">
        <f>27396716+2500000</f>
        <v>29896716</v>
      </c>
      <c r="H31" s="521">
        <f>4793101+387500</f>
        <v>5180601</v>
      </c>
      <c r="I31" s="521">
        <v>2949420</v>
      </c>
      <c r="J31" s="521"/>
      <c r="K31" s="521"/>
      <c r="L31" s="521"/>
      <c r="M31" s="521"/>
      <c r="N31" s="521"/>
      <c r="O31" s="521"/>
      <c r="P31" s="521"/>
      <c r="Q31" s="521"/>
      <c r="R31" s="521">
        <v>190500</v>
      </c>
      <c r="S31" s="521"/>
      <c r="T31" s="521"/>
      <c r="U31" s="521"/>
      <c r="V31" s="522">
        <f t="shared" si="0"/>
        <v>38217237</v>
      </c>
    </row>
    <row r="32" spans="1:22" s="523" customFormat="1" ht="24" customHeight="1">
      <c r="A32" s="492"/>
      <c r="B32" s="493"/>
      <c r="C32" s="493" t="s">
        <v>993</v>
      </c>
      <c r="D32" s="524" t="s">
        <v>414</v>
      </c>
      <c r="E32" s="525" t="s">
        <v>995</v>
      </c>
      <c r="F32" s="531"/>
      <c r="G32" s="521"/>
      <c r="H32" s="521"/>
      <c r="I32" s="521">
        <f>600000+1275000</f>
        <v>1875000</v>
      </c>
      <c r="J32" s="521"/>
      <c r="K32" s="521"/>
      <c r="L32" s="521"/>
      <c r="M32" s="521"/>
      <c r="N32" s="521"/>
      <c r="O32" s="521"/>
      <c r="P32" s="521"/>
      <c r="Q32" s="521"/>
      <c r="R32" s="521">
        <f>400000+100000</f>
        <v>500000</v>
      </c>
      <c r="S32" s="521"/>
      <c r="T32" s="521"/>
      <c r="U32" s="521"/>
      <c r="V32" s="522">
        <f t="shared" si="0"/>
        <v>2375000</v>
      </c>
    </row>
    <row r="33" spans="1:22" s="523" customFormat="1" ht="24" customHeight="1">
      <c r="A33" s="492">
        <v>853322</v>
      </c>
      <c r="B33" s="493" t="s">
        <v>72</v>
      </c>
      <c r="C33" s="493" t="s">
        <v>80</v>
      </c>
      <c r="D33" s="524" t="s">
        <v>475</v>
      </c>
      <c r="E33" s="525" t="s">
        <v>81</v>
      </c>
      <c r="F33" s="531"/>
      <c r="G33" s="521"/>
      <c r="H33" s="521"/>
      <c r="I33" s="521">
        <v>1500000</v>
      </c>
      <c r="J33" s="521"/>
      <c r="K33" s="521"/>
      <c r="L33" s="521">
        <f>16949000</f>
        <v>16949000</v>
      </c>
      <c r="M33" s="521"/>
      <c r="N33" s="521"/>
      <c r="O33" s="521"/>
      <c r="P33" s="521"/>
      <c r="Q33" s="521"/>
      <c r="R33" s="521"/>
      <c r="S33" s="521"/>
      <c r="T33" s="521"/>
      <c r="U33" s="521"/>
      <c r="V33" s="522">
        <f t="shared" si="0"/>
        <v>18449000</v>
      </c>
    </row>
    <row r="34" spans="1:22" s="523" customFormat="1" ht="24" customHeight="1">
      <c r="A34" s="492"/>
      <c r="B34" s="493"/>
      <c r="C34" s="493" t="s">
        <v>54</v>
      </c>
      <c r="D34" s="524" t="s">
        <v>476</v>
      </c>
      <c r="E34" s="525" t="s">
        <v>798</v>
      </c>
      <c r="F34" s="531"/>
      <c r="G34" s="521"/>
      <c r="H34" s="521"/>
      <c r="I34" s="521"/>
      <c r="J34" s="521"/>
      <c r="K34" s="521"/>
      <c r="L34" s="521"/>
      <c r="M34" s="521">
        <v>15000</v>
      </c>
      <c r="N34" s="521"/>
      <c r="O34" s="521"/>
      <c r="P34" s="521"/>
      <c r="Q34" s="521"/>
      <c r="R34" s="521"/>
      <c r="S34" s="521"/>
      <c r="T34" s="521"/>
      <c r="U34" s="521"/>
      <c r="V34" s="522">
        <f t="shared" si="0"/>
        <v>15000</v>
      </c>
    </row>
    <row r="35" spans="1:22" s="523" customFormat="1" ht="24">
      <c r="A35" s="492"/>
      <c r="B35" s="493" t="s">
        <v>73</v>
      </c>
      <c r="C35" s="493" t="s">
        <v>522</v>
      </c>
      <c r="D35" s="524" t="s">
        <v>477</v>
      </c>
      <c r="E35" s="532" t="s">
        <v>592</v>
      </c>
      <c r="F35" s="531"/>
      <c r="G35" s="521">
        <v>80000</v>
      </c>
      <c r="H35" s="521">
        <v>38963</v>
      </c>
      <c r="I35" s="521">
        <v>1830220</v>
      </c>
      <c r="J35" s="521"/>
      <c r="K35" s="521"/>
      <c r="L35" s="521"/>
      <c r="M35" s="521"/>
      <c r="N35" s="521"/>
      <c r="O35" s="521"/>
      <c r="P35" s="521"/>
      <c r="Q35" s="521"/>
      <c r="R35" s="521">
        <v>730250</v>
      </c>
      <c r="S35" s="521"/>
      <c r="T35" s="521"/>
      <c r="U35" s="521"/>
      <c r="V35" s="522">
        <f t="shared" si="0"/>
        <v>2679433</v>
      </c>
    </row>
    <row r="36" spans="2:24" ht="20.25" customHeight="1">
      <c r="B36" s="493" t="s">
        <v>75</v>
      </c>
      <c r="C36" s="493" t="s">
        <v>815</v>
      </c>
      <c r="D36" s="534" t="s">
        <v>456</v>
      </c>
      <c r="E36" s="525" t="s">
        <v>83</v>
      </c>
      <c r="F36" s="530"/>
      <c r="G36" s="521"/>
      <c r="H36" s="521"/>
      <c r="I36" s="521">
        <v>73660</v>
      </c>
      <c r="J36" s="521"/>
      <c r="K36" s="533"/>
      <c r="L36" s="533"/>
      <c r="M36" s="521"/>
      <c r="N36" s="521"/>
      <c r="O36" s="521"/>
      <c r="P36" s="521"/>
      <c r="Q36" s="521"/>
      <c r="R36" s="521"/>
      <c r="S36" s="521"/>
      <c r="T36" s="521"/>
      <c r="U36" s="521"/>
      <c r="V36" s="522">
        <f t="shared" si="0"/>
        <v>73660</v>
      </c>
      <c r="X36" s="529">
        <f>SUM(V36:V36)</f>
        <v>73660</v>
      </c>
    </row>
    <row r="37" spans="3:24" ht="27" customHeight="1">
      <c r="C37" s="493" t="s">
        <v>816</v>
      </c>
      <c r="D37" s="534" t="s">
        <v>478</v>
      </c>
      <c r="E37" s="525" t="s">
        <v>799</v>
      </c>
      <c r="F37" s="530"/>
      <c r="G37" s="521">
        <v>5400000</v>
      </c>
      <c r="H37" s="521">
        <v>927500</v>
      </c>
      <c r="I37" s="521">
        <v>5902169</v>
      </c>
      <c r="J37" s="521"/>
      <c r="K37" s="533"/>
      <c r="L37" s="533"/>
      <c r="M37" s="521"/>
      <c r="N37" s="521"/>
      <c r="O37" s="521"/>
      <c r="P37" s="521"/>
      <c r="Q37" s="521"/>
      <c r="R37" s="521"/>
      <c r="S37" s="521"/>
      <c r="T37" s="521"/>
      <c r="U37" s="521"/>
      <c r="V37" s="522">
        <f t="shared" si="0"/>
        <v>12229669</v>
      </c>
      <c r="X37" s="529"/>
    </row>
    <row r="38" spans="3:24" ht="26.25" customHeight="1">
      <c r="C38" s="493" t="s">
        <v>67</v>
      </c>
      <c r="D38" s="534" t="s">
        <v>994</v>
      </c>
      <c r="E38" s="525" t="s">
        <v>800</v>
      </c>
      <c r="F38" s="530"/>
      <c r="G38" s="521"/>
      <c r="H38" s="521"/>
      <c r="I38" s="521"/>
      <c r="J38" s="521"/>
      <c r="K38" s="533"/>
      <c r="L38" s="533"/>
      <c r="M38" s="521"/>
      <c r="N38" s="521"/>
      <c r="O38" s="521"/>
      <c r="P38" s="521"/>
      <c r="Q38" s="521"/>
      <c r="R38" s="521"/>
      <c r="S38" s="521">
        <v>31599998</v>
      </c>
      <c r="T38" s="521"/>
      <c r="U38" s="521"/>
      <c r="V38" s="522">
        <f t="shared" si="0"/>
        <v>31599998</v>
      </c>
      <c r="X38" s="529"/>
    </row>
    <row r="39" spans="3:24" ht="24.75" customHeight="1">
      <c r="C39" s="493" t="s">
        <v>817</v>
      </c>
      <c r="D39" s="534" t="s">
        <v>416</v>
      </c>
      <c r="E39" s="525" t="s">
        <v>801</v>
      </c>
      <c r="F39" s="530"/>
      <c r="G39" s="521">
        <f>8650000+5000000</f>
        <v>13650000</v>
      </c>
      <c r="H39" s="521">
        <f>1409909+875000</f>
        <v>2284909</v>
      </c>
      <c r="I39" s="521">
        <f>2242300+18063936</f>
        <v>20306236</v>
      </c>
      <c r="J39" s="521"/>
      <c r="K39" s="533"/>
      <c r="L39" s="533"/>
      <c r="M39" s="521"/>
      <c r="N39" s="521"/>
      <c r="O39" s="521"/>
      <c r="P39" s="521"/>
      <c r="Q39" s="521"/>
      <c r="R39" s="521"/>
      <c r="S39" s="521"/>
      <c r="T39" s="521"/>
      <c r="U39" s="521"/>
      <c r="V39" s="522">
        <f t="shared" si="0"/>
        <v>36241145</v>
      </c>
      <c r="X39" s="529"/>
    </row>
    <row r="40" spans="3:22" ht="24">
      <c r="C40" s="493" t="s">
        <v>622</v>
      </c>
      <c r="D40" s="534" t="s">
        <v>417</v>
      </c>
      <c r="E40" s="525" t="s">
        <v>623</v>
      </c>
      <c r="F40" s="530"/>
      <c r="G40" s="521">
        <v>2543600</v>
      </c>
      <c r="H40" s="521">
        <v>445130</v>
      </c>
      <c r="I40" s="521">
        <v>57876511</v>
      </c>
      <c r="J40" s="521"/>
      <c r="K40" s="521"/>
      <c r="L40" s="521"/>
      <c r="M40" s="521"/>
      <c r="N40" s="521"/>
      <c r="O40" s="521"/>
      <c r="P40" s="521"/>
      <c r="Q40" s="521"/>
      <c r="R40" s="521">
        <v>74930</v>
      </c>
      <c r="S40" s="521"/>
      <c r="T40" s="521"/>
      <c r="U40" s="521"/>
      <c r="V40" s="522">
        <f t="shared" si="0"/>
        <v>60940171</v>
      </c>
    </row>
    <row r="41" spans="2:22" ht="24" customHeight="1">
      <c r="B41" s="493" t="s">
        <v>76</v>
      </c>
      <c r="C41" s="493" t="s">
        <v>619</v>
      </c>
      <c r="D41" s="534" t="s">
        <v>479</v>
      </c>
      <c r="E41" s="525" t="s">
        <v>620</v>
      </c>
      <c r="F41" s="530"/>
      <c r="G41" s="521"/>
      <c r="H41" s="521"/>
      <c r="I41" s="521">
        <v>11650000</v>
      </c>
      <c r="J41" s="521"/>
      <c r="K41" s="521"/>
      <c r="L41" s="521">
        <v>10000000</v>
      </c>
      <c r="M41" s="521"/>
      <c r="N41" s="521"/>
      <c r="O41" s="521"/>
      <c r="P41" s="521"/>
      <c r="Q41" s="521"/>
      <c r="R41" s="521"/>
      <c r="S41" s="521"/>
      <c r="T41" s="521"/>
      <c r="U41" s="521"/>
      <c r="V41" s="522">
        <f t="shared" si="0"/>
        <v>21650000</v>
      </c>
    </row>
    <row r="42" spans="3:22" ht="24">
      <c r="C42" s="493" t="s">
        <v>624</v>
      </c>
      <c r="D42" s="534" t="s">
        <v>418</v>
      </c>
      <c r="E42" s="525" t="s">
        <v>625</v>
      </c>
      <c r="F42" s="530"/>
      <c r="G42" s="521"/>
      <c r="H42" s="521"/>
      <c r="I42" s="521">
        <v>1812600</v>
      </c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2">
        <f t="shared" si="0"/>
        <v>1812600</v>
      </c>
    </row>
    <row r="43" spans="3:24" ht="24" customHeight="1">
      <c r="C43" s="493" t="s">
        <v>76</v>
      </c>
      <c r="D43" s="534" t="s">
        <v>435</v>
      </c>
      <c r="E43" s="525" t="s">
        <v>751</v>
      </c>
      <c r="F43" s="530"/>
      <c r="G43" s="521">
        <v>24650000</v>
      </c>
      <c r="H43" s="521">
        <v>4900455</v>
      </c>
      <c r="I43" s="521">
        <f>17254444+13881090</f>
        <v>31135534</v>
      </c>
      <c r="J43" s="521"/>
      <c r="K43" s="521"/>
      <c r="L43" s="521"/>
      <c r="M43" s="521"/>
      <c r="N43" s="521"/>
      <c r="O43" s="521"/>
      <c r="P43" s="521"/>
      <c r="Q43" s="521"/>
      <c r="R43" s="521">
        <v>6000000</v>
      </c>
      <c r="S43" s="521"/>
      <c r="T43" s="521"/>
      <c r="U43" s="521"/>
      <c r="V43" s="522">
        <f t="shared" si="0"/>
        <v>66685989</v>
      </c>
      <c r="X43" s="529">
        <f>SUM(V41:V44)</f>
        <v>113474308</v>
      </c>
    </row>
    <row r="44" spans="2:22" ht="24" customHeight="1">
      <c r="B44" s="493" t="s">
        <v>78</v>
      </c>
      <c r="C44" s="493" t="s">
        <v>74</v>
      </c>
      <c r="D44" s="534" t="s">
        <v>480</v>
      </c>
      <c r="E44" s="525" t="s">
        <v>452</v>
      </c>
      <c r="F44" s="530"/>
      <c r="G44" s="521">
        <f>1344830</f>
        <v>1344830</v>
      </c>
      <c r="H44" s="521">
        <f>208449</f>
        <v>208449</v>
      </c>
      <c r="I44" s="521">
        <f>2600000+17596440</f>
        <v>20196440</v>
      </c>
      <c r="J44" s="521"/>
      <c r="K44" s="521"/>
      <c r="L44" s="521">
        <f>2032000-1016000</f>
        <v>1016000</v>
      </c>
      <c r="M44" s="521"/>
      <c r="N44" s="521"/>
      <c r="O44" s="521"/>
      <c r="P44" s="521"/>
      <c r="Q44" s="521"/>
      <c r="R44" s="521">
        <v>560000</v>
      </c>
      <c r="S44" s="521"/>
      <c r="T44" s="521"/>
      <c r="U44" s="521"/>
      <c r="V44" s="522">
        <f t="shared" si="0"/>
        <v>23325719</v>
      </c>
    </row>
    <row r="45" spans="3:22" ht="24" customHeight="1">
      <c r="C45" s="493" t="s">
        <v>802</v>
      </c>
      <c r="D45" s="534" t="s">
        <v>481</v>
      </c>
      <c r="E45" s="525" t="s">
        <v>803</v>
      </c>
      <c r="F45" s="530"/>
      <c r="G45" s="521">
        <f>3459090</f>
        <v>3459090</v>
      </c>
      <c r="H45" s="521">
        <f>536159</f>
        <v>536159</v>
      </c>
      <c r="I45" s="521">
        <v>175000</v>
      </c>
      <c r="J45" s="521"/>
      <c r="K45" s="521"/>
      <c r="L45" s="521">
        <f>2286000-1143000</f>
        <v>1143000</v>
      </c>
      <c r="M45" s="521"/>
      <c r="N45" s="521"/>
      <c r="O45" s="521"/>
      <c r="P45" s="521"/>
      <c r="Q45" s="521"/>
      <c r="R45" s="521">
        <v>250000</v>
      </c>
      <c r="S45" s="521"/>
      <c r="T45" s="535"/>
      <c r="U45" s="521"/>
      <c r="V45" s="522">
        <f t="shared" si="0"/>
        <v>5563249</v>
      </c>
    </row>
    <row r="46" spans="2:22" ht="24">
      <c r="B46" s="493" t="s">
        <v>80</v>
      </c>
      <c r="C46" s="493" t="s">
        <v>77</v>
      </c>
      <c r="D46" s="534" t="s">
        <v>806</v>
      </c>
      <c r="E46" s="525" t="s">
        <v>621</v>
      </c>
      <c r="F46" s="530"/>
      <c r="G46" s="521"/>
      <c r="H46" s="521"/>
      <c r="I46" s="521"/>
      <c r="J46" s="521">
        <v>3804900</v>
      </c>
      <c r="K46" s="521"/>
      <c r="L46" s="521"/>
      <c r="M46" s="521"/>
      <c r="N46" s="521"/>
      <c r="O46" s="521"/>
      <c r="P46" s="521"/>
      <c r="Q46" s="521"/>
      <c r="R46" s="521"/>
      <c r="S46" s="521"/>
      <c r="T46" s="535"/>
      <c r="U46" s="521"/>
      <c r="V46" s="522">
        <f t="shared" si="0"/>
        <v>3804900</v>
      </c>
    </row>
    <row r="47" spans="3:22" ht="24">
      <c r="C47" s="493" t="s">
        <v>804</v>
      </c>
      <c r="D47" s="534" t="s">
        <v>807</v>
      </c>
      <c r="E47" s="525" t="s">
        <v>805</v>
      </c>
      <c r="F47" s="536"/>
      <c r="G47" s="537">
        <f>18342800+1350000+1125000</f>
        <v>20817800</v>
      </c>
      <c r="H47" s="535">
        <f>3773040+236250+196875</f>
        <v>4206165</v>
      </c>
      <c r="I47" s="535">
        <f>22523810+60657486</f>
        <v>83181296</v>
      </c>
      <c r="J47" s="535"/>
      <c r="K47" s="535"/>
      <c r="L47" s="535"/>
      <c r="M47" s="535"/>
      <c r="N47" s="535"/>
      <c r="O47" s="535"/>
      <c r="P47" s="535"/>
      <c r="Q47" s="535"/>
      <c r="R47" s="535">
        <v>2460790</v>
      </c>
      <c r="S47" s="535">
        <v>523290</v>
      </c>
      <c r="T47" s="537"/>
      <c r="U47" s="535"/>
      <c r="V47" s="522">
        <f t="shared" si="0"/>
        <v>111189341</v>
      </c>
    </row>
    <row r="48" spans="4:22" ht="24">
      <c r="D48" s="534" t="s">
        <v>808</v>
      </c>
      <c r="E48" s="525" t="s">
        <v>379</v>
      </c>
      <c r="F48" s="536"/>
      <c r="G48" s="537"/>
      <c r="H48" s="535"/>
      <c r="I48" s="535"/>
      <c r="J48" s="535"/>
      <c r="K48" s="535"/>
      <c r="L48" s="535"/>
      <c r="M48" s="535"/>
      <c r="N48" s="535">
        <f>1000000-1000000</f>
        <v>0</v>
      </c>
      <c r="O48" s="535">
        <v>350000</v>
      </c>
      <c r="P48" s="535">
        <v>1000000</v>
      </c>
      <c r="Q48" s="535">
        <v>200000</v>
      </c>
      <c r="R48" s="535"/>
      <c r="S48" s="535"/>
      <c r="T48" s="537"/>
      <c r="U48" s="535"/>
      <c r="V48" s="522">
        <f t="shared" si="0"/>
        <v>1550000</v>
      </c>
    </row>
    <row r="49" spans="3:22" ht="24">
      <c r="C49" s="493" t="s">
        <v>752</v>
      </c>
      <c r="D49" s="534" t="s">
        <v>809</v>
      </c>
      <c r="E49" s="539" t="s">
        <v>591</v>
      </c>
      <c r="F49" s="536"/>
      <c r="G49" s="537"/>
      <c r="H49" s="537"/>
      <c r="I49" s="537">
        <v>8285000</v>
      </c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22">
        <f t="shared" si="0"/>
        <v>8285000</v>
      </c>
    </row>
    <row r="50" spans="1:25" s="540" customFormat="1" ht="24" customHeight="1" thickBot="1">
      <c r="A50" s="540">
        <v>999997</v>
      </c>
      <c r="B50" s="538"/>
      <c r="D50" s="541" t="s">
        <v>810</v>
      </c>
      <c r="E50" s="542" t="s">
        <v>365</v>
      </c>
      <c r="F50" s="543">
        <f>SUM(F8:F46)</f>
        <v>0</v>
      </c>
      <c r="G50" s="544">
        <f aca="true" t="shared" si="1" ref="G50:V50">SUM(G8:G49)</f>
        <v>189029757</v>
      </c>
      <c r="H50" s="544">
        <f t="shared" si="1"/>
        <v>31518788</v>
      </c>
      <c r="I50" s="544">
        <f t="shared" si="1"/>
        <v>447600687</v>
      </c>
      <c r="J50" s="544">
        <f t="shared" si="1"/>
        <v>3804900</v>
      </c>
      <c r="K50" s="544">
        <f t="shared" si="1"/>
        <v>0</v>
      </c>
      <c r="L50" s="544">
        <f t="shared" si="1"/>
        <v>138784585</v>
      </c>
      <c r="M50" s="544">
        <f t="shared" si="1"/>
        <v>115000</v>
      </c>
      <c r="N50" s="544">
        <f t="shared" si="1"/>
        <v>0</v>
      </c>
      <c r="O50" s="544">
        <f t="shared" si="1"/>
        <v>350000</v>
      </c>
      <c r="P50" s="544">
        <f t="shared" si="1"/>
        <v>1000000</v>
      </c>
      <c r="Q50" s="544">
        <f t="shared" si="1"/>
        <v>200000</v>
      </c>
      <c r="R50" s="544">
        <f t="shared" si="1"/>
        <v>753624077</v>
      </c>
      <c r="S50" s="544">
        <f t="shared" si="1"/>
        <v>161509402</v>
      </c>
      <c r="T50" s="544">
        <f t="shared" si="1"/>
        <v>5449520</v>
      </c>
      <c r="U50" s="544">
        <f t="shared" si="1"/>
        <v>19299537</v>
      </c>
      <c r="V50" s="545">
        <f t="shared" si="1"/>
        <v>1752286253</v>
      </c>
      <c r="W50" s="546">
        <f>SUM(G50:U50)</f>
        <v>1752286253</v>
      </c>
      <c r="X50" s="547"/>
      <c r="Y50" s="547"/>
    </row>
    <row r="51" ht="12.75">
      <c r="E51" s="548"/>
    </row>
    <row r="55" ht="12">
      <c r="F55" s="550"/>
    </row>
  </sheetData>
  <sheetProtection/>
  <mergeCells count="9">
    <mergeCell ref="D28:D31"/>
    <mergeCell ref="Q1:V1"/>
    <mergeCell ref="E2:V2"/>
    <mergeCell ref="D4:D7"/>
    <mergeCell ref="E4:E6"/>
    <mergeCell ref="F4:F6"/>
    <mergeCell ref="K5:Q5"/>
    <mergeCell ref="G4:U4"/>
    <mergeCell ref="V4:V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C1">
      <selection activeCell="D4" sqref="D4:L35"/>
    </sheetView>
  </sheetViews>
  <sheetFormatPr defaultColWidth="8.875" defaultRowHeight="12.75"/>
  <cols>
    <col min="1" max="1" width="1.37890625" style="492" hidden="1" customWidth="1"/>
    <col min="2" max="2" width="8.00390625" style="493" hidden="1" customWidth="1"/>
    <col min="3" max="3" width="8.00390625" style="493" customWidth="1"/>
    <col min="4" max="4" width="7.625" style="494" customWidth="1"/>
    <col min="5" max="5" width="38.00390625" style="492" customWidth="1"/>
    <col min="6" max="10" width="13.125" style="492" customWidth="1"/>
    <col min="11" max="11" width="16.75390625" style="549" customWidth="1"/>
    <col min="12" max="12" width="14.375" style="492" customWidth="1"/>
    <col min="13" max="13" width="9.875" style="492" bestFit="1" customWidth="1"/>
    <col min="14" max="16384" width="8.875" style="492" customWidth="1"/>
  </cols>
  <sheetData>
    <row r="1" spans="3:11" ht="15">
      <c r="C1" s="1013"/>
      <c r="I1" s="1015"/>
      <c r="J1" s="1015"/>
      <c r="K1" s="1015"/>
    </row>
    <row r="2" spans="3:14" ht="15">
      <c r="C2" s="1013"/>
      <c r="H2" s="602"/>
      <c r="I2" s="602"/>
      <c r="J2" s="603"/>
      <c r="K2" s="602" t="s">
        <v>1085</v>
      </c>
      <c r="L2" s="603"/>
      <c r="M2" s="603"/>
      <c r="N2" s="603"/>
    </row>
    <row r="3" spans="3:14" ht="15">
      <c r="C3" s="1013"/>
      <c r="H3" s="602"/>
      <c r="I3" s="602"/>
      <c r="J3" s="603"/>
      <c r="K3" s="602"/>
      <c r="L3" s="603"/>
      <c r="M3" s="603"/>
      <c r="N3" s="603"/>
    </row>
    <row r="4" spans="1:11" s="662" customFormat="1" ht="39" customHeight="1">
      <c r="A4" s="496"/>
      <c r="B4" s="497"/>
      <c r="C4" s="1013"/>
      <c r="D4" s="1035" t="s">
        <v>854</v>
      </c>
      <c r="E4" s="1035"/>
      <c r="F4" s="1035"/>
      <c r="G4" s="1035"/>
      <c r="H4" s="1035"/>
      <c r="I4" s="1035"/>
      <c r="J4" s="1035"/>
      <c r="K4" s="1035"/>
    </row>
    <row r="5" ht="12">
      <c r="K5" s="663"/>
    </row>
    <row r="6" ht="12">
      <c r="K6" s="663"/>
    </row>
    <row r="7" ht="12.75" thickBot="1">
      <c r="K7" s="498"/>
    </row>
    <row r="8" spans="2:11" s="499" customFormat="1" ht="12.75" customHeight="1">
      <c r="B8" s="500"/>
      <c r="C8" s="500"/>
      <c r="D8" s="1017" t="s">
        <v>432</v>
      </c>
      <c r="E8" s="1020" t="s">
        <v>361</v>
      </c>
      <c r="F8" s="1029" t="s">
        <v>369</v>
      </c>
      <c r="G8" s="1030"/>
      <c r="H8" s="1030"/>
      <c r="I8" s="1030"/>
      <c r="J8" s="1030"/>
      <c r="K8" s="1032" t="s">
        <v>370</v>
      </c>
    </row>
    <row r="9" spans="2:11" s="501" customFormat="1" ht="12" customHeight="1">
      <c r="B9" s="502"/>
      <c r="C9" s="502"/>
      <c r="D9" s="1018"/>
      <c r="E9" s="1021"/>
      <c r="F9" s="503" t="s">
        <v>1</v>
      </c>
      <c r="G9" s="503" t="s">
        <v>3</v>
      </c>
      <c r="H9" s="503" t="s">
        <v>5</v>
      </c>
      <c r="I9" s="505" t="s">
        <v>119</v>
      </c>
      <c r="J9" s="505" t="s">
        <v>121</v>
      </c>
      <c r="K9" s="1033"/>
    </row>
    <row r="10" spans="2:11" s="501" customFormat="1" ht="63.75" customHeight="1">
      <c r="B10" s="502"/>
      <c r="C10" s="502"/>
      <c r="D10" s="1018"/>
      <c r="E10" s="1022"/>
      <c r="F10" s="506" t="s">
        <v>344</v>
      </c>
      <c r="G10" s="506" t="s">
        <v>618</v>
      </c>
      <c r="H10" s="506" t="s">
        <v>363</v>
      </c>
      <c r="I10" s="504" t="s">
        <v>342</v>
      </c>
      <c r="J10" s="504" t="s">
        <v>372</v>
      </c>
      <c r="K10" s="1034"/>
    </row>
    <row r="11" spans="2:11" s="611" customFormat="1" ht="12.75" thickBot="1">
      <c r="B11" s="612"/>
      <c r="C11" s="612"/>
      <c r="D11" s="1018"/>
      <c r="E11" s="613" t="s">
        <v>426</v>
      </c>
      <c r="F11" s="614" t="s">
        <v>427</v>
      </c>
      <c r="G11" s="614" t="s">
        <v>428</v>
      </c>
      <c r="H11" s="615" t="s">
        <v>429</v>
      </c>
      <c r="I11" s="615" t="s">
        <v>430</v>
      </c>
      <c r="J11" s="615" t="s">
        <v>431</v>
      </c>
      <c r="K11" s="616" t="s">
        <v>433</v>
      </c>
    </row>
    <row r="12" spans="1:11" s="523" customFormat="1" ht="36" customHeight="1">
      <c r="A12" s="492"/>
      <c r="B12" s="493"/>
      <c r="C12" s="493"/>
      <c r="D12" s="1042" t="s">
        <v>371</v>
      </c>
      <c r="E12" s="1043"/>
      <c r="F12" s="1043"/>
      <c r="G12" s="1043"/>
      <c r="H12" s="1043"/>
      <c r="I12" s="1043"/>
      <c r="J12" s="1043"/>
      <c r="K12" s="1044"/>
    </row>
    <row r="13" spans="2:11" s="620" customFormat="1" ht="34.5" customHeight="1">
      <c r="B13" s="621" t="s">
        <v>52</v>
      </c>
      <c r="C13" s="621"/>
      <c r="D13" s="622" t="s">
        <v>393</v>
      </c>
      <c r="E13" s="623" t="s">
        <v>768</v>
      </c>
      <c r="F13" s="625">
        <f>91562414+103400+1263600-340425+513114</f>
        <v>93102103</v>
      </c>
      <c r="G13" s="625">
        <f>16696818+18095+221130-59575-513114</f>
        <v>16363354</v>
      </c>
      <c r="H13" s="625">
        <v>26913440</v>
      </c>
      <c r="I13" s="625">
        <v>1934590</v>
      </c>
      <c r="J13" s="625">
        <v>0</v>
      </c>
      <c r="K13" s="626">
        <f>SUM(F13:J13)</f>
        <v>138313487</v>
      </c>
    </row>
    <row r="14" spans="2:11" s="620" customFormat="1" ht="71.25">
      <c r="B14" s="621" t="s">
        <v>53</v>
      </c>
      <c r="C14" s="621"/>
      <c r="D14" s="622" t="s">
        <v>394</v>
      </c>
      <c r="E14" s="628" t="s">
        <v>855</v>
      </c>
      <c r="F14" s="625">
        <v>4740000</v>
      </c>
      <c r="G14" s="625">
        <v>829500</v>
      </c>
      <c r="H14" s="625">
        <v>0</v>
      </c>
      <c r="I14" s="625">
        <v>0</v>
      </c>
      <c r="J14" s="625">
        <v>0</v>
      </c>
      <c r="K14" s="626">
        <f>SUM(F14:J14)</f>
        <v>5569500</v>
      </c>
    </row>
    <row r="15" spans="2:11" s="620" customFormat="1" ht="72" thickBot="1">
      <c r="B15" s="621"/>
      <c r="C15" s="621"/>
      <c r="D15" s="627" t="s">
        <v>395</v>
      </c>
      <c r="E15" s="628" t="s">
        <v>856</v>
      </c>
      <c r="F15" s="629">
        <v>2452125</v>
      </c>
      <c r="G15" s="629">
        <v>429122</v>
      </c>
      <c r="H15" s="629">
        <v>0</v>
      </c>
      <c r="I15" s="629">
        <v>0</v>
      </c>
      <c r="J15" s="629">
        <v>0</v>
      </c>
      <c r="K15" s="630">
        <f>SUM(F15:J15)</f>
        <v>2881247</v>
      </c>
    </row>
    <row r="16" spans="1:14" s="631" customFormat="1" ht="24" customHeight="1" thickBot="1">
      <c r="A16" s="631">
        <v>999997</v>
      </c>
      <c r="B16" s="632"/>
      <c r="D16" s="633" t="s">
        <v>396</v>
      </c>
      <c r="E16" s="634" t="s">
        <v>365</v>
      </c>
      <c r="F16" s="635">
        <f aca="true" t="shared" si="0" ref="F16:K16">SUM(F10:F15)</f>
        <v>100294228</v>
      </c>
      <c r="G16" s="635">
        <f t="shared" si="0"/>
        <v>17621976</v>
      </c>
      <c r="H16" s="635">
        <f t="shared" si="0"/>
        <v>26913440</v>
      </c>
      <c r="I16" s="635">
        <f t="shared" si="0"/>
        <v>1934590</v>
      </c>
      <c r="J16" s="635">
        <f t="shared" si="0"/>
        <v>0</v>
      </c>
      <c r="K16" s="636">
        <f t="shared" si="0"/>
        <v>146764234</v>
      </c>
      <c r="L16" s="637">
        <f>SUM(F16:J16)</f>
        <v>146764234</v>
      </c>
      <c r="M16" s="638"/>
      <c r="N16" s="638"/>
    </row>
    <row r="17" spans="1:11" s="619" customFormat="1" ht="36.75" customHeight="1">
      <c r="A17" s="617"/>
      <c r="B17" s="618"/>
      <c r="C17" s="618"/>
      <c r="D17" s="1036" t="s">
        <v>732</v>
      </c>
      <c r="E17" s="1037"/>
      <c r="F17" s="1037"/>
      <c r="G17" s="1037"/>
      <c r="H17" s="1037"/>
      <c r="I17" s="1037"/>
      <c r="J17" s="1037"/>
      <c r="K17" s="1038"/>
    </row>
    <row r="18" spans="2:11" s="620" customFormat="1" ht="23.25" customHeight="1">
      <c r="B18" s="621" t="s">
        <v>52</v>
      </c>
      <c r="C18" s="621"/>
      <c r="D18" s="622" t="s">
        <v>393</v>
      </c>
      <c r="E18" s="623" t="s">
        <v>906</v>
      </c>
      <c r="F18" s="624">
        <v>0</v>
      </c>
      <c r="G18" s="624">
        <v>0</v>
      </c>
      <c r="H18" s="624">
        <v>31853858</v>
      </c>
      <c r="I18" s="624">
        <v>0</v>
      </c>
      <c r="J18" s="625">
        <v>0</v>
      </c>
      <c r="K18" s="626">
        <f aca="true" t="shared" si="1" ref="K18:K27">SUM(F18:J18)</f>
        <v>31853858</v>
      </c>
    </row>
    <row r="19" spans="2:11" s="620" customFormat="1" ht="23.25" customHeight="1">
      <c r="B19" s="621" t="s">
        <v>53</v>
      </c>
      <c r="C19" s="621"/>
      <c r="D19" s="622" t="s">
        <v>394</v>
      </c>
      <c r="E19" s="623" t="s">
        <v>790</v>
      </c>
      <c r="F19" s="624">
        <f>106347224+3215520-330000-1461600+216700</f>
        <v>107987844</v>
      </c>
      <c r="G19" s="624">
        <f>22358469+562716-57750-255780+37923</f>
        <v>22645578</v>
      </c>
      <c r="H19" s="624">
        <v>0</v>
      </c>
      <c r="I19" s="624">
        <v>0</v>
      </c>
      <c r="J19" s="625">
        <v>0</v>
      </c>
      <c r="K19" s="626">
        <f t="shared" si="1"/>
        <v>130633422</v>
      </c>
    </row>
    <row r="20" spans="2:11" s="620" customFormat="1" ht="23.25" customHeight="1">
      <c r="B20" s="621"/>
      <c r="C20" s="621"/>
      <c r="D20" s="622" t="s">
        <v>395</v>
      </c>
      <c r="E20" s="623" t="s">
        <v>857</v>
      </c>
      <c r="F20" s="624">
        <v>0</v>
      </c>
      <c r="G20" s="624">
        <v>0</v>
      </c>
      <c r="H20" s="624">
        <v>10508378</v>
      </c>
      <c r="I20" s="624">
        <v>309245</v>
      </c>
      <c r="J20" s="625">
        <v>508000</v>
      </c>
      <c r="K20" s="626">
        <f t="shared" si="1"/>
        <v>11325623</v>
      </c>
    </row>
    <row r="21" spans="2:11" s="620" customFormat="1" ht="23.25" customHeight="1">
      <c r="B21" s="621"/>
      <c r="C21" s="621"/>
      <c r="D21" s="622" t="s">
        <v>396</v>
      </c>
      <c r="E21" s="623" t="s">
        <v>527</v>
      </c>
      <c r="F21" s="624">
        <v>5287200</v>
      </c>
      <c r="G21" s="624">
        <v>925260</v>
      </c>
      <c r="H21" s="624">
        <f>1916238-781083-47925</f>
        <v>1087230</v>
      </c>
      <c r="I21" s="624">
        <f>63500+47925</f>
        <v>111425</v>
      </c>
      <c r="J21" s="625">
        <v>0</v>
      </c>
      <c r="K21" s="626">
        <f t="shared" si="1"/>
        <v>7411115</v>
      </c>
    </row>
    <row r="22" spans="2:11" s="620" customFormat="1" ht="23.25" customHeight="1">
      <c r="B22" s="621"/>
      <c r="C22" s="621"/>
      <c r="D22" s="622" t="s">
        <v>397</v>
      </c>
      <c r="E22" s="623" t="s">
        <v>567</v>
      </c>
      <c r="F22" s="624">
        <f>24097710+1249875-1245375+1125000</f>
        <v>25227210</v>
      </c>
      <c r="G22" s="624">
        <f>4222056+218728-217940+196875</f>
        <v>4419719</v>
      </c>
      <c r="H22" s="624">
        <f>4796826+91000</f>
        <v>4887826</v>
      </c>
      <c r="I22" s="624">
        <v>304800</v>
      </c>
      <c r="J22" s="625">
        <v>0</v>
      </c>
      <c r="K22" s="626">
        <f t="shared" si="1"/>
        <v>34839555</v>
      </c>
    </row>
    <row r="23" spans="1:11" s="620" customFormat="1" ht="23.25" customHeight="1">
      <c r="A23" s="620">
        <v>20215</v>
      </c>
      <c r="B23" s="621" t="s">
        <v>55</v>
      </c>
      <c r="C23" s="621"/>
      <c r="D23" s="622" t="s">
        <v>398</v>
      </c>
      <c r="E23" s="623" t="s">
        <v>687</v>
      </c>
      <c r="F23" s="624">
        <f>11177496+981000-976500+1035000</f>
        <v>12216996</v>
      </c>
      <c r="G23" s="624">
        <f>1927326+171675-170887+181125</f>
        <v>2109239</v>
      </c>
      <c r="H23" s="624">
        <f>2955612+91000</f>
        <v>3046612</v>
      </c>
      <c r="I23" s="624">
        <v>401320</v>
      </c>
      <c r="J23" s="625">
        <v>0</v>
      </c>
      <c r="K23" s="626">
        <f t="shared" si="1"/>
        <v>17774167</v>
      </c>
    </row>
    <row r="24" spans="2:11" s="620" customFormat="1" ht="23.25" customHeight="1">
      <c r="B24" s="621"/>
      <c r="C24" s="621"/>
      <c r="D24" s="622" t="s">
        <v>399</v>
      </c>
      <c r="E24" s="623" t="s">
        <v>688</v>
      </c>
      <c r="F24" s="624">
        <f>10053189+639450</f>
        <v>10692639</v>
      </c>
      <c r="G24" s="624">
        <f>1759308+111904</f>
        <v>1871212</v>
      </c>
      <c r="H24" s="624">
        <v>1190218</v>
      </c>
      <c r="I24" s="624">
        <v>95250</v>
      </c>
      <c r="J24" s="625">
        <v>0</v>
      </c>
      <c r="K24" s="626">
        <f t="shared" si="1"/>
        <v>13849319</v>
      </c>
    </row>
    <row r="25" spans="2:11" s="620" customFormat="1" ht="24.75" customHeight="1">
      <c r="B25" s="621"/>
      <c r="C25" s="621"/>
      <c r="D25" s="622" t="s">
        <v>400</v>
      </c>
      <c r="E25" s="623" t="s">
        <v>905</v>
      </c>
      <c r="F25" s="624">
        <v>0</v>
      </c>
      <c r="G25" s="624">
        <v>0</v>
      </c>
      <c r="H25" s="624">
        <v>2677147</v>
      </c>
      <c r="I25" s="624">
        <v>0</v>
      </c>
      <c r="J25" s="625">
        <v>0</v>
      </c>
      <c r="K25" s="626">
        <f t="shared" si="1"/>
        <v>2677147</v>
      </c>
    </row>
    <row r="26" spans="2:11" s="620" customFormat="1" ht="71.25">
      <c r="B26" s="621"/>
      <c r="C26" s="621"/>
      <c r="D26" s="622" t="s">
        <v>401</v>
      </c>
      <c r="E26" s="623" t="s">
        <v>792</v>
      </c>
      <c r="F26" s="624">
        <f>3600000</f>
        <v>3600000</v>
      </c>
      <c r="G26" s="624">
        <v>630000</v>
      </c>
      <c r="H26" s="624">
        <v>0</v>
      </c>
      <c r="I26" s="624">
        <v>0</v>
      </c>
      <c r="J26" s="625">
        <v>0</v>
      </c>
      <c r="K26" s="626">
        <f t="shared" si="1"/>
        <v>4230000</v>
      </c>
    </row>
    <row r="27" spans="2:11" s="620" customFormat="1" ht="57.75" thickBot="1">
      <c r="B27" s="621"/>
      <c r="C27" s="621"/>
      <c r="D27" s="622" t="s">
        <v>402</v>
      </c>
      <c r="E27" s="623" t="s">
        <v>791</v>
      </c>
      <c r="F27" s="624">
        <f>6562063+2756937</f>
        <v>9319000</v>
      </c>
      <c r="G27" s="624">
        <f>1148361+482464</f>
        <v>1630825</v>
      </c>
      <c r="H27" s="624">
        <f>50000+2114762</f>
        <v>2164762</v>
      </c>
      <c r="I27" s="624">
        <v>0</v>
      </c>
      <c r="J27" s="625">
        <v>0</v>
      </c>
      <c r="K27" s="626">
        <f t="shared" si="1"/>
        <v>13114587</v>
      </c>
    </row>
    <row r="28" spans="1:14" s="631" customFormat="1" ht="24" customHeight="1" thickBot="1">
      <c r="A28" s="631">
        <v>999997</v>
      </c>
      <c r="B28" s="632"/>
      <c r="D28" s="633" t="s">
        <v>403</v>
      </c>
      <c r="E28" s="634" t="s">
        <v>365</v>
      </c>
      <c r="F28" s="635">
        <f aca="true" t="shared" si="2" ref="F28:K28">SUM(F17:F27)</f>
        <v>174330889</v>
      </c>
      <c r="G28" s="635">
        <f t="shared" si="2"/>
        <v>34231833</v>
      </c>
      <c r="H28" s="635">
        <f t="shared" si="2"/>
        <v>57416031</v>
      </c>
      <c r="I28" s="635">
        <f t="shared" si="2"/>
        <v>1222040</v>
      </c>
      <c r="J28" s="635">
        <f t="shared" si="2"/>
        <v>508000</v>
      </c>
      <c r="K28" s="636">
        <f t="shared" si="2"/>
        <v>267708793</v>
      </c>
      <c r="L28" s="637">
        <f>SUM(F28:J28)</f>
        <v>267708793</v>
      </c>
      <c r="M28" s="638"/>
      <c r="N28" s="638"/>
    </row>
    <row r="29" spans="1:11" s="523" customFormat="1" ht="39" customHeight="1">
      <c r="A29" s="492"/>
      <c r="B29" s="493"/>
      <c r="C29" s="493"/>
      <c r="D29" s="1039" t="s">
        <v>769</v>
      </c>
      <c r="E29" s="1040"/>
      <c r="F29" s="1040"/>
      <c r="G29" s="1040"/>
      <c r="H29" s="1040"/>
      <c r="I29" s="1040"/>
      <c r="J29" s="1040"/>
      <c r="K29" s="1041"/>
    </row>
    <row r="30" spans="2:11" s="620" customFormat="1" ht="31.5" customHeight="1">
      <c r="B30" s="621" t="s">
        <v>52</v>
      </c>
      <c r="C30" s="621"/>
      <c r="D30" s="622" t="s">
        <v>393</v>
      </c>
      <c r="E30" s="623" t="s">
        <v>526</v>
      </c>
      <c r="F30" s="625">
        <v>0</v>
      </c>
      <c r="G30" s="625">
        <v>0</v>
      </c>
      <c r="H30" s="625">
        <f>1082115-800000</f>
        <v>282115</v>
      </c>
      <c r="I30" s="625">
        <f>800000</f>
        <v>800000</v>
      </c>
      <c r="J30" s="625">
        <v>0</v>
      </c>
      <c r="K30" s="626">
        <f>SUM(F30:J30)</f>
        <v>1082115</v>
      </c>
    </row>
    <row r="31" spans="2:11" s="620" customFormat="1" ht="23.25" customHeight="1">
      <c r="B31" s="621" t="s">
        <v>53</v>
      </c>
      <c r="C31" s="621"/>
      <c r="D31" s="622" t="s">
        <v>394</v>
      </c>
      <c r="E31" s="623" t="s">
        <v>383</v>
      </c>
      <c r="F31" s="625">
        <v>2802000</v>
      </c>
      <c r="G31" s="625">
        <v>490350</v>
      </c>
      <c r="H31" s="625">
        <v>290700</v>
      </c>
      <c r="I31" s="625">
        <v>0</v>
      </c>
      <c r="J31" s="625">
        <v>0</v>
      </c>
      <c r="K31" s="626">
        <f>SUM(F31:J31)</f>
        <v>3583050</v>
      </c>
    </row>
    <row r="32" spans="2:11" s="620" customFormat="1" ht="33" customHeight="1">
      <c r="B32" s="621"/>
      <c r="C32" s="621"/>
      <c r="D32" s="622" t="s">
        <v>395</v>
      </c>
      <c r="E32" s="623" t="s">
        <v>755</v>
      </c>
      <c r="F32" s="625">
        <f>11931088+300000</f>
        <v>12231088</v>
      </c>
      <c r="G32" s="625">
        <f>2122958+367133</f>
        <v>2490091</v>
      </c>
      <c r="H32" s="625">
        <f>14446890-317500+144779+2954117</f>
        <v>17228286</v>
      </c>
      <c r="I32" s="625">
        <f>304800-177800+700000</f>
        <v>827000</v>
      </c>
      <c r="J32" s="625">
        <f>578000-578000</f>
        <v>0</v>
      </c>
      <c r="K32" s="626">
        <f>SUM(F32:J32)</f>
        <v>32776465</v>
      </c>
    </row>
    <row r="33" spans="2:11" s="620" customFormat="1" ht="33" customHeight="1">
      <c r="B33" s="621"/>
      <c r="C33" s="621"/>
      <c r="D33" s="627" t="s">
        <v>396</v>
      </c>
      <c r="E33" s="628" t="s">
        <v>858</v>
      </c>
      <c r="F33" s="629">
        <f>1980314-775591</f>
        <v>1204723</v>
      </c>
      <c r="G33" s="629">
        <f>964502-377745</f>
        <v>586757</v>
      </c>
      <c r="H33" s="629">
        <f>7003586-2575544</f>
        <v>4428042</v>
      </c>
      <c r="I33" s="629">
        <v>0</v>
      </c>
      <c r="J33" s="629">
        <v>0</v>
      </c>
      <c r="K33" s="630">
        <f>SUM(F33:J33)</f>
        <v>6219522</v>
      </c>
    </row>
    <row r="34" spans="2:11" s="620" customFormat="1" ht="33" customHeight="1" thickBot="1">
      <c r="B34" s="621"/>
      <c r="C34" s="621"/>
      <c r="D34" s="627" t="s">
        <v>397</v>
      </c>
      <c r="E34" s="628" t="s">
        <v>789</v>
      </c>
      <c r="F34" s="629">
        <v>1800000</v>
      </c>
      <c r="G34" s="629">
        <f>315000+13166</f>
        <v>328166</v>
      </c>
      <c r="H34" s="629">
        <f>3527681-13166</f>
        <v>3514515</v>
      </c>
      <c r="I34" s="629">
        <v>0</v>
      </c>
      <c r="J34" s="629">
        <v>0</v>
      </c>
      <c r="K34" s="630">
        <f>SUM(F34:J34)</f>
        <v>5642681</v>
      </c>
    </row>
    <row r="35" spans="1:14" s="631" customFormat="1" ht="24" customHeight="1" thickBot="1">
      <c r="A35" s="631">
        <v>999997</v>
      </c>
      <c r="B35" s="632"/>
      <c r="D35" s="633" t="s">
        <v>398</v>
      </c>
      <c r="E35" s="634" t="s">
        <v>365</v>
      </c>
      <c r="F35" s="635">
        <f aca="true" t="shared" si="3" ref="F35:K35">SUM(F29:F34)</f>
        <v>18037811</v>
      </c>
      <c r="G35" s="635">
        <f t="shared" si="3"/>
        <v>3895364</v>
      </c>
      <c r="H35" s="635">
        <f t="shared" si="3"/>
        <v>25743658</v>
      </c>
      <c r="I35" s="635">
        <f t="shared" si="3"/>
        <v>1627000</v>
      </c>
      <c r="J35" s="635">
        <f t="shared" si="3"/>
        <v>0</v>
      </c>
      <c r="K35" s="708">
        <f t="shared" si="3"/>
        <v>49303833</v>
      </c>
      <c r="L35" s="637">
        <f>SUM(F35:J35)</f>
        <v>49303833</v>
      </c>
      <c r="M35" s="638"/>
      <c r="N35" s="638"/>
    </row>
  </sheetData>
  <sheetProtection/>
  <mergeCells count="10">
    <mergeCell ref="D4:K4"/>
    <mergeCell ref="D17:K17"/>
    <mergeCell ref="D29:K29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0"/>
  <sheetViews>
    <sheetView workbookViewId="0" topLeftCell="A1">
      <selection activeCell="A3" sqref="A3:M73"/>
    </sheetView>
  </sheetViews>
  <sheetFormatPr defaultColWidth="9.00390625" defaultRowHeight="12.75"/>
  <cols>
    <col min="1" max="1" width="7.75390625" style="168" customWidth="1"/>
    <col min="2" max="2" width="31.75390625" style="168" customWidth="1"/>
    <col min="3" max="3" width="14.375" style="168" customWidth="1"/>
    <col min="4" max="5" width="14.375" style="168" bestFit="1" customWidth="1"/>
    <col min="6" max="6" width="16.25390625" style="168" bestFit="1" customWidth="1"/>
    <col min="7" max="8" width="14.625" style="168" bestFit="1" customWidth="1"/>
    <col min="9" max="9" width="16.25390625" style="168" bestFit="1" customWidth="1"/>
    <col min="10" max="11" width="12.875" style="168" customWidth="1"/>
    <col min="12" max="12" width="15.00390625" style="168" customWidth="1"/>
    <col min="13" max="13" width="17.00390625" style="168" bestFit="1" customWidth="1"/>
    <col min="14" max="15" width="9.125" style="168" customWidth="1"/>
    <col min="16" max="16" width="12.875" style="168" bestFit="1" customWidth="1"/>
    <col min="17" max="16384" width="9.125" style="168" customWidth="1"/>
  </cols>
  <sheetData>
    <row r="1" spans="1:21" ht="12.75">
      <c r="A1" s="234"/>
      <c r="B1" s="235"/>
      <c r="C1" s="236"/>
      <c r="D1" s="236"/>
      <c r="E1" s="236"/>
      <c r="F1" s="236"/>
      <c r="G1" s="1070" t="s">
        <v>1086</v>
      </c>
      <c r="H1" s="1070"/>
      <c r="I1" s="1071"/>
      <c r="J1" s="1071"/>
      <c r="K1" s="1071"/>
      <c r="L1" s="1071"/>
      <c r="M1" s="1071"/>
      <c r="N1" s="235"/>
      <c r="O1" s="235"/>
      <c r="P1" s="235"/>
      <c r="Q1" s="235"/>
      <c r="R1" s="237"/>
      <c r="S1" s="237"/>
      <c r="T1" s="237"/>
      <c r="U1" s="235"/>
    </row>
    <row r="2" spans="1:21" ht="12.75">
      <c r="A2" s="234"/>
      <c r="B2" s="235"/>
      <c r="C2" s="236"/>
      <c r="D2" s="236"/>
      <c r="E2" s="236"/>
      <c r="F2" s="236"/>
      <c r="G2" s="238"/>
      <c r="H2" s="238"/>
      <c r="I2" s="239"/>
      <c r="J2" s="239"/>
      <c r="K2" s="239"/>
      <c r="L2" s="239"/>
      <c r="M2" s="239"/>
      <c r="N2" s="235"/>
      <c r="O2" s="235"/>
      <c r="P2" s="235"/>
      <c r="Q2" s="235"/>
      <c r="R2" s="237"/>
      <c r="S2" s="237"/>
      <c r="T2" s="237"/>
      <c r="U2" s="235"/>
    </row>
    <row r="3" spans="1:27" ht="15.75" customHeight="1">
      <c r="A3" s="1075" t="s">
        <v>893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1:27" ht="13.5" thickBot="1">
      <c r="A4" s="1075"/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1:27" ht="16.5" thickBot="1">
      <c r="A5" s="1063" t="s">
        <v>432</v>
      </c>
      <c r="B5" s="1060" t="s">
        <v>361</v>
      </c>
      <c r="C5" s="1066" t="s">
        <v>470</v>
      </c>
      <c r="D5" s="1066"/>
      <c r="E5" s="1066"/>
      <c r="F5" s="1066"/>
      <c r="G5" s="1066"/>
      <c r="H5" s="1066"/>
      <c r="I5" s="1066"/>
      <c r="J5" s="1066"/>
      <c r="K5" s="1066"/>
      <c r="L5" s="1066"/>
      <c r="M5" s="1067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42"/>
    </row>
    <row r="6" spans="1:13" ht="12.75" customHeight="1">
      <c r="A6" s="1064"/>
      <c r="B6" s="1061"/>
      <c r="C6" s="1076" t="s">
        <v>471</v>
      </c>
      <c r="D6" s="1051" t="s">
        <v>472</v>
      </c>
      <c r="E6" s="1052"/>
      <c r="F6" s="1053"/>
      <c r="G6" s="1051" t="s">
        <v>473</v>
      </c>
      <c r="H6" s="1052"/>
      <c r="I6" s="1053"/>
      <c r="J6" s="1051" t="s">
        <v>474</v>
      </c>
      <c r="K6" s="1052"/>
      <c r="L6" s="1053"/>
      <c r="M6" s="1072" t="s">
        <v>370</v>
      </c>
    </row>
    <row r="7" spans="1:13" ht="12.75" customHeight="1">
      <c r="A7" s="1064"/>
      <c r="B7" s="1061"/>
      <c r="C7" s="1077"/>
      <c r="D7" s="1054"/>
      <c r="E7" s="1055"/>
      <c r="F7" s="1056"/>
      <c r="G7" s="1054"/>
      <c r="H7" s="1055"/>
      <c r="I7" s="1056"/>
      <c r="J7" s="1054"/>
      <c r="K7" s="1055"/>
      <c r="L7" s="1056"/>
      <c r="M7" s="1073"/>
    </row>
    <row r="8" spans="1:13" ht="24" customHeight="1" thickBot="1">
      <c r="A8" s="1065"/>
      <c r="B8" s="1062"/>
      <c r="C8" s="1078"/>
      <c r="D8" s="243" t="s">
        <v>84</v>
      </c>
      <c r="E8" s="244" t="s">
        <v>85</v>
      </c>
      <c r="F8" s="245" t="s">
        <v>89</v>
      </c>
      <c r="G8" s="246" t="s">
        <v>84</v>
      </c>
      <c r="H8" s="244" t="s">
        <v>85</v>
      </c>
      <c r="I8" s="245" t="s">
        <v>89</v>
      </c>
      <c r="J8" s="246" t="s">
        <v>84</v>
      </c>
      <c r="K8" s="244" t="s">
        <v>85</v>
      </c>
      <c r="L8" s="245" t="s">
        <v>89</v>
      </c>
      <c r="M8" s="1074"/>
    </row>
    <row r="9" spans="1:13" ht="29.25" customHeight="1">
      <c r="A9" s="247" t="s">
        <v>393</v>
      </c>
      <c r="B9" s="248" t="s">
        <v>59</v>
      </c>
      <c r="C9" s="249" t="s">
        <v>700</v>
      </c>
      <c r="D9" s="250">
        <f>80745240-70000+6600+1155+16823647+92377+6500+347826+52174+45939-45939</f>
        <v>98005519</v>
      </c>
      <c r="E9" s="640"/>
      <c r="F9" s="252">
        <f>SUM(D9:E9)</f>
        <v>98005519</v>
      </c>
      <c r="G9" s="645"/>
      <c r="H9" s="640"/>
      <c r="I9" s="252">
        <f>SUM(G9:H9)</f>
        <v>0</v>
      </c>
      <c r="J9" s="254"/>
      <c r="K9" s="255"/>
      <c r="L9" s="252">
        <f>SUM(J9:K9)</f>
        <v>0</v>
      </c>
      <c r="M9" s="256">
        <f aca="true" t="shared" si="0" ref="M9:M50">SUM(F9+I9+L9)</f>
        <v>98005519</v>
      </c>
    </row>
    <row r="10" spans="1:13" ht="29.25" customHeight="1">
      <c r="A10" s="257" t="s">
        <v>394</v>
      </c>
      <c r="B10" s="259" t="s">
        <v>56</v>
      </c>
      <c r="C10" s="258" t="s">
        <v>690</v>
      </c>
      <c r="D10" s="250">
        <f>69965834-4779000+308085+1143000</f>
        <v>66637919</v>
      </c>
      <c r="E10" s="251">
        <f>5000000+449520+8794813+4790554-5098639</f>
        <v>13936248</v>
      </c>
      <c r="F10" s="252">
        <f aca="true" t="shared" si="1" ref="F10:F50">SUM(D10:E10)</f>
        <v>80574167</v>
      </c>
      <c r="G10" s="253">
        <f>12645870-54000+500000</f>
        <v>13091870</v>
      </c>
      <c r="H10" s="251">
        <f>447341169-13005804</f>
        <v>434335365</v>
      </c>
      <c r="I10" s="252">
        <f aca="true" t="shared" si="2" ref="I10:I50">SUM(G10:H10)</f>
        <v>447427235</v>
      </c>
      <c r="J10" s="254"/>
      <c r="K10" s="255"/>
      <c r="L10" s="252">
        <f aca="true" t="shared" si="3" ref="L10:L50">SUM(J10:K10)</f>
        <v>0</v>
      </c>
      <c r="M10" s="256">
        <f t="shared" si="0"/>
        <v>528001402</v>
      </c>
    </row>
    <row r="11" spans="1:13" ht="21.75" customHeight="1">
      <c r="A11" s="257" t="s">
        <v>395</v>
      </c>
      <c r="B11" s="274" t="s">
        <v>616</v>
      </c>
      <c r="C11" s="252" t="s">
        <v>756</v>
      </c>
      <c r="D11" s="261">
        <v>19299537</v>
      </c>
      <c r="E11" s="642"/>
      <c r="F11" s="252">
        <f t="shared" si="1"/>
        <v>19299537</v>
      </c>
      <c r="G11" s="646"/>
      <c r="H11" s="642"/>
      <c r="I11" s="252">
        <f t="shared" si="2"/>
        <v>0</v>
      </c>
      <c r="J11" s="264"/>
      <c r="K11" s="265"/>
      <c r="L11" s="252">
        <f t="shared" si="3"/>
        <v>0</v>
      </c>
      <c r="M11" s="256">
        <f t="shared" si="0"/>
        <v>19299537</v>
      </c>
    </row>
    <row r="12" spans="1:13" ht="29.25" customHeight="1">
      <c r="A12" s="257" t="s">
        <v>396</v>
      </c>
      <c r="B12" s="259" t="s">
        <v>64</v>
      </c>
      <c r="C12" s="252" t="s">
        <v>907</v>
      </c>
      <c r="D12" s="639"/>
      <c r="E12" s="640"/>
      <c r="F12" s="252">
        <f t="shared" si="1"/>
        <v>0</v>
      </c>
      <c r="G12" s="645"/>
      <c r="H12" s="640"/>
      <c r="I12" s="252">
        <f t="shared" si="2"/>
        <v>0</v>
      </c>
      <c r="J12" s="254">
        <v>12311385</v>
      </c>
      <c r="K12" s="255"/>
      <c r="L12" s="252">
        <f t="shared" si="3"/>
        <v>12311385</v>
      </c>
      <c r="M12" s="256">
        <f t="shared" si="0"/>
        <v>12311385</v>
      </c>
    </row>
    <row r="13" spans="1:13" ht="29.25" customHeight="1">
      <c r="A13" s="257" t="s">
        <v>397</v>
      </c>
      <c r="B13" s="259" t="s">
        <v>747</v>
      </c>
      <c r="C13" s="258" t="s">
        <v>908</v>
      </c>
      <c r="D13" s="250">
        <f>4016545+11080125+969525+4441343</f>
        <v>20507538</v>
      </c>
      <c r="E13" s="251">
        <f>190500</f>
        <v>190500</v>
      </c>
      <c r="F13" s="252">
        <f t="shared" si="1"/>
        <v>20698038</v>
      </c>
      <c r="G13" s="645"/>
      <c r="H13" s="640"/>
      <c r="I13" s="252">
        <f t="shared" si="2"/>
        <v>0</v>
      </c>
      <c r="J13" s="254"/>
      <c r="K13" s="255"/>
      <c r="L13" s="252">
        <f t="shared" si="3"/>
        <v>0</v>
      </c>
      <c r="M13" s="256">
        <f t="shared" si="0"/>
        <v>20698038</v>
      </c>
    </row>
    <row r="14" spans="1:13" ht="29.25" customHeight="1">
      <c r="A14" s="257" t="s">
        <v>398</v>
      </c>
      <c r="B14" s="259" t="s">
        <v>748</v>
      </c>
      <c r="C14" s="258" t="s">
        <v>908</v>
      </c>
      <c r="D14" s="250">
        <f>13227888+23197320+2029806+1310301</f>
        <v>39765315</v>
      </c>
      <c r="E14" s="251">
        <v>74295</v>
      </c>
      <c r="F14" s="252">
        <f t="shared" si="1"/>
        <v>39839610</v>
      </c>
      <c r="G14" s="645"/>
      <c r="H14" s="640"/>
      <c r="I14" s="252">
        <f t="shared" si="2"/>
        <v>0</v>
      </c>
      <c r="J14" s="254"/>
      <c r="K14" s="255"/>
      <c r="L14" s="252">
        <f t="shared" si="3"/>
        <v>0</v>
      </c>
      <c r="M14" s="256">
        <f t="shared" si="0"/>
        <v>39839610</v>
      </c>
    </row>
    <row r="15" spans="1:13" ht="21.75" customHeight="1">
      <c r="A15" s="257" t="s">
        <v>399</v>
      </c>
      <c r="B15" s="274" t="s">
        <v>852</v>
      </c>
      <c r="C15" s="258" t="s">
        <v>691</v>
      </c>
      <c r="D15" s="641"/>
      <c r="E15" s="262">
        <f>25000000-20000000</f>
        <v>5000000</v>
      </c>
      <c r="F15" s="252">
        <f t="shared" si="1"/>
        <v>5000000</v>
      </c>
      <c r="G15" s="646"/>
      <c r="H15" s="262"/>
      <c r="I15" s="252">
        <f t="shared" si="2"/>
        <v>0</v>
      </c>
      <c r="J15" s="264"/>
      <c r="K15" s="265"/>
      <c r="L15" s="252">
        <f t="shared" si="3"/>
        <v>0</v>
      </c>
      <c r="M15" s="256">
        <f t="shared" si="0"/>
        <v>5000000</v>
      </c>
    </row>
    <row r="16" spans="1:13" ht="29.25" customHeight="1">
      <c r="A16" s="260" t="s">
        <v>400</v>
      </c>
      <c r="B16" s="259" t="s">
        <v>343</v>
      </c>
      <c r="C16" s="258" t="s">
        <v>691</v>
      </c>
      <c r="D16" s="250">
        <v>15377340</v>
      </c>
      <c r="E16" s="251">
        <v>363120</v>
      </c>
      <c r="F16" s="252">
        <f t="shared" si="1"/>
        <v>15740460</v>
      </c>
      <c r="G16" s="645"/>
      <c r="H16" s="640"/>
      <c r="I16" s="252">
        <f t="shared" si="2"/>
        <v>0</v>
      </c>
      <c r="J16" s="254"/>
      <c r="K16" s="255"/>
      <c r="L16" s="252">
        <f t="shared" si="3"/>
        <v>0</v>
      </c>
      <c r="M16" s="256">
        <f t="shared" si="0"/>
        <v>15740460</v>
      </c>
    </row>
    <row r="17" spans="1:13" ht="29.25" customHeight="1">
      <c r="A17" s="257" t="s">
        <v>401</v>
      </c>
      <c r="B17" s="259" t="s">
        <v>66</v>
      </c>
      <c r="C17" s="258" t="s">
        <v>692</v>
      </c>
      <c r="D17" s="250">
        <v>5249710</v>
      </c>
      <c r="E17" s="251">
        <f>101682090-3817843</f>
        <v>97864247</v>
      </c>
      <c r="F17" s="252">
        <f t="shared" si="1"/>
        <v>103113957</v>
      </c>
      <c r="G17" s="645"/>
      <c r="H17" s="640"/>
      <c r="I17" s="252">
        <f t="shared" si="2"/>
        <v>0</v>
      </c>
      <c r="J17" s="254"/>
      <c r="K17" s="255"/>
      <c r="L17" s="252">
        <f t="shared" si="3"/>
        <v>0</v>
      </c>
      <c r="M17" s="256">
        <f t="shared" si="0"/>
        <v>103113957</v>
      </c>
    </row>
    <row r="18" spans="1:13" ht="29.25" customHeight="1">
      <c r="A18" s="257" t="s">
        <v>402</v>
      </c>
      <c r="B18" s="259" t="s">
        <v>794</v>
      </c>
      <c r="C18" s="258"/>
      <c r="D18" s="250"/>
      <c r="E18" s="251"/>
      <c r="F18" s="252">
        <f t="shared" si="1"/>
        <v>0</v>
      </c>
      <c r="G18" s="253">
        <v>4571244</v>
      </c>
      <c r="H18" s="251">
        <v>187978206</v>
      </c>
      <c r="I18" s="252">
        <f t="shared" si="2"/>
        <v>192549450</v>
      </c>
      <c r="J18" s="254"/>
      <c r="K18" s="255"/>
      <c r="L18" s="252">
        <f t="shared" si="3"/>
        <v>0</v>
      </c>
      <c r="M18" s="256">
        <f t="shared" si="0"/>
        <v>192549450</v>
      </c>
    </row>
    <row r="19" spans="1:13" ht="30.75" customHeight="1">
      <c r="A19" s="257" t="s">
        <v>403</v>
      </c>
      <c r="B19" s="259" t="s">
        <v>50</v>
      </c>
      <c r="C19" s="258" t="s">
        <v>693</v>
      </c>
      <c r="D19" s="261">
        <v>3416864</v>
      </c>
      <c r="E19" s="642"/>
      <c r="F19" s="252">
        <f t="shared" si="1"/>
        <v>3416864</v>
      </c>
      <c r="G19" s="646"/>
      <c r="H19" s="642"/>
      <c r="I19" s="252">
        <f t="shared" si="2"/>
        <v>0</v>
      </c>
      <c r="J19" s="264"/>
      <c r="K19" s="265"/>
      <c r="L19" s="252">
        <f t="shared" si="3"/>
        <v>0</v>
      </c>
      <c r="M19" s="256">
        <f t="shared" si="0"/>
        <v>3416864</v>
      </c>
    </row>
    <row r="20" spans="1:13" ht="31.5" customHeight="1">
      <c r="A20" s="257" t="s">
        <v>404</v>
      </c>
      <c r="B20" s="259" t="s">
        <v>375</v>
      </c>
      <c r="C20" s="258" t="s">
        <v>694</v>
      </c>
      <c r="D20" s="261">
        <v>9798424</v>
      </c>
      <c r="E20" s="262">
        <v>1000000</v>
      </c>
      <c r="F20" s="252">
        <f t="shared" si="1"/>
        <v>10798424</v>
      </c>
      <c r="G20" s="646"/>
      <c r="H20" s="642"/>
      <c r="I20" s="252">
        <f t="shared" si="2"/>
        <v>0</v>
      </c>
      <c r="J20" s="264"/>
      <c r="K20" s="265"/>
      <c r="L20" s="252">
        <f t="shared" si="3"/>
        <v>0</v>
      </c>
      <c r="M20" s="256">
        <f t="shared" si="0"/>
        <v>10798424</v>
      </c>
    </row>
    <row r="21" spans="1:13" ht="31.5" customHeight="1">
      <c r="A21" s="257" t="s">
        <v>405</v>
      </c>
      <c r="B21" s="259" t="s">
        <v>795</v>
      </c>
      <c r="C21" s="258" t="s">
        <v>909</v>
      </c>
      <c r="D21" s="261">
        <v>4276480</v>
      </c>
      <c r="E21" s="262">
        <f>1940000+5000000</f>
        <v>6940000</v>
      </c>
      <c r="F21" s="252">
        <f t="shared" si="1"/>
        <v>11216480</v>
      </c>
      <c r="G21" s="646"/>
      <c r="H21" s="642"/>
      <c r="I21" s="252">
        <f t="shared" si="2"/>
        <v>0</v>
      </c>
      <c r="J21" s="264"/>
      <c r="K21" s="265"/>
      <c r="L21" s="252">
        <f t="shared" si="3"/>
        <v>0</v>
      </c>
      <c r="M21" s="256">
        <f t="shared" si="0"/>
        <v>11216480</v>
      </c>
    </row>
    <row r="22" spans="1:13" ht="31.5" customHeight="1">
      <c r="A22" s="257" t="s">
        <v>406</v>
      </c>
      <c r="B22" s="259" t="s">
        <v>796</v>
      </c>
      <c r="C22" s="258" t="s">
        <v>692</v>
      </c>
      <c r="D22" s="261">
        <v>1377000</v>
      </c>
      <c r="E22" s="262">
        <v>21830061</v>
      </c>
      <c r="F22" s="252">
        <f t="shared" si="1"/>
        <v>23207061</v>
      </c>
      <c r="G22" s="646"/>
      <c r="H22" s="642"/>
      <c r="I22" s="252">
        <f t="shared" si="2"/>
        <v>0</v>
      </c>
      <c r="J22" s="264"/>
      <c r="K22" s="265"/>
      <c r="L22" s="252">
        <f t="shared" si="3"/>
        <v>0</v>
      </c>
      <c r="M22" s="256">
        <f t="shared" si="0"/>
        <v>23207061</v>
      </c>
    </row>
    <row r="23" spans="1:13" ht="31.5" customHeight="1">
      <c r="A23" s="257" t="s">
        <v>407</v>
      </c>
      <c r="B23" s="259" t="s">
        <v>853</v>
      </c>
      <c r="C23" s="258"/>
      <c r="D23" s="261"/>
      <c r="E23" s="262"/>
      <c r="F23" s="252">
        <f t="shared" si="1"/>
        <v>0</v>
      </c>
      <c r="G23" s="263">
        <f>1044000+164430+640554-254000</f>
        <v>1594984</v>
      </c>
      <c r="H23" s="262">
        <v>973100</v>
      </c>
      <c r="I23" s="252">
        <f t="shared" si="2"/>
        <v>2568084</v>
      </c>
      <c r="J23" s="264"/>
      <c r="K23" s="265"/>
      <c r="L23" s="252">
        <f t="shared" si="3"/>
        <v>0</v>
      </c>
      <c r="M23" s="256">
        <f t="shared" si="0"/>
        <v>2568084</v>
      </c>
    </row>
    <row r="24" spans="1:13" ht="31.5" customHeight="1">
      <c r="A24" s="257" t="s">
        <v>408</v>
      </c>
      <c r="B24" s="259" t="s">
        <v>797</v>
      </c>
      <c r="C24" s="269" t="s">
        <v>910</v>
      </c>
      <c r="D24" s="261">
        <f>609406+143206+4667808</f>
        <v>5420420</v>
      </c>
      <c r="E24" s="262">
        <f>19510500+91442680+863600-1730500-17780000</f>
        <v>92306280</v>
      </c>
      <c r="F24" s="252">
        <f t="shared" si="1"/>
        <v>97726700</v>
      </c>
      <c r="G24" s="646"/>
      <c r="H24" s="262"/>
      <c r="I24" s="252">
        <f t="shared" si="2"/>
        <v>0</v>
      </c>
      <c r="J24" s="264"/>
      <c r="K24" s="265"/>
      <c r="L24" s="252">
        <f t="shared" si="3"/>
        <v>0</v>
      </c>
      <c r="M24" s="256">
        <f t="shared" si="0"/>
        <v>97726700</v>
      </c>
    </row>
    <row r="25" spans="1:13" ht="21.75" customHeight="1">
      <c r="A25" s="257" t="s">
        <v>409</v>
      </c>
      <c r="B25" s="274" t="s">
        <v>750</v>
      </c>
      <c r="C25" s="269" t="s">
        <v>911</v>
      </c>
      <c r="D25" s="261">
        <v>416194</v>
      </c>
      <c r="E25" s="262">
        <v>6759599</v>
      </c>
      <c r="F25" s="252">
        <f t="shared" si="1"/>
        <v>7175793</v>
      </c>
      <c r="G25" s="646"/>
      <c r="H25" s="642"/>
      <c r="I25" s="252">
        <f t="shared" si="2"/>
        <v>0</v>
      </c>
      <c r="J25" s="264"/>
      <c r="K25" s="265"/>
      <c r="L25" s="252">
        <f t="shared" si="3"/>
        <v>0</v>
      </c>
      <c r="M25" s="256">
        <f t="shared" si="0"/>
        <v>7175793</v>
      </c>
    </row>
    <row r="26" spans="1:13" ht="21.75" customHeight="1">
      <c r="A26" s="257" t="s">
        <v>410</v>
      </c>
      <c r="B26" s="274" t="s">
        <v>378</v>
      </c>
      <c r="C26" s="269" t="s">
        <v>691</v>
      </c>
      <c r="D26" s="261">
        <v>24094440</v>
      </c>
      <c r="E26" s="262">
        <v>2794000</v>
      </c>
      <c r="F26" s="252">
        <f t="shared" si="1"/>
        <v>26888440</v>
      </c>
      <c r="G26" s="646"/>
      <c r="H26" s="642"/>
      <c r="I26" s="252">
        <f t="shared" si="2"/>
        <v>0</v>
      </c>
      <c r="J26" s="264"/>
      <c r="K26" s="265"/>
      <c r="L26" s="252">
        <f t="shared" si="3"/>
        <v>0</v>
      </c>
      <c r="M26" s="256">
        <f t="shared" si="0"/>
        <v>26888440</v>
      </c>
    </row>
    <row r="27" spans="1:13" ht="21.75" customHeight="1">
      <c r="A27" s="257" t="s">
        <v>411</v>
      </c>
      <c r="B27" s="274" t="s">
        <v>376</v>
      </c>
      <c r="C27" s="269" t="s">
        <v>691</v>
      </c>
      <c r="D27" s="261">
        <f>34917000-1444000</f>
        <v>33473000</v>
      </c>
      <c r="E27" s="262"/>
      <c r="F27" s="252">
        <f t="shared" si="1"/>
        <v>33473000</v>
      </c>
      <c r="G27" s="646"/>
      <c r="H27" s="642"/>
      <c r="I27" s="252">
        <f t="shared" si="2"/>
        <v>0</v>
      </c>
      <c r="J27" s="264"/>
      <c r="K27" s="265"/>
      <c r="L27" s="252">
        <f t="shared" si="3"/>
        <v>0</v>
      </c>
      <c r="M27" s="256">
        <f t="shared" si="0"/>
        <v>33473000</v>
      </c>
    </row>
    <row r="28" spans="1:13" ht="22.5" customHeight="1">
      <c r="A28" s="257" t="s">
        <v>412</v>
      </c>
      <c r="B28" s="274" t="s">
        <v>82</v>
      </c>
      <c r="C28" s="757" t="s">
        <v>912</v>
      </c>
      <c r="D28" s="261">
        <f>25000+3938+14028933-1454446+14018000-6364000-3280000+38197</f>
        <v>17015622</v>
      </c>
      <c r="E28" s="262">
        <f>3348220+2000000</f>
        <v>5348220</v>
      </c>
      <c r="F28" s="252">
        <f t="shared" si="1"/>
        <v>22363842</v>
      </c>
      <c r="G28" s="263">
        <v>1454446</v>
      </c>
      <c r="H28" s="642"/>
      <c r="I28" s="252">
        <f t="shared" si="2"/>
        <v>1454446</v>
      </c>
      <c r="J28" s="264"/>
      <c r="K28" s="265"/>
      <c r="L28" s="252">
        <f t="shared" si="3"/>
        <v>0</v>
      </c>
      <c r="M28" s="256">
        <f t="shared" si="0"/>
        <v>23818288</v>
      </c>
    </row>
    <row r="29" spans="1:13" ht="23.25" customHeight="1">
      <c r="A29" s="257" t="s">
        <v>413</v>
      </c>
      <c r="B29" s="274" t="s">
        <v>380</v>
      </c>
      <c r="C29" s="269" t="s">
        <v>913</v>
      </c>
      <c r="D29" s="261">
        <v>360000</v>
      </c>
      <c r="E29" s="642"/>
      <c r="F29" s="252">
        <f t="shared" si="1"/>
        <v>360000</v>
      </c>
      <c r="G29" s="646"/>
      <c r="H29" s="642"/>
      <c r="I29" s="252">
        <f t="shared" si="2"/>
        <v>0</v>
      </c>
      <c r="J29" s="264"/>
      <c r="K29" s="265"/>
      <c r="L29" s="252">
        <f t="shared" si="3"/>
        <v>0</v>
      </c>
      <c r="M29" s="256">
        <f t="shared" si="0"/>
        <v>360000</v>
      </c>
    </row>
    <row r="30" spans="1:13" ht="22.5" customHeight="1">
      <c r="A30" s="257" t="s">
        <v>414</v>
      </c>
      <c r="B30" s="274" t="s">
        <v>381</v>
      </c>
      <c r="C30" s="269" t="s">
        <v>913</v>
      </c>
      <c r="D30" s="261">
        <v>27644450</v>
      </c>
      <c r="E30" s="262"/>
      <c r="F30" s="252">
        <f t="shared" si="1"/>
        <v>27644450</v>
      </c>
      <c r="G30" s="646"/>
      <c r="H30" s="642"/>
      <c r="I30" s="252">
        <f t="shared" si="2"/>
        <v>0</v>
      </c>
      <c r="J30" s="264"/>
      <c r="K30" s="265"/>
      <c r="L30" s="252">
        <f t="shared" si="3"/>
        <v>0</v>
      </c>
      <c r="M30" s="256">
        <f t="shared" si="0"/>
        <v>27644450</v>
      </c>
    </row>
    <row r="31" spans="1:13" ht="22.5" customHeight="1">
      <c r="A31" s="257" t="s">
        <v>475</v>
      </c>
      <c r="B31" s="274" t="s">
        <v>382</v>
      </c>
      <c r="C31" s="269" t="s">
        <v>695</v>
      </c>
      <c r="D31" s="261">
        <f>120000+2626200</f>
        <v>2746200</v>
      </c>
      <c r="E31" s="642"/>
      <c r="F31" s="252">
        <f t="shared" si="1"/>
        <v>2746200</v>
      </c>
      <c r="G31" s="646"/>
      <c r="H31" s="642"/>
      <c r="I31" s="252">
        <f t="shared" si="2"/>
        <v>0</v>
      </c>
      <c r="J31" s="264"/>
      <c r="K31" s="265"/>
      <c r="L31" s="252">
        <f t="shared" si="3"/>
        <v>0</v>
      </c>
      <c r="M31" s="256">
        <f t="shared" si="0"/>
        <v>2746200</v>
      </c>
    </row>
    <row r="32" spans="1:13" ht="29.25" customHeight="1">
      <c r="A32" s="257" t="s">
        <v>476</v>
      </c>
      <c r="B32" s="259" t="s">
        <v>702</v>
      </c>
      <c r="C32" s="258" t="s">
        <v>913</v>
      </c>
      <c r="D32" s="261">
        <f>27396716+4793101+2949420+2500000+387500</f>
        <v>38026737</v>
      </c>
      <c r="E32" s="262">
        <v>190500</v>
      </c>
      <c r="F32" s="252">
        <f t="shared" si="1"/>
        <v>38217237</v>
      </c>
      <c r="G32" s="646"/>
      <c r="H32" s="642"/>
      <c r="I32" s="252">
        <f t="shared" si="2"/>
        <v>0</v>
      </c>
      <c r="J32" s="264"/>
      <c r="K32" s="265"/>
      <c r="L32" s="252">
        <f t="shared" si="3"/>
        <v>0</v>
      </c>
      <c r="M32" s="256">
        <f t="shared" si="0"/>
        <v>38217237</v>
      </c>
    </row>
    <row r="33" spans="1:13" ht="29.25" customHeight="1">
      <c r="A33" s="257" t="s">
        <v>477</v>
      </c>
      <c r="B33" s="525" t="s">
        <v>995</v>
      </c>
      <c r="C33" s="252" t="s">
        <v>997</v>
      </c>
      <c r="D33" s="261">
        <f>600000+1275000</f>
        <v>1875000</v>
      </c>
      <c r="E33" s="262">
        <f>400000+100000</f>
        <v>500000</v>
      </c>
      <c r="F33" s="252">
        <f t="shared" si="1"/>
        <v>2375000</v>
      </c>
      <c r="G33" s="646"/>
      <c r="H33" s="642"/>
      <c r="I33" s="252">
        <f t="shared" si="2"/>
        <v>0</v>
      </c>
      <c r="J33" s="264"/>
      <c r="K33" s="265"/>
      <c r="L33" s="252">
        <f t="shared" si="3"/>
        <v>0</v>
      </c>
      <c r="M33" s="256">
        <f t="shared" si="0"/>
        <v>2375000</v>
      </c>
    </row>
    <row r="34" spans="1:13" ht="29.25" customHeight="1">
      <c r="A34" s="257" t="s">
        <v>456</v>
      </c>
      <c r="B34" s="266" t="s">
        <v>81</v>
      </c>
      <c r="C34" s="252" t="s">
        <v>696</v>
      </c>
      <c r="D34" s="261">
        <f>16949000+1500000</f>
        <v>18449000</v>
      </c>
      <c r="E34" s="642"/>
      <c r="F34" s="252">
        <f t="shared" si="1"/>
        <v>18449000</v>
      </c>
      <c r="G34" s="647"/>
      <c r="H34" s="262"/>
      <c r="I34" s="252">
        <f t="shared" si="2"/>
        <v>0</v>
      </c>
      <c r="J34" s="264"/>
      <c r="K34" s="265"/>
      <c r="L34" s="252">
        <f t="shared" si="3"/>
        <v>0</v>
      </c>
      <c r="M34" s="256">
        <f t="shared" si="0"/>
        <v>18449000</v>
      </c>
    </row>
    <row r="35" spans="1:13" ht="29.25" customHeight="1">
      <c r="A35" s="257" t="s">
        <v>478</v>
      </c>
      <c r="B35" s="266" t="s">
        <v>826</v>
      </c>
      <c r="C35" s="252"/>
      <c r="D35" s="261"/>
      <c r="E35" s="642"/>
      <c r="F35" s="252">
        <f t="shared" si="1"/>
        <v>0</v>
      </c>
      <c r="G35" s="712">
        <v>15000</v>
      </c>
      <c r="H35" s="262"/>
      <c r="I35" s="252">
        <f t="shared" si="2"/>
        <v>15000</v>
      </c>
      <c r="J35" s="264"/>
      <c r="K35" s="265"/>
      <c r="L35" s="252">
        <f t="shared" si="3"/>
        <v>0</v>
      </c>
      <c r="M35" s="256">
        <f t="shared" si="0"/>
        <v>15000</v>
      </c>
    </row>
    <row r="36" spans="1:13" ht="30.75" customHeight="1">
      <c r="A36" s="257" t="s">
        <v>415</v>
      </c>
      <c r="B36" s="281" t="s">
        <v>593</v>
      </c>
      <c r="C36" s="252"/>
      <c r="D36" s="641"/>
      <c r="E36" s="642"/>
      <c r="F36" s="252">
        <f t="shared" si="1"/>
        <v>0</v>
      </c>
      <c r="G36" s="268">
        <f>80000+38963+1830220</f>
        <v>1949183</v>
      </c>
      <c r="H36" s="262">
        <v>730250</v>
      </c>
      <c r="I36" s="252">
        <f t="shared" si="2"/>
        <v>2679433</v>
      </c>
      <c r="J36" s="264"/>
      <c r="K36" s="265"/>
      <c r="L36" s="252">
        <f t="shared" si="3"/>
        <v>0</v>
      </c>
      <c r="M36" s="256">
        <f t="shared" si="0"/>
        <v>2679433</v>
      </c>
    </row>
    <row r="37" spans="1:13" ht="23.25" customHeight="1">
      <c r="A37" s="257" t="s">
        <v>416</v>
      </c>
      <c r="B37" s="259" t="s">
        <v>83</v>
      </c>
      <c r="C37" s="273"/>
      <c r="D37" s="643"/>
      <c r="E37" s="644"/>
      <c r="F37" s="252">
        <f t="shared" si="1"/>
        <v>0</v>
      </c>
      <c r="G37" s="272">
        <v>73660</v>
      </c>
      <c r="H37" s="644"/>
      <c r="I37" s="252">
        <f t="shared" si="2"/>
        <v>73660</v>
      </c>
      <c r="J37" s="264"/>
      <c r="K37" s="265"/>
      <c r="L37" s="252">
        <f t="shared" si="3"/>
        <v>0</v>
      </c>
      <c r="M37" s="256">
        <f t="shared" si="0"/>
        <v>73660</v>
      </c>
    </row>
    <row r="38" spans="1:13" ht="23.25" customHeight="1">
      <c r="A38" s="257" t="s">
        <v>417</v>
      </c>
      <c r="B38" s="259" t="s">
        <v>827</v>
      </c>
      <c r="C38" s="273"/>
      <c r="D38" s="643"/>
      <c r="E38" s="644"/>
      <c r="F38" s="252">
        <f t="shared" si="1"/>
        <v>0</v>
      </c>
      <c r="G38" s="272">
        <v>12229669</v>
      </c>
      <c r="H38" s="271"/>
      <c r="I38" s="252">
        <f t="shared" si="2"/>
        <v>12229669</v>
      </c>
      <c r="J38" s="264"/>
      <c r="K38" s="265"/>
      <c r="L38" s="252">
        <f t="shared" si="3"/>
        <v>0</v>
      </c>
      <c r="M38" s="256">
        <f t="shared" si="0"/>
        <v>12229669</v>
      </c>
    </row>
    <row r="39" spans="1:13" ht="23.25" customHeight="1">
      <c r="A39" s="257" t="s">
        <v>479</v>
      </c>
      <c r="B39" s="259" t="s">
        <v>800</v>
      </c>
      <c r="C39" s="252" t="s">
        <v>701</v>
      </c>
      <c r="D39" s="643"/>
      <c r="E39" s="271">
        <v>31599998</v>
      </c>
      <c r="F39" s="252">
        <f t="shared" si="1"/>
        <v>31599998</v>
      </c>
      <c r="G39" s="272"/>
      <c r="H39" s="644"/>
      <c r="I39" s="252">
        <f t="shared" si="2"/>
        <v>0</v>
      </c>
      <c r="J39" s="264"/>
      <c r="K39" s="265"/>
      <c r="L39" s="252">
        <f t="shared" si="3"/>
        <v>0</v>
      </c>
      <c r="M39" s="256">
        <f t="shared" si="0"/>
        <v>31599998</v>
      </c>
    </row>
    <row r="40" spans="1:13" ht="23.25" customHeight="1">
      <c r="A40" s="257" t="s">
        <v>418</v>
      </c>
      <c r="B40" s="259" t="s">
        <v>801</v>
      </c>
      <c r="C40" s="273"/>
      <c r="D40" s="643"/>
      <c r="E40" s="271"/>
      <c r="F40" s="252">
        <f t="shared" si="1"/>
        <v>0</v>
      </c>
      <c r="G40" s="272">
        <f>12302209+5000000+875000+18063936</f>
        <v>36241145</v>
      </c>
      <c r="H40" s="644"/>
      <c r="I40" s="252">
        <f t="shared" si="2"/>
        <v>36241145</v>
      </c>
      <c r="J40" s="264"/>
      <c r="K40" s="265"/>
      <c r="L40" s="252">
        <f t="shared" si="3"/>
        <v>0</v>
      </c>
      <c r="M40" s="256">
        <f t="shared" si="0"/>
        <v>36241145</v>
      </c>
    </row>
    <row r="41" spans="1:13" ht="24" customHeight="1">
      <c r="A41" s="257" t="s">
        <v>435</v>
      </c>
      <c r="B41" s="259" t="s">
        <v>623</v>
      </c>
      <c r="C41" s="267" t="s">
        <v>914</v>
      </c>
      <c r="D41" s="270">
        <f>2543600+445130+57876511</f>
        <v>60865241</v>
      </c>
      <c r="E41" s="271">
        <v>74930</v>
      </c>
      <c r="F41" s="252">
        <f t="shared" si="1"/>
        <v>60940171</v>
      </c>
      <c r="G41" s="648"/>
      <c r="H41" s="644"/>
      <c r="I41" s="252">
        <f t="shared" si="2"/>
        <v>0</v>
      </c>
      <c r="J41" s="264"/>
      <c r="K41" s="265"/>
      <c r="L41" s="252">
        <f t="shared" si="3"/>
        <v>0</v>
      </c>
      <c r="M41" s="256">
        <f t="shared" si="0"/>
        <v>60940171</v>
      </c>
    </row>
    <row r="42" spans="1:13" ht="21.75" customHeight="1">
      <c r="A42" s="257" t="s">
        <v>480</v>
      </c>
      <c r="B42" s="274" t="s">
        <v>685</v>
      </c>
      <c r="C42" s="269"/>
      <c r="D42" s="641"/>
      <c r="E42" s="642"/>
      <c r="F42" s="252">
        <f t="shared" si="1"/>
        <v>0</v>
      </c>
      <c r="G42" s="263">
        <v>21650000</v>
      </c>
      <c r="H42" s="642"/>
      <c r="I42" s="252">
        <f t="shared" si="2"/>
        <v>21650000</v>
      </c>
      <c r="J42" s="264"/>
      <c r="K42" s="265"/>
      <c r="L42" s="252">
        <f t="shared" si="3"/>
        <v>0</v>
      </c>
      <c r="M42" s="256">
        <f t="shared" si="0"/>
        <v>21650000</v>
      </c>
    </row>
    <row r="43" spans="1:13" ht="24" customHeight="1">
      <c r="A43" s="257" t="s">
        <v>481</v>
      </c>
      <c r="B43" s="259" t="s">
        <v>625</v>
      </c>
      <c r="C43" s="267" t="s">
        <v>710</v>
      </c>
      <c r="D43" s="270">
        <v>1812600</v>
      </c>
      <c r="E43" s="644"/>
      <c r="F43" s="252">
        <f t="shared" si="1"/>
        <v>1812600</v>
      </c>
      <c r="G43" s="648"/>
      <c r="H43" s="644"/>
      <c r="I43" s="252">
        <f t="shared" si="2"/>
        <v>0</v>
      </c>
      <c r="J43" s="264"/>
      <c r="K43" s="265"/>
      <c r="L43" s="252">
        <f t="shared" si="3"/>
        <v>0</v>
      </c>
      <c r="M43" s="256">
        <f>SUM(F43+I43+L43)</f>
        <v>1812600</v>
      </c>
    </row>
    <row r="44" spans="1:13" ht="29.25" customHeight="1">
      <c r="A44" s="257" t="s">
        <v>806</v>
      </c>
      <c r="B44" s="274" t="s">
        <v>751</v>
      </c>
      <c r="C44" s="269"/>
      <c r="D44" s="641"/>
      <c r="E44" s="642"/>
      <c r="F44" s="252">
        <f t="shared" si="1"/>
        <v>0</v>
      </c>
      <c r="G44" s="263">
        <f>46804899+13881090</f>
        <v>60685989</v>
      </c>
      <c r="H44" s="262">
        <f>6000000</f>
        <v>6000000</v>
      </c>
      <c r="I44" s="252">
        <f t="shared" si="2"/>
        <v>66685989</v>
      </c>
      <c r="J44" s="264"/>
      <c r="K44" s="265"/>
      <c r="L44" s="252">
        <f t="shared" si="3"/>
        <v>0</v>
      </c>
      <c r="M44" s="256">
        <f t="shared" si="0"/>
        <v>66685989</v>
      </c>
    </row>
    <row r="45" spans="1:13" ht="21.75" customHeight="1">
      <c r="A45" s="257" t="s">
        <v>807</v>
      </c>
      <c r="B45" s="274" t="s">
        <v>452</v>
      </c>
      <c r="C45" s="269" t="s">
        <v>699</v>
      </c>
      <c r="D45" s="261">
        <f>4632000-1016000+1344830+208449+17596440</f>
        <v>22765719</v>
      </c>
      <c r="E45" s="262">
        <f>560000</f>
        <v>560000</v>
      </c>
      <c r="F45" s="252">
        <f t="shared" si="1"/>
        <v>23325719</v>
      </c>
      <c r="G45" s="646"/>
      <c r="H45" s="642"/>
      <c r="I45" s="252">
        <f t="shared" si="2"/>
        <v>0</v>
      </c>
      <c r="J45" s="264"/>
      <c r="K45" s="265"/>
      <c r="L45" s="252">
        <f t="shared" si="3"/>
        <v>0</v>
      </c>
      <c r="M45" s="256">
        <f t="shared" si="0"/>
        <v>23325719</v>
      </c>
    </row>
    <row r="46" spans="1:13" ht="21.75" customHeight="1">
      <c r="A46" s="257" t="s">
        <v>808</v>
      </c>
      <c r="B46" s="274" t="s">
        <v>803</v>
      </c>
      <c r="C46" s="269" t="s">
        <v>828</v>
      </c>
      <c r="D46" s="261">
        <f>2286000-1143000+3459090+536159+175000</f>
        <v>5313249</v>
      </c>
      <c r="E46" s="262">
        <f>250000</f>
        <v>250000</v>
      </c>
      <c r="F46" s="252">
        <f t="shared" si="1"/>
        <v>5563249</v>
      </c>
      <c r="G46" s="646"/>
      <c r="H46" s="642"/>
      <c r="I46" s="252">
        <f t="shared" si="2"/>
        <v>0</v>
      </c>
      <c r="J46" s="264"/>
      <c r="K46" s="265"/>
      <c r="L46" s="252">
        <f t="shared" si="3"/>
        <v>0</v>
      </c>
      <c r="M46" s="256">
        <f t="shared" si="0"/>
        <v>5563249</v>
      </c>
    </row>
    <row r="47" spans="1:13" ht="26.25" customHeight="1">
      <c r="A47" s="257" t="s">
        <v>809</v>
      </c>
      <c r="B47" s="259" t="s">
        <v>594</v>
      </c>
      <c r="C47" s="252" t="s">
        <v>706</v>
      </c>
      <c r="D47" s="261">
        <v>3804900</v>
      </c>
      <c r="E47" s="642"/>
      <c r="F47" s="252">
        <f t="shared" si="1"/>
        <v>3804900</v>
      </c>
      <c r="G47" s="646"/>
      <c r="H47" s="642"/>
      <c r="I47" s="252">
        <f t="shared" si="2"/>
        <v>0</v>
      </c>
      <c r="J47" s="264"/>
      <c r="K47" s="265"/>
      <c r="L47" s="252">
        <f t="shared" si="3"/>
        <v>0</v>
      </c>
      <c r="M47" s="256">
        <f t="shared" si="0"/>
        <v>3804900</v>
      </c>
    </row>
    <row r="48" spans="1:13" ht="26.25" customHeight="1">
      <c r="A48" s="257" t="s">
        <v>810</v>
      </c>
      <c r="B48" s="259" t="s">
        <v>805</v>
      </c>
      <c r="C48" s="258"/>
      <c r="D48" s="261"/>
      <c r="E48" s="642"/>
      <c r="F48" s="252">
        <f t="shared" si="1"/>
        <v>0</v>
      </c>
      <c r="G48" s="263">
        <f>18342800+3773040+22523810+1586250+1321875+60657486</f>
        <v>108205261</v>
      </c>
      <c r="H48" s="262">
        <f>2460790+523290</f>
        <v>2984080</v>
      </c>
      <c r="I48" s="252">
        <f t="shared" si="2"/>
        <v>111189341</v>
      </c>
      <c r="J48" s="264"/>
      <c r="K48" s="264"/>
      <c r="L48" s="252">
        <f t="shared" si="3"/>
        <v>0</v>
      </c>
      <c r="M48" s="256">
        <f t="shared" si="0"/>
        <v>111189341</v>
      </c>
    </row>
    <row r="49" spans="1:13" s="228" customFormat="1" ht="27.75" customHeight="1">
      <c r="A49" s="257" t="s">
        <v>811</v>
      </c>
      <c r="B49" s="259" t="s">
        <v>379</v>
      </c>
      <c r="C49" s="258" t="s">
        <v>700</v>
      </c>
      <c r="D49" s="261">
        <f>2350000-1000000</f>
        <v>1350000</v>
      </c>
      <c r="E49" s="262"/>
      <c r="F49" s="252">
        <f t="shared" si="1"/>
        <v>1350000</v>
      </c>
      <c r="G49" s="261">
        <v>200000</v>
      </c>
      <c r="H49" s="642"/>
      <c r="I49" s="252">
        <f t="shared" si="2"/>
        <v>200000</v>
      </c>
      <c r="J49" s="276"/>
      <c r="K49" s="276"/>
      <c r="L49" s="252">
        <f t="shared" si="3"/>
        <v>0</v>
      </c>
      <c r="M49" s="256">
        <f t="shared" si="0"/>
        <v>1550000</v>
      </c>
    </row>
    <row r="50" spans="1:13" ht="24.75" customHeight="1" thickBot="1">
      <c r="A50" s="257" t="s">
        <v>996</v>
      </c>
      <c r="B50" s="259" t="s">
        <v>591</v>
      </c>
      <c r="C50" s="278"/>
      <c r="D50" s="652"/>
      <c r="E50" s="653"/>
      <c r="F50" s="252">
        <f t="shared" si="1"/>
        <v>0</v>
      </c>
      <c r="G50" s="654">
        <v>8285000</v>
      </c>
      <c r="H50" s="653"/>
      <c r="I50" s="252">
        <f t="shared" si="2"/>
        <v>8285000</v>
      </c>
      <c r="J50" s="655"/>
      <c r="K50" s="655"/>
      <c r="L50" s="252">
        <f t="shared" si="3"/>
        <v>0</v>
      </c>
      <c r="M50" s="656">
        <f t="shared" si="0"/>
        <v>8285000</v>
      </c>
    </row>
    <row r="51" spans="1:16" s="762" customFormat="1" ht="23.25" customHeight="1" thickBot="1">
      <c r="A51" s="1048" t="s">
        <v>686</v>
      </c>
      <c r="B51" s="1049"/>
      <c r="C51" s="1050"/>
      <c r="D51" s="759">
        <f aca="true" t="shared" si="4" ref="D51:M51">SUM(D9:D50)</f>
        <v>549144418</v>
      </c>
      <c r="E51" s="760">
        <f t="shared" si="4"/>
        <v>287581998</v>
      </c>
      <c r="F51" s="761">
        <f t="shared" si="4"/>
        <v>836726416</v>
      </c>
      <c r="G51" s="760">
        <f t="shared" si="4"/>
        <v>270247451</v>
      </c>
      <c r="H51" s="760">
        <f t="shared" si="4"/>
        <v>633001001</v>
      </c>
      <c r="I51" s="761">
        <f t="shared" si="4"/>
        <v>903248452</v>
      </c>
      <c r="J51" s="760">
        <f t="shared" si="4"/>
        <v>12311385</v>
      </c>
      <c r="K51" s="760">
        <f t="shared" si="4"/>
        <v>0</v>
      </c>
      <c r="L51" s="761">
        <f t="shared" si="4"/>
        <v>12311385</v>
      </c>
      <c r="M51" s="761">
        <f t="shared" si="4"/>
        <v>1752286253</v>
      </c>
      <c r="P51" s="769">
        <f>SUM(L51,I51,F51)</f>
        <v>1752286253</v>
      </c>
    </row>
    <row r="52" spans="1:16" ht="30.75" customHeight="1">
      <c r="A52" s="260" t="s">
        <v>393</v>
      </c>
      <c r="B52" s="259" t="s">
        <v>59</v>
      </c>
      <c r="C52" s="249" t="s">
        <v>700</v>
      </c>
      <c r="D52" s="279">
        <f>91562414+16696818+26913440+103400+18095+1263600+221130-340425-59575-513114+513114</f>
        <v>136378897</v>
      </c>
      <c r="E52" s="280">
        <v>1934590</v>
      </c>
      <c r="F52" s="252">
        <f>SUM(D52:E52)</f>
        <v>138313487</v>
      </c>
      <c r="G52" s="279"/>
      <c r="H52" s="280"/>
      <c r="I52" s="249">
        <f>SUM(G52:H52)</f>
        <v>0</v>
      </c>
      <c r="J52" s="279"/>
      <c r="K52" s="280"/>
      <c r="L52" s="249">
        <f>SUM(J52:K52)</f>
        <v>0</v>
      </c>
      <c r="M52" s="256">
        <f>SUM(L52,I52,F52)</f>
        <v>138313487</v>
      </c>
      <c r="P52" s="763"/>
    </row>
    <row r="53" spans="1:16" ht="30.75" customHeight="1">
      <c r="A53" s="260" t="s">
        <v>394</v>
      </c>
      <c r="B53" s="259" t="s">
        <v>915</v>
      </c>
      <c r="C53" s="258"/>
      <c r="D53" s="250"/>
      <c r="E53" s="251"/>
      <c r="F53" s="252">
        <f>SUM(D53:E53)</f>
        <v>0</v>
      </c>
      <c r="G53" s="250">
        <v>5569500</v>
      </c>
      <c r="H53" s="251"/>
      <c r="I53" s="252">
        <f>SUM(G53:H53)</f>
        <v>5569500</v>
      </c>
      <c r="J53" s="250"/>
      <c r="K53" s="251"/>
      <c r="L53" s="252">
        <f>SUM(J53:K53)</f>
        <v>0</v>
      </c>
      <c r="M53" s="256">
        <f>SUM(L53,I53,F53)</f>
        <v>5569500</v>
      </c>
      <c r="P53" s="763"/>
    </row>
    <row r="54" spans="1:16" ht="36.75" thickBot="1">
      <c r="A54" s="260" t="s">
        <v>395</v>
      </c>
      <c r="B54" s="758" t="s">
        <v>916</v>
      </c>
      <c r="C54" s="282"/>
      <c r="D54" s="261"/>
      <c r="E54" s="262"/>
      <c r="F54" s="252">
        <f>SUM(D54:E54)</f>
        <v>0</v>
      </c>
      <c r="G54" s="261">
        <v>2881247</v>
      </c>
      <c r="H54" s="262"/>
      <c r="I54" s="252">
        <f>SUM(G54:H54)</f>
        <v>2881247</v>
      </c>
      <c r="J54" s="261"/>
      <c r="K54" s="262"/>
      <c r="L54" s="252">
        <f>SUM(J54:K54)</f>
        <v>0</v>
      </c>
      <c r="M54" s="256">
        <f>SUM(L54,I54,F54)</f>
        <v>2881247</v>
      </c>
      <c r="P54" s="763"/>
    </row>
    <row r="55" spans="1:16" s="762" customFormat="1" ht="23.25" customHeight="1" thickBot="1">
      <c r="A55" s="1048" t="s">
        <v>482</v>
      </c>
      <c r="B55" s="1049"/>
      <c r="C55" s="1050"/>
      <c r="D55" s="759">
        <f aca="true" t="shared" si="5" ref="D55:M55">SUM(D52:D54)</f>
        <v>136378897</v>
      </c>
      <c r="E55" s="760">
        <f t="shared" si="5"/>
        <v>1934590</v>
      </c>
      <c r="F55" s="761">
        <f t="shared" si="5"/>
        <v>138313487</v>
      </c>
      <c r="G55" s="760">
        <f t="shared" si="5"/>
        <v>8450747</v>
      </c>
      <c r="H55" s="760">
        <f t="shared" si="5"/>
        <v>0</v>
      </c>
      <c r="I55" s="761">
        <f t="shared" si="5"/>
        <v>8450747</v>
      </c>
      <c r="J55" s="760">
        <f t="shared" si="5"/>
        <v>0</v>
      </c>
      <c r="K55" s="760">
        <f t="shared" si="5"/>
        <v>0</v>
      </c>
      <c r="L55" s="761">
        <f t="shared" si="5"/>
        <v>0</v>
      </c>
      <c r="M55" s="761">
        <f t="shared" si="5"/>
        <v>146764234</v>
      </c>
      <c r="P55" s="769">
        <f>SUM(L55,I55,F55)</f>
        <v>146764234</v>
      </c>
    </row>
    <row r="56" spans="1:16" ht="23.25" customHeight="1">
      <c r="A56" s="247" t="s">
        <v>393</v>
      </c>
      <c r="B56" s="284" t="s">
        <v>483</v>
      </c>
      <c r="C56" s="267" t="s">
        <v>705</v>
      </c>
      <c r="D56" s="285">
        <v>31853858</v>
      </c>
      <c r="E56" s="286"/>
      <c r="F56" s="283">
        <f aca="true" t="shared" si="6" ref="F56:F65">SUM(D56:E56)</f>
        <v>31853858</v>
      </c>
      <c r="G56" s="285"/>
      <c r="H56" s="286"/>
      <c r="I56" s="283">
        <f aca="true" t="shared" si="7" ref="I56:I65">SUM(G56:H56)</f>
        <v>0</v>
      </c>
      <c r="J56" s="285"/>
      <c r="K56" s="286"/>
      <c r="L56" s="283">
        <f aca="true" t="shared" si="8" ref="L56:L65">SUM(J56:K56)</f>
        <v>0</v>
      </c>
      <c r="M56" s="256">
        <f aca="true" t="shared" si="9" ref="M56:M65">SUM(L56,I56,F56)</f>
        <v>31853858</v>
      </c>
      <c r="P56" s="763"/>
    </row>
    <row r="57" spans="1:16" ht="23.25" customHeight="1">
      <c r="A57" s="260" t="s">
        <v>394</v>
      </c>
      <c r="B57" s="259" t="s">
        <v>829</v>
      </c>
      <c r="C57" s="1068" t="s">
        <v>701</v>
      </c>
      <c r="D57" s="270">
        <f>128705693+3215520+562716-330000-57750-1461600-255780+216700+37923</f>
        <v>130633422</v>
      </c>
      <c r="E57" s="271"/>
      <c r="F57" s="252">
        <f t="shared" si="6"/>
        <v>130633422</v>
      </c>
      <c r="G57" s="277"/>
      <c r="H57" s="275"/>
      <c r="I57" s="252">
        <f t="shared" si="7"/>
        <v>0</v>
      </c>
      <c r="J57" s="264"/>
      <c r="K57" s="264"/>
      <c r="L57" s="252">
        <f t="shared" si="8"/>
        <v>0</v>
      </c>
      <c r="M57" s="256">
        <f t="shared" si="9"/>
        <v>130633422</v>
      </c>
      <c r="P57" s="763"/>
    </row>
    <row r="58" spans="1:16" ht="23.25" customHeight="1">
      <c r="A58" s="257" t="s">
        <v>395</v>
      </c>
      <c r="B58" s="259" t="s">
        <v>857</v>
      </c>
      <c r="C58" s="1069"/>
      <c r="D58" s="270">
        <v>10508378</v>
      </c>
      <c r="E58" s="271">
        <f>309245+508000</f>
        <v>817245</v>
      </c>
      <c r="F58" s="252">
        <f t="shared" si="6"/>
        <v>11325623</v>
      </c>
      <c r="G58" s="277"/>
      <c r="H58" s="275"/>
      <c r="I58" s="252">
        <f t="shared" si="7"/>
        <v>0</v>
      </c>
      <c r="J58" s="264"/>
      <c r="K58" s="264"/>
      <c r="L58" s="252">
        <f t="shared" si="8"/>
        <v>0</v>
      </c>
      <c r="M58" s="256">
        <f t="shared" si="9"/>
        <v>11325623</v>
      </c>
      <c r="P58" s="763"/>
    </row>
    <row r="59" spans="1:16" ht="23.25" customHeight="1">
      <c r="A59" s="257" t="s">
        <v>396</v>
      </c>
      <c r="B59" s="259" t="s">
        <v>567</v>
      </c>
      <c r="C59" s="297" t="s">
        <v>597</v>
      </c>
      <c r="D59" s="270">
        <f>24097710+1249875+4222056+218728+4796826+91000+1125000-1245375+196875-217940</f>
        <v>34534755</v>
      </c>
      <c r="E59" s="271">
        <v>304800</v>
      </c>
      <c r="F59" s="252">
        <f t="shared" si="6"/>
        <v>34839555</v>
      </c>
      <c r="G59" s="277"/>
      <c r="H59" s="275"/>
      <c r="I59" s="252">
        <f t="shared" si="7"/>
        <v>0</v>
      </c>
      <c r="J59" s="264"/>
      <c r="K59" s="264"/>
      <c r="L59" s="252">
        <f t="shared" si="8"/>
        <v>0</v>
      </c>
      <c r="M59" s="256">
        <f t="shared" si="9"/>
        <v>34839555</v>
      </c>
      <c r="P59" s="763"/>
    </row>
    <row r="60" spans="1:16" ht="23.25" customHeight="1">
      <c r="A60" s="257" t="s">
        <v>397</v>
      </c>
      <c r="B60" s="259" t="s">
        <v>687</v>
      </c>
      <c r="C60" s="297" t="s">
        <v>707</v>
      </c>
      <c r="D60" s="270">
        <f>11177496+981000+1927326+171675+2955612+91000+1035000-976500+181125-170887</f>
        <v>17372847</v>
      </c>
      <c r="E60" s="271">
        <v>401320</v>
      </c>
      <c r="F60" s="252">
        <f t="shared" si="6"/>
        <v>17774167</v>
      </c>
      <c r="G60" s="277"/>
      <c r="H60" s="275"/>
      <c r="I60" s="252">
        <f t="shared" si="7"/>
        <v>0</v>
      </c>
      <c r="J60" s="264"/>
      <c r="K60" s="264"/>
      <c r="L60" s="252">
        <f t="shared" si="8"/>
        <v>0</v>
      </c>
      <c r="M60" s="256">
        <f t="shared" si="9"/>
        <v>17774167</v>
      </c>
      <c r="P60" s="763"/>
    </row>
    <row r="61" spans="1:16" ht="23.25" customHeight="1">
      <c r="A61" s="257" t="s">
        <v>398</v>
      </c>
      <c r="B61" s="259" t="s">
        <v>688</v>
      </c>
      <c r="C61" s="297" t="s">
        <v>708</v>
      </c>
      <c r="D61" s="272">
        <f>10053189+1759308+1190218+639450+111904</f>
        <v>13754069</v>
      </c>
      <c r="E61" s="271">
        <v>95250</v>
      </c>
      <c r="F61" s="252">
        <f t="shared" si="6"/>
        <v>13849319</v>
      </c>
      <c r="G61" s="272"/>
      <c r="H61" s="271"/>
      <c r="I61" s="252">
        <f t="shared" si="7"/>
        <v>0</v>
      </c>
      <c r="J61" s="264"/>
      <c r="K61" s="264"/>
      <c r="L61" s="252">
        <f t="shared" si="8"/>
        <v>0</v>
      </c>
      <c r="M61" s="256">
        <f t="shared" si="9"/>
        <v>13849319</v>
      </c>
      <c r="P61" s="763"/>
    </row>
    <row r="62" spans="1:16" ht="23.25" customHeight="1">
      <c r="A62" s="257" t="s">
        <v>399</v>
      </c>
      <c r="B62" s="259" t="s">
        <v>689</v>
      </c>
      <c r="C62" s="267" t="s">
        <v>705</v>
      </c>
      <c r="D62" s="272">
        <v>2677147</v>
      </c>
      <c r="E62" s="271"/>
      <c r="F62" s="252">
        <f t="shared" si="6"/>
        <v>2677147</v>
      </c>
      <c r="G62" s="272"/>
      <c r="H62" s="271"/>
      <c r="I62" s="252">
        <f t="shared" si="7"/>
        <v>0</v>
      </c>
      <c r="J62" s="264"/>
      <c r="K62" s="264"/>
      <c r="L62" s="252">
        <f t="shared" si="8"/>
        <v>0</v>
      </c>
      <c r="M62" s="256">
        <f t="shared" si="9"/>
        <v>2677147</v>
      </c>
      <c r="P62" s="763"/>
    </row>
    <row r="63" spans="1:16" ht="23.25" customHeight="1">
      <c r="A63" s="260" t="s">
        <v>400</v>
      </c>
      <c r="B63" s="284" t="s">
        <v>527</v>
      </c>
      <c r="C63" s="267" t="s">
        <v>709</v>
      </c>
      <c r="D63" s="713"/>
      <c r="E63" s="714"/>
      <c r="F63" s="252">
        <f t="shared" si="6"/>
        <v>0</v>
      </c>
      <c r="G63" s="654">
        <f>5287200+925260+1916238-781083-47925</f>
        <v>7299690</v>
      </c>
      <c r="H63" s="714">
        <f>63500+47925</f>
        <v>111425</v>
      </c>
      <c r="I63" s="252">
        <f t="shared" si="7"/>
        <v>7411115</v>
      </c>
      <c r="J63" s="655"/>
      <c r="K63" s="655"/>
      <c r="L63" s="252">
        <f t="shared" si="8"/>
        <v>0</v>
      </c>
      <c r="M63" s="256">
        <f t="shared" si="9"/>
        <v>7411115</v>
      </c>
      <c r="P63" s="763"/>
    </row>
    <row r="64" spans="1:16" ht="38.25" customHeight="1">
      <c r="A64" s="260" t="s">
        <v>401</v>
      </c>
      <c r="B64" s="259" t="s">
        <v>917</v>
      </c>
      <c r="C64" s="267"/>
      <c r="D64" s="713"/>
      <c r="E64" s="714"/>
      <c r="F64" s="252">
        <f t="shared" si="6"/>
        <v>0</v>
      </c>
      <c r="G64" s="654">
        <f>3600000+630000</f>
        <v>4230000</v>
      </c>
      <c r="H64" s="714"/>
      <c r="I64" s="252">
        <f t="shared" si="7"/>
        <v>4230000</v>
      </c>
      <c r="J64" s="655"/>
      <c r="K64" s="655"/>
      <c r="L64" s="252">
        <f t="shared" si="8"/>
        <v>0</v>
      </c>
      <c r="M64" s="256">
        <f t="shared" si="9"/>
        <v>4230000</v>
      </c>
      <c r="P64" s="763"/>
    </row>
    <row r="65" spans="1:16" ht="27" customHeight="1" thickBot="1">
      <c r="A65" s="715" t="s">
        <v>402</v>
      </c>
      <c r="B65" s="259" t="s">
        <v>918</v>
      </c>
      <c r="C65" s="267"/>
      <c r="D65" s="285"/>
      <c r="E65" s="286"/>
      <c r="F65" s="283">
        <f t="shared" si="6"/>
        <v>0</v>
      </c>
      <c r="G65" s="285">
        <f>6562063+1148361+50000+2756937+482464+2114762</f>
        <v>13114587</v>
      </c>
      <c r="H65" s="286"/>
      <c r="I65" s="283">
        <f t="shared" si="7"/>
        <v>13114587</v>
      </c>
      <c r="J65" s="285"/>
      <c r="K65" s="286"/>
      <c r="L65" s="283">
        <f t="shared" si="8"/>
        <v>0</v>
      </c>
      <c r="M65" s="256">
        <f t="shared" si="9"/>
        <v>13114587</v>
      </c>
      <c r="P65" s="763"/>
    </row>
    <row r="66" spans="1:16" s="768" customFormat="1" ht="27.75" customHeight="1" thickBot="1">
      <c r="A66" s="1057" t="s">
        <v>759</v>
      </c>
      <c r="B66" s="1058"/>
      <c r="C66" s="1059"/>
      <c r="D66" s="764">
        <f aca="true" t="shared" si="10" ref="D66:M66">SUM(D56:D65)</f>
        <v>241334476</v>
      </c>
      <c r="E66" s="765">
        <f t="shared" si="10"/>
        <v>1618615</v>
      </c>
      <c r="F66" s="766">
        <f t="shared" si="10"/>
        <v>242953091</v>
      </c>
      <c r="G66" s="764">
        <f t="shared" si="10"/>
        <v>24644277</v>
      </c>
      <c r="H66" s="765">
        <f t="shared" si="10"/>
        <v>111425</v>
      </c>
      <c r="I66" s="766">
        <f t="shared" si="10"/>
        <v>24755702</v>
      </c>
      <c r="J66" s="764">
        <f t="shared" si="10"/>
        <v>0</v>
      </c>
      <c r="K66" s="765">
        <f t="shared" si="10"/>
        <v>0</v>
      </c>
      <c r="L66" s="766">
        <f t="shared" si="10"/>
        <v>0</v>
      </c>
      <c r="M66" s="767">
        <f t="shared" si="10"/>
        <v>267708793</v>
      </c>
      <c r="P66" s="769">
        <f>SUM(L66,I66,F66)</f>
        <v>267708793</v>
      </c>
    </row>
    <row r="67" spans="1:16" ht="32.25" customHeight="1">
      <c r="A67" s="257" t="s">
        <v>393</v>
      </c>
      <c r="B67" s="266" t="s">
        <v>526</v>
      </c>
      <c r="C67" s="258" t="s">
        <v>697</v>
      </c>
      <c r="D67" s="261">
        <f>1082115-800000</f>
        <v>282115</v>
      </c>
      <c r="E67" s="262">
        <v>800000</v>
      </c>
      <c r="F67" s="252">
        <f>SUM(D67:E67)</f>
        <v>1082115</v>
      </c>
      <c r="G67" s="263"/>
      <c r="H67" s="262"/>
      <c r="I67" s="252">
        <f>SUM(G67:H67)</f>
        <v>0</v>
      </c>
      <c r="J67" s="264"/>
      <c r="K67" s="265"/>
      <c r="L67" s="252">
        <f>SUM(J67:K67)</f>
        <v>0</v>
      </c>
      <c r="M67" s="256">
        <f>SUM(F67+I67+L67)</f>
        <v>1082115</v>
      </c>
      <c r="P67" s="763"/>
    </row>
    <row r="68" spans="1:16" ht="22.5" customHeight="1">
      <c r="A68" s="257" t="s">
        <v>394</v>
      </c>
      <c r="B68" s="274" t="s">
        <v>383</v>
      </c>
      <c r="C68" s="269" t="s">
        <v>697</v>
      </c>
      <c r="D68" s="261">
        <v>3583050</v>
      </c>
      <c r="E68" s="262"/>
      <c r="F68" s="252">
        <f>SUM(D68:E68)</f>
        <v>3583050</v>
      </c>
      <c r="G68" s="263"/>
      <c r="H68" s="262"/>
      <c r="I68" s="252">
        <f>SUM(G68:H68)</f>
        <v>0</v>
      </c>
      <c r="J68" s="264"/>
      <c r="K68" s="265"/>
      <c r="L68" s="252">
        <f>SUM(J68:K68)</f>
        <v>0</v>
      </c>
      <c r="M68" s="256">
        <f>SUM(F68+I68+L68)</f>
        <v>3583050</v>
      </c>
      <c r="P68" s="763"/>
    </row>
    <row r="69" spans="1:16" ht="33.75" customHeight="1">
      <c r="A69" s="257" t="s">
        <v>395</v>
      </c>
      <c r="B69" s="259" t="s">
        <v>79</v>
      </c>
      <c r="C69" s="273" t="s">
        <v>698</v>
      </c>
      <c r="D69" s="270">
        <f>11931088+2122958+14446890-317500+144779+300000+367133+2954117</f>
        <v>31949465</v>
      </c>
      <c r="E69" s="271">
        <f>304800-177800+578000+700000-578000</f>
        <v>827000</v>
      </c>
      <c r="F69" s="252">
        <f>SUM(D69:E69)</f>
        <v>32776465</v>
      </c>
      <c r="G69" s="272"/>
      <c r="H69" s="271"/>
      <c r="I69" s="252">
        <f>SUM(G69:H69)</f>
        <v>0</v>
      </c>
      <c r="J69" s="264"/>
      <c r="K69" s="265"/>
      <c r="L69" s="252">
        <f>SUM(J69:K69)</f>
        <v>0</v>
      </c>
      <c r="M69" s="256">
        <f>SUM(F69+I69+L69)</f>
        <v>32776465</v>
      </c>
      <c r="P69" s="763"/>
    </row>
    <row r="70" spans="1:16" ht="33.75" customHeight="1">
      <c r="A70" s="257" t="s">
        <v>396</v>
      </c>
      <c r="B70" s="259" t="s">
        <v>377</v>
      </c>
      <c r="C70" s="273"/>
      <c r="D70" s="270"/>
      <c r="E70" s="271"/>
      <c r="F70" s="252">
        <f>SUM(D70:E70)</f>
        <v>0</v>
      </c>
      <c r="G70" s="272">
        <f>1980314+964502+7003586-775591-377745-2575544</f>
        <v>6219522</v>
      </c>
      <c r="H70" s="271"/>
      <c r="I70" s="252">
        <f>SUM(G70:H70)</f>
        <v>6219522</v>
      </c>
      <c r="J70" s="264"/>
      <c r="K70" s="265"/>
      <c r="L70" s="252">
        <f>SUM(J70:K70)</f>
        <v>0</v>
      </c>
      <c r="M70" s="256">
        <f>SUM(F70+I70+L70)</f>
        <v>6219522</v>
      </c>
      <c r="P70" s="763"/>
    </row>
    <row r="71" spans="1:16" ht="33.75" customHeight="1" thickBot="1">
      <c r="A71" s="257" t="s">
        <v>397</v>
      </c>
      <c r="B71" s="259" t="s">
        <v>894</v>
      </c>
      <c r="C71" s="273"/>
      <c r="D71" s="270"/>
      <c r="E71" s="271"/>
      <c r="F71" s="252">
        <f>SUM(D71:E71)</f>
        <v>0</v>
      </c>
      <c r="G71" s="272">
        <f>1800000+315000+3527681+13166-13166</f>
        <v>5642681</v>
      </c>
      <c r="H71" s="271"/>
      <c r="I71" s="252">
        <f>SUM(G71:H71)</f>
        <v>5642681</v>
      </c>
      <c r="J71" s="264"/>
      <c r="K71" s="265"/>
      <c r="L71" s="252">
        <f>SUM(J71:K71)</f>
        <v>0</v>
      </c>
      <c r="M71" s="256">
        <f>SUM(F71+I71+L71)</f>
        <v>5642681</v>
      </c>
      <c r="P71" s="763"/>
    </row>
    <row r="72" spans="1:16" s="768" customFormat="1" ht="27.75" customHeight="1" thickBot="1">
      <c r="A72" s="1057" t="s">
        <v>770</v>
      </c>
      <c r="B72" s="1058"/>
      <c r="C72" s="1059"/>
      <c r="D72" s="764">
        <f>SUM(D67:D71)</f>
        <v>35814630</v>
      </c>
      <c r="E72" s="765">
        <f aca="true" t="shared" si="11" ref="E72:K72">SUM(E67:E71)</f>
        <v>1627000</v>
      </c>
      <c r="F72" s="766">
        <f t="shared" si="11"/>
        <v>37441630</v>
      </c>
      <c r="G72" s="764">
        <f t="shared" si="11"/>
        <v>11862203</v>
      </c>
      <c r="H72" s="765">
        <f t="shared" si="11"/>
        <v>0</v>
      </c>
      <c r="I72" s="766">
        <f t="shared" si="11"/>
        <v>11862203</v>
      </c>
      <c r="J72" s="764">
        <f t="shared" si="11"/>
        <v>0</v>
      </c>
      <c r="K72" s="765">
        <f t="shared" si="11"/>
        <v>0</v>
      </c>
      <c r="L72" s="766">
        <f>SUM(L67:L71)</f>
        <v>0</v>
      </c>
      <c r="M72" s="767">
        <f>SUM(M67:M71)</f>
        <v>49303833</v>
      </c>
      <c r="P72" s="769">
        <f>SUM(L72,I72,F72)</f>
        <v>49303833</v>
      </c>
    </row>
    <row r="73" spans="1:16" s="232" customFormat="1" ht="16.5" thickBot="1">
      <c r="A73" s="1045" t="s">
        <v>484</v>
      </c>
      <c r="B73" s="1046"/>
      <c r="C73" s="1047"/>
      <c r="D73" s="287">
        <f aca="true" t="shared" si="12" ref="D73:M73">D51+D55+D66+D72</f>
        <v>962672421</v>
      </c>
      <c r="E73" s="287">
        <f t="shared" si="12"/>
        <v>292762203</v>
      </c>
      <c r="F73" s="649">
        <f t="shared" si="12"/>
        <v>1255434624</v>
      </c>
      <c r="G73" s="287">
        <f t="shared" si="12"/>
        <v>315204678</v>
      </c>
      <c r="H73" s="287">
        <f t="shared" si="12"/>
        <v>633112426</v>
      </c>
      <c r="I73" s="288">
        <f t="shared" si="12"/>
        <v>948317104</v>
      </c>
      <c r="J73" s="491">
        <f t="shared" si="12"/>
        <v>12311385</v>
      </c>
      <c r="K73" s="650">
        <f t="shared" si="12"/>
        <v>0</v>
      </c>
      <c r="L73" s="651">
        <f t="shared" si="12"/>
        <v>12311385</v>
      </c>
      <c r="M73" s="289">
        <f t="shared" si="12"/>
        <v>2216063113</v>
      </c>
      <c r="P73" s="763">
        <f>SUM(L73,I73,F73)</f>
        <v>2216063113</v>
      </c>
    </row>
    <row r="75" spans="1:2" ht="12.75">
      <c r="A75" s="168" t="s">
        <v>485</v>
      </c>
      <c r="B75" s="168" t="s">
        <v>486</v>
      </c>
    </row>
    <row r="76" spans="1:2" ht="12.75">
      <c r="A76" s="168" t="s">
        <v>487</v>
      </c>
      <c r="B76" s="168" t="s">
        <v>488</v>
      </c>
    </row>
    <row r="77" spans="1:2" ht="12.75">
      <c r="A77" s="168" t="s">
        <v>489</v>
      </c>
      <c r="B77" s="168" t="s">
        <v>490</v>
      </c>
    </row>
    <row r="78" spans="1:2" ht="12.75">
      <c r="A78" s="168" t="s">
        <v>491</v>
      </c>
      <c r="B78" s="168" t="s">
        <v>492</v>
      </c>
    </row>
    <row r="79" spans="1:2" ht="12.75">
      <c r="A79" s="168" t="s">
        <v>757</v>
      </c>
      <c r="B79" s="168" t="s">
        <v>758</v>
      </c>
    </row>
    <row r="80" spans="1:2" ht="12.75">
      <c r="A80" s="168" t="s">
        <v>596</v>
      </c>
      <c r="B80" s="168" t="s">
        <v>595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3:C73"/>
    <mergeCell ref="A55:C55"/>
    <mergeCell ref="D6:F7"/>
    <mergeCell ref="A66:C66"/>
    <mergeCell ref="B5:B8"/>
    <mergeCell ref="A5:A8"/>
    <mergeCell ref="C5:M5"/>
    <mergeCell ref="A51:C51"/>
    <mergeCell ref="A72:C72"/>
    <mergeCell ref="C57:C58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3" r:id="rId1"/>
  <rowBreaks count="2" manualBreakCount="2">
    <brk id="29" max="12" man="1"/>
    <brk id="5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C87"/>
    </sheetView>
  </sheetViews>
  <sheetFormatPr defaultColWidth="9.00390625" defaultRowHeight="12.75"/>
  <cols>
    <col min="1" max="2" width="9.125" style="168" customWidth="1"/>
    <col min="3" max="3" width="19.125" style="168" customWidth="1"/>
    <col min="4" max="6" width="18.00390625" style="168" bestFit="1" customWidth="1"/>
    <col min="7" max="7" width="12.625" style="168" customWidth="1"/>
    <col min="8" max="8" width="18.875" style="168" customWidth="1"/>
    <col min="9" max="9" width="9.25390625" style="168" bestFit="1" customWidth="1"/>
    <col min="10" max="10" width="11.375" style="168" bestFit="1" customWidth="1"/>
    <col min="11" max="11" width="19.25390625" style="168" customWidth="1"/>
    <col min="12" max="12" width="9.75390625" style="168" customWidth="1"/>
    <col min="13" max="13" width="9.125" style="168" customWidth="1"/>
    <col min="14" max="14" width="12.625" style="168" customWidth="1"/>
    <col min="15" max="15" width="8.125" style="168" customWidth="1"/>
    <col min="16" max="16" width="10.375" style="168" bestFit="1" customWidth="1"/>
    <col min="17" max="17" width="14.00390625" style="168" bestFit="1" customWidth="1"/>
    <col min="18" max="20" width="9.125" style="168" customWidth="1"/>
    <col min="21" max="21" width="9.875" style="168" customWidth="1"/>
    <col min="22" max="22" width="13.125" style="168" customWidth="1"/>
    <col min="23" max="23" width="16.625" style="168" bestFit="1" customWidth="1"/>
    <col min="24" max="24" width="18.00390625" style="298" bestFit="1" customWidth="1"/>
    <col min="25" max="25" width="18.25390625" style="298" customWidth="1"/>
    <col min="26" max="26" width="18.75390625" style="298" customWidth="1"/>
    <col min="27" max="27" width="19.75390625" style="298" bestFit="1" customWidth="1"/>
    <col min="28" max="28" width="17.375" style="298" bestFit="1" customWidth="1"/>
    <col min="29" max="29" width="19.75390625" style="298" bestFit="1" customWidth="1"/>
    <col min="30" max="223" width="9.125" style="298" customWidth="1"/>
    <col min="224" max="16384" width="9.125" style="168" customWidth="1"/>
  </cols>
  <sheetData>
    <row r="1" spans="1:28" ht="15">
      <c r="A1" s="234"/>
      <c r="B1" s="235"/>
      <c r="C1" s="236"/>
      <c r="H1" s="235"/>
      <c r="I1" s="235"/>
      <c r="J1" s="235"/>
      <c r="K1" s="237"/>
      <c r="L1" s="237"/>
      <c r="M1" s="237"/>
      <c r="N1" s="235"/>
      <c r="T1" s="1111" t="s">
        <v>1087</v>
      </c>
      <c r="U1" s="1112"/>
      <c r="V1" s="1112"/>
      <c r="W1" s="1112"/>
      <c r="X1" s="1113"/>
      <c r="Y1" s="1113"/>
      <c r="Z1" s="1113"/>
      <c r="AA1" s="1113"/>
      <c r="AB1" s="1113"/>
    </row>
    <row r="2" spans="1:14" ht="12.75">
      <c r="A2" s="234"/>
      <c r="B2" s="235"/>
      <c r="C2" s="236"/>
      <c r="D2" s="238"/>
      <c r="E2" s="239"/>
      <c r="F2" s="239"/>
      <c r="G2" s="239"/>
      <c r="H2" s="235"/>
      <c r="I2" s="235"/>
      <c r="J2" s="235"/>
      <c r="K2" s="237"/>
      <c r="L2" s="237"/>
      <c r="M2" s="237"/>
      <c r="N2" s="235"/>
    </row>
    <row r="3" spans="1:29" ht="15.75" customHeight="1">
      <c r="A3" s="1119" t="s">
        <v>895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</row>
    <row r="4" spans="1:29" ht="15.7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</row>
    <row r="5" spans="1:29" ht="13.5" customHeight="1" thickBot="1">
      <c r="A5" s="488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</row>
    <row r="6" spans="1:223" s="299" customFormat="1" ht="15" customHeight="1" thickBot="1" thickTop="1">
      <c r="A6" s="1107" t="s">
        <v>86</v>
      </c>
      <c r="B6" s="1108"/>
      <c r="C6" s="1108"/>
      <c r="D6" s="1135" t="s">
        <v>362</v>
      </c>
      <c r="E6" s="1123"/>
      <c r="F6" s="1136"/>
      <c r="G6" s="1137" t="s">
        <v>493</v>
      </c>
      <c r="H6" s="1138"/>
      <c r="I6" s="1138"/>
      <c r="J6" s="1138"/>
      <c r="K6" s="1139"/>
      <c r="L6" s="1122" t="s">
        <v>494</v>
      </c>
      <c r="M6" s="1130"/>
      <c r="N6" s="1130"/>
      <c r="O6" s="1130"/>
      <c r="P6" s="1130"/>
      <c r="Q6" s="1131"/>
      <c r="R6" s="1122" t="s">
        <v>495</v>
      </c>
      <c r="S6" s="1130"/>
      <c r="T6" s="1130"/>
      <c r="U6" s="1130"/>
      <c r="V6" s="1130"/>
      <c r="W6" s="1130"/>
      <c r="X6" s="1114" t="s">
        <v>496</v>
      </c>
      <c r="Y6" s="1115"/>
      <c r="Z6" s="1115"/>
      <c r="AA6" s="1116" t="s">
        <v>87</v>
      </c>
      <c r="AB6" s="1117"/>
      <c r="AC6" s="111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</row>
    <row r="7" spans="1:29" s="298" customFormat="1" ht="16.5" customHeight="1" thickBot="1">
      <c r="A7" s="1109"/>
      <c r="B7" s="1110"/>
      <c r="C7" s="1110"/>
      <c r="D7" s="458" t="s">
        <v>88</v>
      </c>
      <c r="E7" s="700" t="s">
        <v>85</v>
      </c>
      <c r="F7" s="301" t="s">
        <v>89</v>
      </c>
      <c r="G7" s="1140"/>
      <c r="H7" s="1141"/>
      <c r="I7" s="1141"/>
      <c r="J7" s="1141"/>
      <c r="K7" s="1142"/>
      <c r="L7" s="1132"/>
      <c r="M7" s="1133"/>
      <c r="N7" s="1133"/>
      <c r="O7" s="1133"/>
      <c r="P7" s="1133"/>
      <c r="Q7" s="1134"/>
      <c r="R7" s="1132"/>
      <c r="S7" s="1133"/>
      <c r="T7" s="1133"/>
      <c r="U7" s="1133"/>
      <c r="V7" s="1133"/>
      <c r="W7" s="1133"/>
      <c r="X7" s="300" t="s">
        <v>88</v>
      </c>
      <c r="Y7" s="458" t="s">
        <v>85</v>
      </c>
      <c r="Z7" s="687" t="s">
        <v>89</v>
      </c>
      <c r="AA7" s="300" t="s">
        <v>88</v>
      </c>
      <c r="AB7" s="458" t="s">
        <v>85</v>
      </c>
      <c r="AC7" s="301" t="s">
        <v>89</v>
      </c>
    </row>
    <row r="8" spans="1:29" s="316" customFormat="1" ht="26.25" customHeight="1">
      <c r="A8" s="302"/>
      <c r="B8" s="303"/>
      <c r="C8" s="304"/>
      <c r="D8" s="305"/>
      <c r="E8" s="303"/>
      <c r="F8" s="306"/>
      <c r="G8" s="1145" t="s">
        <v>497</v>
      </c>
      <c r="H8" s="1096"/>
      <c r="I8" s="1096"/>
      <c r="J8" s="485">
        <f>186857281-119812800+1038000+426173+10068391+848820-11343384</f>
        <v>68082481</v>
      </c>
      <c r="K8" s="1091">
        <f>SUM(J8:J17)</f>
        <v>176515151</v>
      </c>
      <c r="L8" s="1120"/>
      <c r="M8" s="1121"/>
      <c r="N8" s="1121"/>
      <c r="O8" s="1121"/>
      <c r="P8" s="308"/>
      <c r="Q8" s="1143">
        <f>SUM(P8:P17)</f>
        <v>100489445</v>
      </c>
      <c r="R8" s="1087" t="s">
        <v>232</v>
      </c>
      <c r="S8" s="1088"/>
      <c r="T8" s="1088"/>
      <c r="U8" s="1088"/>
      <c r="V8" s="485">
        <f>261700000-10269500-11730500</f>
        <v>239700000</v>
      </c>
      <c r="W8" s="1079">
        <f>SUM(V8:V17)</f>
        <v>316121404</v>
      </c>
      <c r="X8" s="310"/>
      <c r="Y8" s="311"/>
      <c r="Z8" s="312"/>
      <c r="AA8" s="313"/>
      <c r="AB8" s="314"/>
      <c r="AC8" s="315"/>
    </row>
    <row r="9" spans="1:29" s="316" customFormat="1" ht="27" customHeight="1">
      <c r="A9" s="302"/>
      <c r="B9" s="303"/>
      <c r="C9" s="305"/>
      <c r="D9" s="305"/>
      <c r="E9" s="303"/>
      <c r="F9" s="306"/>
      <c r="G9" s="1097" t="s">
        <v>599</v>
      </c>
      <c r="H9" s="1086"/>
      <c r="I9" s="1086"/>
      <c r="J9" s="485">
        <v>1723560</v>
      </c>
      <c r="K9" s="1092"/>
      <c r="L9" s="1083" t="s">
        <v>498</v>
      </c>
      <c r="M9" s="1084"/>
      <c r="N9" s="1084"/>
      <c r="O9" s="1084"/>
      <c r="P9" s="485">
        <v>4572392</v>
      </c>
      <c r="Q9" s="1144"/>
      <c r="R9" s="1087" t="s">
        <v>108</v>
      </c>
      <c r="S9" s="1088"/>
      <c r="T9" s="1088"/>
      <c r="U9" s="1088"/>
      <c r="V9" s="485">
        <f>10142978+129870</f>
        <v>10272848</v>
      </c>
      <c r="W9" s="1080"/>
      <c r="X9" s="317"/>
      <c r="Y9" s="311"/>
      <c r="Z9" s="318"/>
      <c r="AA9" s="302"/>
      <c r="AB9" s="319"/>
      <c r="AC9" s="320"/>
    </row>
    <row r="10" spans="1:29" s="316" customFormat="1" ht="24.75" customHeight="1">
      <c r="A10" s="321"/>
      <c r="B10" s="322"/>
      <c r="C10" s="323" t="s">
        <v>472</v>
      </c>
      <c r="D10" s="324">
        <f>SUM('6. kiadások megbontása'!D51)</f>
        <v>549144418</v>
      </c>
      <c r="E10" s="325">
        <f>SUM('6. kiadások megbontása'!E51)</f>
        <v>287581998</v>
      </c>
      <c r="F10" s="326">
        <f>SUM(D10:E10)</f>
        <v>836726416</v>
      </c>
      <c r="G10" s="1097" t="s">
        <v>718</v>
      </c>
      <c r="H10" s="1086"/>
      <c r="I10" s="1086"/>
      <c r="J10" s="746">
        <v>49781200</v>
      </c>
      <c r="K10" s="1092"/>
      <c r="L10" s="1083" t="s">
        <v>900</v>
      </c>
      <c r="M10" s="1084"/>
      <c r="N10" s="1084"/>
      <c r="O10" s="1084"/>
      <c r="P10" s="485">
        <v>29559000</v>
      </c>
      <c r="Q10" s="1144"/>
      <c r="R10" s="705" t="s">
        <v>762</v>
      </c>
      <c r="S10" s="709"/>
      <c r="T10" s="709"/>
      <c r="U10" s="709"/>
      <c r="V10" s="485">
        <v>80000</v>
      </c>
      <c r="W10" s="1080"/>
      <c r="X10" s="327"/>
      <c r="Y10" s="328"/>
      <c r="Z10" s="318"/>
      <c r="AA10" s="329"/>
      <c r="AB10" s="330"/>
      <c r="AC10" s="331"/>
    </row>
    <row r="11" spans="1:29" s="316" customFormat="1" ht="16.5" customHeight="1">
      <c r="A11" s="332"/>
      <c r="B11" s="333"/>
      <c r="C11" s="334"/>
      <c r="D11" s="334"/>
      <c r="E11" s="303"/>
      <c r="F11" s="306"/>
      <c r="G11" s="1106" t="s">
        <v>528</v>
      </c>
      <c r="H11" s="1106"/>
      <c r="I11" s="1106"/>
      <c r="J11" s="485">
        <v>48822917</v>
      </c>
      <c r="K11" s="1092"/>
      <c r="L11" s="705" t="s">
        <v>831</v>
      </c>
      <c r="M11" s="706"/>
      <c r="N11" s="706"/>
      <c r="O11" s="706"/>
      <c r="P11" s="485">
        <f>4016545+16490993</f>
        <v>20507538</v>
      </c>
      <c r="Q11" s="1144"/>
      <c r="R11" s="705" t="s">
        <v>273</v>
      </c>
      <c r="S11" s="709"/>
      <c r="T11" s="709"/>
      <c r="U11" s="709"/>
      <c r="V11" s="485">
        <f>731000+15000</f>
        <v>746000</v>
      </c>
      <c r="W11" s="1080"/>
      <c r="X11" s="327"/>
      <c r="Y11" s="328"/>
      <c r="Z11" s="318"/>
      <c r="AA11" s="329"/>
      <c r="AB11" s="330"/>
      <c r="AC11" s="331"/>
    </row>
    <row r="12" spans="1:29" s="316" customFormat="1" ht="24.75" customHeight="1">
      <c r="A12" s="332"/>
      <c r="B12" s="333"/>
      <c r="C12" s="334"/>
      <c r="D12" s="334"/>
      <c r="E12" s="303"/>
      <c r="F12" s="306"/>
      <c r="G12" s="1097" t="s">
        <v>974</v>
      </c>
      <c r="H12" s="1086"/>
      <c r="I12" s="1086"/>
      <c r="J12" s="307">
        <f>2232+6600+1155</f>
        <v>9987</v>
      </c>
      <c r="K12" s="1092"/>
      <c r="L12" s="1087" t="s">
        <v>832</v>
      </c>
      <c r="M12" s="1088"/>
      <c r="N12" s="1088"/>
      <c r="O12" s="1088"/>
      <c r="P12" s="482">
        <f>13227888+26537427</f>
        <v>39765315</v>
      </c>
      <c r="Q12" s="1144"/>
      <c r="R12" s="705" t="s">
        <v>715</v>
      </c>
      <c r="S12" s="709"/>
      <c r="T12" s="709"/>
      <c r="U12" s="709"/>
      <c r="V12" s="485">
        <f>2666578+556176+599440</f>
        <v>3822194</v>
      </c>
      <c r="W12" s="1080"/>
      <c r="X12" s="327"/>
      <c r="Y12" s="328"/>
      <c r="Z12" s="318"/>
      <c r="AA12" s="329"/>
      <c r="AB12" s="330"/>
      <c r="AC12" s="331"/>
    </row>
    <row r="13" spans="1:29" s="316" customFormat="1" ht="15.75" customHeight="1">
      <c r="A13" s="332"/>
      <c r="B13" s="333"/>
      <c r="C13" s="334"/>
      <c r="D13" s="334"/>
      <c r="E13" s="303"/>
      <c r="F13" s="306"/>
      <c r="G13" s="1106" t="s">
        <v>1073</v>
      </c>
      <c r="H13" s="1106"/>
      <c r="I13" s="1106"/>
      <c r="J13" s="307">
        <v>8095006</v>
      </c>
      <c r="K13" s="1092"/>
      <c r="L13" s="1083" t="s">
        <v>1002</v>
      </c>
      <c r="M13" s="1084"/>
      <c r="N13" s="1084"/>
      <c r="O13" s="1084"/>
      <c r="P13" s="1090">
        <v>2626200</v>
      </c>
      <c r="Q13" s="1144"/>
      <c r="R13" s="705" t="s">
        <v>1072</v>
      </c>
      <c r="S13" s="706"/>
      <c r="T13" s="706"/>
      <c r="U13" s="706"/>
      <c r="V13" s="667">
        <f>7524890+12898200+635625</f>
        <v>21058715</v>
      </c>
      <c r="W13" s="1080"/>
      <c r="X13" s="327"/>
      <c r="Y13" s="328"/>
      <c r="Z13" s="318"/>
      <c r="AA13" s="329"/>
      <c r="AB13" s="330"/>
      <c r="AC13" s="331"/>
    </row>
    <row r="14" spans="1:29" s="316" customFormat="1" ht="15.75" customHeight="1">
      <c r="A14" s="332"/>
      <c r="B14" s="333"/>
      <c r="C14" s="334"/>
      <c r="D14" s="334"/>
      <c r="E14" s="303"/>
      <c r="F14" s="306"/>
      <c r="G14" s="309"/>
      <c r="H14" s="309"/>
      <c r="I14" s="309"/>
      <c r="J14" s="307"/>
      <c r="K14" s="1092"/>
      <c r="L14" s="1083"/>
      <c r="M14" s="1084"/>
      <c r="N14" s="1084"/>
      <c r="O14" s="1084"/>
      <c r="P14" s="1090"/>
      <c r="Q14" s="1144"/>
      <c r="R14" s="1087" t="s">
        <v>899</v>
      </c>
      <c r="S14" s="1088"/>
      <c r="T14" s="1088"/>
      <c r="U14" s="1088"/>
      <c r="V14" s="667">
        <v>635000</v>
      </c>
      <c r="W14" s="1080"/>
      <c r="X14" s="327"/>
      <c r="Y14" s="328"/>
      <c r="Z14" s="318"/>
      <c r="AA14" s="329"/>
      <c r="AB14" s="330"/>
      <c r="AC14" s="331"/>
    </row>
    <row r="15" spans="1:29" s="316" customFormat="1" ht="16.5" customHeight="1">
      <c r="A15" s="332"/>
      <c r="B15" s="333"/>
      <c r="C15" s="334"/>
      <c r="D15" s="334"/>
      <c r="E15" s="303"/>
      <c r="F15" s="335"/>
      <c r="G15" s="1106"/>
      <c r="H15" s="1106"/>
      <c r="I15" s="1106"/>
      <c r="J15" s="307"/>
      <c r="K15" s="1092"/>
      <c r="L15" s="1105" t="s">
        <v>1075</v>
      </c>
      <c r="M15" s="1106"/>
      <c r="N15" s="1106"/>
      <c r="O15" s="1106"/>
      <c r="P15" s="485">
        <v>571500</v>
      </c>
      <c r="Q15" s="1144"/>
      <c r="R15" s="1087" t="s">
        <v>716</v>
      </c>
      <c r="S15" s="1088"/>
      <c r="T15" s="1088"/>
      <c r="U15" s="1088"/>
      <c r="V15" s="667">
        <v>500</v>
      </c>
      <c r="W15" s="1080"/>
      <c r="X15" s="337">
        <f>SUM(W8,Q8,K8)</f>
        <v>593126000</v>
      </c>
      <c r="Y15" s="338">
        <f>SUM(W18+Q18+K18)</f>
        <v>315473040</v>
      </c>
      <c r="Z15" s="339">
        <f>SUM(Y15,X15)</f>
        <v>908599040</v>
      </c>
      <c r="AA15" s="337">
        <f>X15-D10</f>
        <v>43981582</v>
      </c>
      <c r="AB15" s="338">
        <f>Y15-E10</f>
        <v>27891042</v>
      </c>
      <c r="AC15" s="340">
        <f>SUM(AA15:AB15)</f>
        <v>71872624</v>
      </c>
    </row>
    <row r="16" spans="1:29" s="298" customFormat="1" ht="17.25" customHeight="1">
      <c r="A16" s="341"/>
      <c r="B16" s="342"/>
      <c r="C16" s="343"/>
      <c r="D16" s="343"/>
      <c r="E16" s="344"/>
      <c r="F16" s="345"/>
      <c r="G16" s="1097"/>
      <c r="H16" s="1086"/>
      <c r="I16" s="1086"/>
      <c r="J16" s="307"/>
      <c r="K16" s="1092"/>
      <c r="L16" s="1105" t="s">
        <v>1076</v>
      </c>
      <c r="M16" s="1106"/>
      <c r="N16" s="1106"/>
      <c r="O16" s="1106"/>
      <c r="P16" s="485">
        <v>2887500</v>
      </c>
      <c r="Q16" s="1144"/>
      <c r="R16" s="1087" t="s">
        <v>717</v>
      </c>
      <c r="S16" s="1088"/>
      <c r="T16" s="1088"/>
      <c r="U16" s="1088"/>
      <c r="V16" s="667">
        <v>39431147</v>
      </c>
      <c r="W16" s="1080"/>
      <c r="X16" s="327"/>
      <c r="Y16" s="328"/>
      <c r="Z16" s="318"/>
      <c r="AA16" s="329"/>
      <c r="AB16" s="330"/>
      <c r="AC16" s="331"/>
    </row>
    <row r="17" spans="1:29" s="298" customFormat="1" ht="16.5" customHeight="1" thickBot="1">
      <c r="A17" s="341"/>
      <c r="B17" s="342"/>
      <c r="C17" s="343"/>
      <c r="D17" s="343"/>
      <c r="E17" s="344"/>
      <c r="F17" s="345"/>
      <c r="G17" s="1097"/>
      <c r="H17" s="1086"/>
      <c r="I17" s="1086"/>
      <c r="J17" s="307"/>
      <c r="K17" s="1092"/>
      <c r="L17" s="1085"/>
      <c r="M17" s="1086"/>
      <c r="N17" s="1086"/>
      <c r="O17" s="1086"/>
      <c r="P17" s="307"/>
      <c r="Q17" s="1144"/>
      <c r="R17" s="1087" t="s">
        <v>998</v>
      </c>
      <c r="S17" s="1088"/>
      <c r="T17" s="1088"/>
      <c r="U17" s="1088"/>
      <c r="V17" s="746">
        <v>375000</v>
      </c>
      <c r="W17" s="1080"/>
      <c r="X17" s="327"/>
      <c r="Y17" s="328"/>
      <c r="Z17" s="318"/>
      <c r="AA17" s="329"/>
      <c r="AB17" s="330"/>
      <c r="AC17" s="331"/>
    </row>
    <row r="18" spans="1:29" s="298" customFormat="1" ht="15" customHeight="1">
      <c r="A18" s="341"/>
      <c r="B18" s="342"/>
      <c r="C18" s="343"/>
      <c r="D18" s="343"/>
      <c r="E18" s="344"/>
      <c r="F18" s="345"/>
      <c r="G18" s="349"/>
      <c r="H18" s="350"/>
      <c r="I18" s="350"/>
      <c r="J18" s="351"/>
      <c r="K18" s="1091"/>
      <c r="L18" s="1102" t="s">
        <v>972</v>
      </c>
      <c r="M18" s="1103"/>
      <c r="N18" s="1103"/>
      <c r="O18" s="1103"/>
      <c r="P18" s="664">
        <v>74295</v>
      </c>
      <c r="Q18" s="1150">
        <f>SUM(P18:P20)</f>
        <v>532255</v>
      </c>
      <c r="R18" s="1102" t="s">
        <v>91</v>
      </c>
      <c r="S18" s="1103"/>
      <c r="T18" s="1103"/>
      <c r="U18" s="1103"/>
      <c r="V18" s="486">
        <f>44406964+1500000+1000000+11730500-1038000</f>
        <v>57599464</v>
      </c>
      <c r="W18" s="1079">
        <f>SUM(V18:V20)</f>
        <v>314940785</v>
      </c>
      <c r="X18" s="327"/>
      <c r="Y18" s="328"/>
      <c r="Z18" s="318"/>
      <c r="AA18" s="329"/>
      <c r="AB18" s="330"/>
      <c r="AC18" s="331"/>
    </row>
    <row r="19" spans="1:29" s="298" customFormat="1" ht="15.75" customHeight="1">
      <c r="A19" s="341"/>
      <c r="B19" s="342"/>
      <c r="C19" s="343"/>
      <c r="D19" s="343"/>
      <c r="E19" s="344"/>
      <c r="F19" s="345"/>
      <c r="G19" s="347"/>
      <c r="H19" s="348"/>
      <c r="I19" s="348"/>
      <c r="J19" s="353"/>
      <c r="K19" s="1092"/>
      <c r="L19" s="705" t="s">
        <v>973</v>
      </c>
      <c r="M19" s="706"/>
      <c r="N19" s="706"/>
      <c r="O19" s="706"/>
      <c r="P19" s="482">
        <v>190500</v>
      </c>
      <c r="Q19" s="1151"/>
      <c r="R19" s="705"/>
      <c r="S19" s="706"/>
      <c r="T19" s="706"/>
      <c r="U19" s="706"/>
      <c r="V19" s="484"/>
      <c r="W19" s="1080"/>
      <c r="X19" s="327"/>
      <c r="Y19" s="328"/>
      <c r="Z19" s="318"/>
      <c r="AA19" s="329"/>
      <c r="AB19" s="330"/>
      <c r="AC19" s="331"/>
    </row>
    <row r="20" spans="1:29" s="298" customFormat="1" ht="18.75" customHeight="1" thickBot="1">
      <c r="A20" s="341"/>
      <c r="B20" s="342"/>
      <c r="C20" s="343"/>
      <c r="D20" s="343"/>
      <c r="E20" s="344"/>
      <c r="F20" s="345"/>
      <c r="G20" s="347"/>
      <c r="H20" s="348"/>
      <c r="I20" s="348"/>
      <c r="J20" s="353"/>
      <c r="K20" s="1092"/>
      <c r="L20" s="1105" t="s">
        <v>896</v>
      </c>
      <c r="M20" s="1106"/>
      <c r="N20" s="1106"/>
      <c r="O20" s="1106"/>
      <c r="P20" s="336">
        <v>267460</v>
      </c>
      <c r="Q20" s="1151"/>
      <c r="R20" s="1083" t="s">
        <v>712</v>
      </c>
      <c r="S20" s="1084"/>
      <c r="T20" s="1084"/>
      <c r="U20" s="1084"/>
      <c r="V20" s="484">
        <f>257341321</f>
        <v>257341321</v>
      </c>
      <c r="W20" s="1080"/>
      <c r="X20" s="327"/>
      <c r="Y20" s="328"/>
      <c r="Z20" s="318"/>
      <c r="AA20" s="329"/>
      <c r="AB20" s="330"/>
      <c r="AC20" s="331"/>
    </row>
    <row r="21" spans="1:29" s="298" customFormat="1" ht="18" customHeight="1" thickTop="1">
      <c r="A21" s="489"/>
      <c r="B21" s="354"/>
      <c r="C21" s="355"/>
      <c r="D21" s="355"/>
      <c r="E21" s="356"/>
      <c r="F21" s="357"/>
      <c r="G21" s="1163"/>
      <c r="H21" s="1164"/>
      <c r="I21" s="1164"/>
      <c r="J21" s="490"/>
      <c r="K21" s="1100">
        <f>SUM(J21:J22)</f>
        <v>0</v>
      </c>
      <c r="L21" s="1155" t="s">
        <v>499</v>
      </c>
      <c r="M21" s="1156"/>
      <c r="N21" s="1156"/>
      <c r="O21" s="1156"/>
      <c r="P21" s="665"/>
      <c r="Q21" s="1100">
        <f>SUM(P21:P22)</f>
        <v>0</v>
      </c>
      <c r="R21" s="359"/>
      <c r="S21" s="360"/>
      <c r="T21" s="360"/>
      <c r="U21" s="360"/>
      <c r="V21" s="361"/>
      <c r="W21" s="362"/>
      <c r="X21" s="363"/>
      <c r="Y21" s="364"/>
      <c r="Z21" s="365"/>
      <c r="AA21" s="366"/>
      <c r="AB21" s="367"/>
      <c r="AC21" s="368"/>
    </row>
    <row r="22" spans="1:223" s="464" customFormat="1" ht="19.5" customHeight="1" thickBot="1">
      <c r="A22" s="690"/>
      <c r="B22" s="1169" t="s">
        <v>92</v>
      </c>
      <c r="C22" s="1170"/>
      <c r="D22" s="691">
        <f>SUM('6. kiadások megbontása'!J51)</f>
        <v>12311385</v>
      </c>
      <c r="E22" s="692">
        <f>SUM('6. kiadások megbontása'!K51)</f>
        <v>0</v>
      </c>
      <c r="F22" s="693">
        <f>SUM(D22:E22)</f>
        <v>12311385</v>
      </c>
      <c r="G22" s="1165"/>
      <c r="H22" s="1166"/>
      <c r="I22" s="1166"/>
      <c r="J22" s="694"/>
      <c r="K22" s="1104"/>
      <c r="L22" s="1128" t="s">
        <v>600</v>
      </c>
      <c r="M22" s="1129"/>
      <c r="N22" s="1129"/>
      <c r="O22" s="1129"/>
      <c r="P22" s="666"/>
      <c r="Q22" s="1104"/>
      <c r="R22" s="1128"/>
      <c r="S22" s="1129"/>
      <c r="T22" s="1129"/>
      <c r="U22" s="1129"/>
      <c r="V22" s="695"/>
      <c r="W22" s="696">
        <f>SUM(V22)</f>
        <v>0</v>
      </c>
      <c r="X22" s="697">
        <f>SUM(W22,Q21,K21)</f>
        <v>0</v>
      </c>
      <c r="Y22" s="698">
        <v>0</v>
      </c>
      <c r="Z22" s="699">
        <f>SUM(X22:Y22)</f>
        <v>0</v>
      </c>
      <c r="AA22" s="697">
        <f>X22-D22</f>
        <v>-12311385</v>
      </c>
      <c r="AB22" s="698">
        <f>Y22-E22</f>
        <v>0</v>
      </c>
      <c r="AC22" s="369">
        <f>SUM(AA22:AB22)</f>
        <v>-12311385</v>
      </c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79"/>
      <c r="FL22" s="479"/>
      <c r="FM22" s="479"/>
      <c r="FN22" s="479"/>
      <c r="FO22" s="479"/>
      <c r="FP22" s="479"/>
      <c r="FQ22" s="479"/>
      <c r="FR22" s="479"/>
      <c r="FS22" s="479"/>
      <c r="FT22" s="479"/>
      <c r="FU22" s="479"/>
      <c r="FV22" s="479"/>
      <c r="FW22" s="479"/>
      <c r="FX22" s="479"/>
      <c r="FY22" s="479"/>
      <c r="FZ22" s="479"/>
      <c r="GA22" s="479"/>
      <c r="GB22" s="479"/>
      <c r="GC22" s="479"/>
      <c r="GD22" s="479"/>
      <c r="GE22" s="479"/>
      <c r="GF22" s="479"/>
      <c r="GG22" s="479"/>
      <c r="GH22" s="479"/>
      <c r="GI22" s="479"/>
      <c r="GJ22" s="479"/>
      <c r="GK22" s="479"/>
      <c r="GL22" s="479"/>
      <c r="GM22" s="479"/>
      <c r="GN22" s="479"/>
      <c r="GO22" s="479"/>
      <c r="GP22" s="479"/>
      <c r="GQ22" s="479"/>
      <c r="GR22" s="479"/>
      <c r="GS22" s="479"/>
      <c r="GT22" s="479"/>
      <c r="GU22" s="479"/>
      <c r="GV22" s="479"/>
      <c r="GW22" s="479"/>
      <c r="GX22" s="479"/>
      <c r="GY22" s="479"/>
      <c r="GZ22" s="479"/>
      <c r="HA22" s="479"/>
      <c r="HB22" s="479"/>
      <c r="HC22" s="479"/>
      <c r="HD22" s="479"/>
      <c r="HE22" s="479"/>
      <c r="HF22" s="479"/>
      <c r="HG22" s="479"/>
      <c r="HH22" s="479"/>
      <c r="HI22" s="479"/>
      <c r="HJ22" s="479"/>
      <c r="HK22" s="479"/>
      <c r="HL22" s="479"/>
      <c r="HM22" s="479"/>
      <c r="HN22" s="479"/>
      <c r="HO22" s="479"/>
    </row>
    <row r="23" spans="1:29" ht="24.75" customHeight="1" thickTop="1">
      <c r="A23" s="385"/>
      <c r="B23" s="344"/>
      <c r="C23" s="371"/>
      <c r="D23" s="372"/>
      <c r="E23" s="372"/>
      <c r="F23" s="345"/>
      <c r="G23" s="347"/>
      <c r="H23" s="348"/>
      <c r="I23" s="348"/>
      <c r="J23" s="373"/>
      <c r="K23" s="1100">
        <f>SUM(J23:J27)</f>
        <v>0</v>
      </c>
      <c r="L23" s="1087" t="s">
        <v>107</v>
      </c>
      <c r="M23" s="1088"/>
      <c r="N23" s="1088"/>
      <c r="O23" s="1088"/>
      <c r="P23" s="307">
        <v>2100000</v>
      </c>
      <c r="Q23" s="1100">
        <f>SUM(P23:P27)</f>
        <v>147577861</v>
      </c>
      <c r="R23" s="1083" t="s">
        <v>713</v>
      </c>
      <c r="S23" s="1084"/>
      <c r="T23" s="1084"/>
      <c r="U23" s="1084"/>
      <c r="V23" s="484">
        <v>9000000</v>
      </c>
      <c r="W23" s="1171">
        <f>SUM(V23:V27)</f>
        <v>116961437</v>
      </c>
      <c r="X23" s="374"/>
      <c r="Y23" s="375"/>
      <c r="Z23" s="376"/>
      <c r="AA23" s="374"/>
      <c r="AB23" s="375"/>
      <c r="AC23" s="357"/>
    </row>
    <row r="24" spans="1:29" ht="24.75" customHeight="1">
      <c r="A24" s="385"/>
      <c r="B24" s="344"/>
      <c r="C24" s="371"/>
      <c r="D24" s="372"/>
      <c r="E24" s="344"/>
      <c r="F24" s="345"/>
      <c r="G24" s="347"/>
      <c r="H24" s="348"/>
      <c r="I24" s="348"/>
      <c r="J24" s="373"/>
      <c r="K24" s="1092"/>
      <c r="L24" s="1085" t="s">
        <v>999</v>
      </c>
      <c r="M24" s="1086"/>
      <c r="N24" s="1086"/>
      <c r="O24" s="1086"/>
      <c r="P24" s="307">
        <f>40118910+13881090</f>
        <v>54000000</v>
      </c>
      <c r="Q24" s="1092"/>
      <c r="R24" s="1083" t="s">
        <v>715</v>
      </c>
      <c r="S24" s="1084"/>
      <c r="T24" s="1084"/>
      <c r="U24" s="1084"/>
      <c r="V24" s="484"/>
      <c r="W24" s="1151"/>
      <c r="X24" s="716"/>
      <c r="Y24" s="372"/>
      <c r="Z24" s="344"/>
      <c r="AA24" s="385"/>
      <c r="AB24" s="372"/>
      <c r="AC24" s="345"/>
    </row>
    <row r="25" spans="1:29" ht="24.75" customHeight="1">
      <c r="A25" s="385"/>
      <c r="B25" s="344"/>
      <c r="C25" s="371"/>
      <c r="D25" s="372"/>
      <c r="E25" s="344"/>
      <c r="F25" s="345"/>
      <c r="G25" s="347"/>
      <c r="H25" s="348"/>
      <c r="I25" s="348"/>
      <c r="J25" s="373"/>
      <c r="K25" s="1092"/>
      <c r="L25" s="1085" t="s">
        <v>1001</v>
      </c>
      <c r="M25" s="1086"/>
      <c r="N25" s="1086"/>
      <c r="O25" s="1086"/>
      <c r="P25" s="307">
        <v>60657486</v>
      </c>
      <c r="Q25" s="1092"/>
      <c r="R25" s="1083" t="s">
        <v>1074</v>
      </c>
      <c r="S25" s="1084"/>
      <c r="T25" s="1084"/>
      <c r="U25" s="1084"/>
      <c r="V25" s="484">
        <v>434514</v>
      </c>
      <c r="W25" s="1151"/>
      <c r="X25" s="716"/>
      <c r="Y25" s="372"/>
      <c r="Z25" s="344"/>
      <c r="AA25" s="385"/>
      <c r="AB25" s="372"/>
      <c r="AC25" s="345"/>
    </row>
    <row r="26" spans="1:29" ht="24.75" customHeight="1">
      <c r="A26" s="385"/>
      <c r="B26" s="344"/>
      <c r="C26" s="371"/>
      <c r="D26" s="372"/>
      <c r="E26" s="344"/>
      <c r="F26" s="345"/>
      <c r="G26" s="347"/>
      <c r="H26" s="348"/>
      <c r="I26" s="348"/>
      <c r="J26" s="373"/>
      <c r="K26" s="1092"/>
      <c r="L26" s="1085" t="s">
        <v>897</v>
      </c>
      <c r="M26" s="1086"/>
      <c r="N26" s="1086"/>
      <c r="O26" s="1086"/>
      <c r="P26" s="307">
        <v>1092680</v>
      </c>
      <c r="Q26" s="1092"/>
      <c r="R26" s="1087" t="s">
        <v>717</v>
      </c>
      <c r="S26" s="1088"/>
      <c r="T26" s="1088"/>
      <c r="U26" s="1088"/>
      <c r="V26" s="739">
        <f>92795675+2881248+4230000</f>
        <v>99906923</v>
      </c>
      <c r="W26" s="1151"/>
      <c r="X26" s="716"/>
      <c r="Y26" s="372"/>
      <c r="Z26" s="344"/>
      <c r="AA26" s="385"/>
      <c r="AB26" s="372"/>
      <c r="AC26" s="345"/>
    </row>
    <row r="27" spans="1:29" ht="29.25" customHeight="1" thickBot="1">
      <c r="A27" s="1152" t="s">
        <v>473</v>
      </c>
      <c r="B27" s="1153"/>
      <c r="C27" s="1154"/>
      <c r="D27" s="377">
        <f>SUM('6. kiadások megbontása'!G51)</f>
        <v>270247451</v>
      </c>
      <c r="E27" s="325">
        <f>SUM('6. kiadások megbontása'!H51)</f>
        <v>633001001</v>
      </c>
      <c r="F27" s="326">
        <f>SUM(D27:E27)</f>
        <v>903248452</v>
      </c>
      <c r="G27" s="378"/>
      <c r="H27" s="309"/>
      <c r="I27" s="309"/>
      <c r="J27" s="336"/>
      <c r="K27" s="1101"/>
      <c r="L27" s="1085" t="s">
        <v>901</v>
      </c>
      <c r="M27" s="1086"/>
      <c r="N27" s="1086"/>
      <c r="O27" s="1086"/>
      <c r="P27" s="307">
        <f>5788759+23938936</f>
        <v>29727695</v>
      </c>
      <c r="Q27" s="1101"/>
      <c r="R27" s="1148" t="s">
        <v>714</v>
      </c>
      <c r="S27" s="1149"/>
      <c r="T27" s="1149"/>
      <c r="U27" s="1149"/>
      <c r="V27" s="483">
        <v>7620000</v>
      </c>
      <c r="W27" s="1172"/>
      <c r="X27" s="379">
        <f>SUM(W23,Q23,K23)</f>
        <v>264539298</v>
      </c>
      <c r="Y27" s="338">
        <f>SUM(Q28,W28,K28)</f>
        <v>644766055</v>
      </c>
      <c r="Z27" s="339">
        <f>SUM(X27:Y27)</f>
        <v>909305353</v>
      </c>
      <c r="AA27" s="337">
        <f>X27-D27</f>
        <v>-5708153</v>
      </c>
      <c r="AB27" s="338">
        <f>Y27-E27</f>
        <v>11765054</v>
      </c>
      <c r="AC27" s="340">
        <f>SUM(AA27:AB27)</f>
        <v>6056901</v>
      </c>
    </row>
    <row r="28" spans="1:29" ht="29.25" customHeight="1">
      <c r="A28" s="321"/>
      <c r="B28" s="322"/>
      <c r="C28" s="323"/>
      <c r="D28" s="377"/>
      <c r="E28" s="325"/>
      <c r="F28" s="326"/>
      <c r="G28" s="605"/>
      <c r="H28" s="606"/>
      <c r="I28" s="606"/>
      <c r="J28" s="352"/>
      <c r="K28" s="1091">
        <f>SUM(J28)</f>
        <v>0</v>
      </c>
      <c r="L28" s="1095" t="s">
        <v>898</v>
      </c>
      <c r="M28" s="1096"/>
      <c r="N28" s="1096"/>
      <c r="O28" s="1096"/>
      <c r="P28" s="664">
        <f>6000000-6000000</f>
        <v>0</v>
      </c>
      <c r="Q28" s="1091">
        <f>SUM(P28:P29)</f>
        <v>6000000</v>
      </c>
      <c r="R28" s="1083" t="s">
        <v>712</v>
      </c>
      <c r="S28" s="1084"/>
      <c r="T28" s="1084"/>
      <c r="U28" s="1084"/>
      <c r="V28" s="740">
        <f>639276554+1-510500</f>
        <v>638766055</v>
      </c>
      <c r="W28" s="1146">
        <f>SUM(V28:V29)</f>
        <v>638766055</v>
      </c>
      <c r="X28" s="380"/>
      <c r="Y28" s="338"/>
      <c r="Z28" s="339"/>
      <c r="AA28" s="337"/>
      <c r="AB28" s="338"/>
      <c r="AC28" s="340"/>
    </row>
    <row r="29" spans="1:29" ht="27.75" customHeight="1" thickBot="1">
      <c r="A29" s="321"/>
      <c r="B29" s="322"/>
      <c r="C29" s="323"/>
      <c r="D29" s="377"/>
      <c r="E29" s="325"/>
      <c r="F29" s="326"/>
      <c r="G29" s="378"/>
      <c r="H29" s="309"/>
      <c r="I29" s="309"/>
      <c r="J29" s="336"/>
      <c r="K29" s="1092"/>
      <c r="L29" s="1085" t="s">
        <v>1000</v>
      </c>
      <c r="M29" s="1086"/>
      <c r="N29" s="1086"/>
      <c r="O29" s="1086"/>
      <c r="P29" s="657">
        <v>6000000</v>
      </c>
      <c r="Q29" s="1092"/>
      <c r="R29" s="465"/>
      <c r="S29" s="604"/>
      <c r="T29" s="604"/>
      <c r="U29" s="604"/>
      <c r="V29" s="484"/>
      <c r="W29" s="1147"/>
      <c r="X29" s="380"/>
      <c r="Y29" s="338"/>
      <c r="Z29" s="339"/>
      <c r="AA29" s="337"/>
      <c r="AB29" s="338"/>
      <c r="AC29" s="340"/>
    </row>
    <row r="30" spans="1:223" s="464" customFormat="1" ht="33.75" customHeight="1" thickBot="1">
      <c r="A30" s="1157" t="s">
        <v>922</v>
      </c>
      <c r="B30" s="1158"/>
      <c r="C30" s="1159"/>
      <c r="D30" s="669">
        <f>SUM(D9:D29)</f>
        <v>831703254</v>
      </c>
      <c r="E30" s="670">
        <f>SUM(E8:E29)</f>
        <v>920582999</v>
      </c>
      <c r="F30" s="671">
        <f>SUM(F8:F29)</f>
        <v>1752286253</v>
      </c>
      <c r="G30" s="672"/>
      <c r="H30" s="1160" t="s">
        <v>93</v>
      </c>
      <c r="I30" s="1161"/>
      <c r="J30" s="1162"/>
      <c r="K30" s="673">
        <f>SUM(K8:K29)</f>
        <v>176515151</v>
      </c>
      <c r="L30" s="472"/>
      <c r="M30" s="1093" t="s">
        <v>94</v>
      </c>
      <c r="N30" s="1093"/>
      <c r="O30" s="1093"/>
      <c r="P30" s="1094"/>
      <c r="Q30" s="673">
        <f>SUM(Q8:Q29)</f>
        <v>254599561</v>
      </c>
      <c r="R30" s="474"/>
      <c r="S30" s="1093" t="s">
        <v>95</v>
      </c>
      <c r="T30" s="1093"/>
      <c r="U30" s="1093"/>
      <c r="V30" s="1094"/>
      <c r="W30" s="674">
        <f>SUM(W8:W29)</f>
        <v>1386789681</v>
      </c>
      <c r="X30" s="675">
        <f>SUM(X8:X29)</f>
        <v>857665298</v>
      </c>
      <c r="Y30" s="676">
        <f>SUM(Y8:Y29)</f>
        <v>960239095</v>
      </c>
      <c r="Z30" s="677">
        <f>SUM(X30:Y30)</f>
        <v>1817904393</v>
      </c>
      <c r="AA30" s="678">
        <f>SUM(AA11:AA29)</f>
        <v>25962044</v>
      </c>
      <c r="AB30" s="679">
        <f>SUM(AB10:AB29)</f>
        <v>39656096</v>
      </c>
      <c r="AC30" s="470">
        <f>SUM(AA30:AB30)</f>
        <v>65618140</v>
      </c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79"/>
      <c r="DZ30" s="479"/>
      <c r="EA30" s="479"/>
      <c r="EB30" s="479"/>
      <c r="EC30" s="479"/>
      <c r="ED30" s="479"/>
      <c r="EE30" s="479"/>
      <c r="EF30" s="479"/>
      <c r="EG30" s="479"/>
      <c r="EH30" s="479"/>
      <c r="EI30" s="479"/>
      <c r="EJ30" s="479"/>
      <c r="EK30" s="479"/>
      <c r="EL30" s="479"/>
      <c r="EM30" s="479"/>
      <c r="EN30" s="479"/>
      <c r="EO30" s="479"/>
      <c r="EP30" s="479"/>
      <c r="EQ30" s="479"/>
      <c r="ER30" s="479"/>
      <c r="ES30" s="479"/>
      <c r="ET30" s="479"/>
      <c r="EU30" s="479"/>
      <c r="EV30" s="479"/>
      <c r="EW30" s="479"/>
      <c r="EX30" s="479"/>
      <c r="EY30" s="479"/>
      <c r="EZ30" s="479"/>
      <c r="FA30" s="479"/>
      <c r="FB30" s="479"/>
      <c r="FC30" s="479"/>
      <c r="FD30" s="479"/>
      <c r="FE30" s="479"/>
      <c r="FF30" s="479"/>
      <c r="FG30" s="479"/>
      <c r="FH30" s="479"/>
      <c r="FI30" s="479"/>
      <c r="FJ30" s="479"/>
      <c r="FK30" s="479"/>
      <c r="FL30" s="479"/>
      <c r="FM30" s="479"/>
      <c r="FN30" s="479"/>
      <c r="FO30" s="479"/>
      <c r="FP30" s="479"/>
      <c r="FQ30" s="479"/>
      <c r="FR30" s="479"/>
      <c r="FS30" s="479"/>
      <c r="FT30" s="479"/>
      <c r="FU30" s="479"/>
      <c r="FV30" s="479"/>
      <c r="FW30" s="479"/>
      <c r="FX30" s="479"/>
      <c r="FY30" s="479"/>
      <c r="FZ30" s="479"/>
      <c r="GA30" s="479"/>
      <c r="GB30" s="479"/>
      <c r="GC30" s="479"/>
      <c r="GD30" s="479"/>
      <c r="GE30" s="479"/>
      <c r="GF30" s="479"/>
      <c r="GG30" s="479"/>
      <c r="GH30" s="479"/>
      <c r="GI30" s="479"/>
      <c r="GJ30" s="479"/>
      <c r="GK30" s="479"/>
      <c r="GL30" s="479"/>
      <c r="GM30" s="479"/>
      <c r="GN30" s="479"/>
      <c r="GO30" s="479"/>
      <c r="GP30" s="479"/>
      <c r="GQ30" s="479"/>
      <c r="GR30" s="479"/>
      <c r="GS30" s="479"/>
      <c r="GT30" s="479"/>
      <c r="GU30" s="479"/>
      <c r="GV30" s="479"/>
      <c r="GW30" s="479"/>
      <c r="GX30" s="479"/>
      <c r="GY30" s="479"/>
      <c r="GZ30" s="479"/>
      <c r="HA30" s="479"/>
      <c r="HB30" s="479"/>
      <c r="HC30" s="479"/>
      <c r="HD30" s="479"/>
      <c r="HE30" s="479"/>
      <c r="HF30" s="479"/>
      <c r="HG30" s="479"/>
      <c r="HH30" s="479"/>
      <c r="HI30" s="479"/>
      <c r="HJ30" s="479"/>
      <c r="HK30" s="479"/>
      <c r="HL30" s="479"/>
      <c r="HM30" s="479"/>
      <c r="HN30" s="479"/>
      <c r="HO30" s="479"/>
    </row>
    <row r="31" spans="1:29" ht="27.75" customHeight="1" thickBot="1" thickTop="1">
      <c r="A31" s="1173" t="s">
        <v>919</v>
      </c>
      <c r="B31" s="1174"/>
      <c r="C31" s="1175"/>
      <c r="D31" s="1135" t="s">
        <v>362</v>
      </c>
      <c r="E31" s="1123"/>
      <c r="F31" s="1136"/>
      <c r="G31" s="1137" t="s">
        <v>493</v>
      </c>
      <c r="H31" s="1123"/>
      <c r="I31" s="1123"/>
      <c r="J31" s="1123"/>
      <c r="K31" s="1124"/>
      <c r="L31" s="1122" t="s">
        <v>494</v>
      </c>
      <c r="M31" s="1123"/>
      <c r="N31" s="1123"/>
      <c r="O31" s="1123"/>
      <c r="P31" s="1123"/>
      <c r="Q31" s="1124"/>
      <c r="R31" s="1122" t="s">
        <v>495</v>
      </c>
      <c r="S31" s="1123"/>
      <c r="T31" s="1123"/>
      <c r="U31" s="1123"/>
      <c r="V31" s="1123"/>
      <c r="W31" s="1136"/>
      <c r="X31" s="1168" t="s">
        <v>496</v>
      </c>
      <c r="Y31" s="1115"/>
      <c r="Z31" s="1115"/>
      <c r="AA31" s="1116" t="s">
        <v>87</v>
      </c>
      <c r="AB31" s="1117"/>
      <c r="AC31" s="1118"/>
    </row>
    <row r="32" spans="1:223" s="381" customFormat="1" ht="18.75" customHeight="1" thickBot="1" thickTop="1">
      <c r="A32" s="1176"/>
      <c r="B32" s="1177"/>
      <c r="C32" s="1178"/>
      <c r="D32" s="460" t="s">
        <v>88</v>
      </c>
      <c r="E32" s="701" t="s">
        <v>85</v>
      </c>
      <c r="F32" s="301" t="s">
        <v>89</v>
      </c>
      <c r="G32" s="1179"/>
      <c r="H32" s="1126"/>
      <c r="I32" s="1126"/>
      <c r="J32" s="1180"/>
      <c r="K32" s="1127"/>
      <c r="L32" s="1125"/>
      <c r="M32" s="1126"/>
      <c r="N32" s="1126"/>
      <c r="O32" s="1126"/>
      <c r="P32" s="1126"/>
      <c r="Q32" s="1127"/>
      <c r="R32" s="1125"/>
      <c r="S32" s="1126"/>
      <c r="T32" s="1126"/>
      <c r="U32" s="1126"/>
      <c r="V32" s="1126"/>
      <c r="W32" s="1167"/>
      <c r="X32" s="686" t="s">
        <v>88</v>
      </c>
      <c r="Y32" s="689" t="s">
        <v>85</v>
      </c>
      <c r="Z32" s="301" t="s">
        <v>89</v>
      </c>
      <c r="AA32" s="681" t="s">
        <v>88</v>
      </c>
      <c r="AB32" s="460" t="s">
        <v>85</v>
      </c>
      <c r="AC32" s="301" t="s">
        <v>89</v>
      </c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298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298"/>
      <c r="HF32" s="298"/>
      <c r="HG32" s="298"/>
      <c r="HH32" s="298"/>
      <c r="HI32" s="298"/>
      <c r="HJ32" s="298"/>
      <c r="HK32" s="298"/>
      <c r="HL32" s="298"/>
      <c r="HM32" s="298"/>
      <c r="HN32" s="298"/>
      <c r="HO32" s="298"/>
    </row>
    <row r="33" spans="1:29" ht="12.75" customHeight="1">
      <c r="A33" s="302"/>
      <c r="B33" s="344"/>
      <c r="C33" s="344"/>
      <c r="D33" s="372"/>
      <c r="E33" s="344"/>
      <c r="F33" s="306"/>
      <c r="G33" s="1182" t="s">
        <v>459</v>
      </c>
      <c r="H33" s="1183"/>
      <c r="I33" s="1183"/>
      <c r="J33" s="1186">
        <f>119812800+22486700</f>
        <v>142299500</v>
      </c>
      <c r="K33" s="1181">
        <f>SUM(J33:J36)</f>
        <v>142438855</v>
      </c>
      <c r="L33" s="1098" t="s">
        <v>1003</v>
      </c>
      <c r="M33" s="1099"/>
      <c r="N33" s="1099"/>
      <c r="O33" s="1099"/>
      <c r="P33" s="1089">
        <v>1484730</v>
      </c>
      <c r="Q33" s="1091">
        <f>SUM(P33:P36)</f>
        <v>1484730</v>
      </c>
      <c r="R33" s="1102" t="s">
        <v>772</v>
      </c>
      <c r="S33" s="1103"/>
      <c r="T33" s="1103"/>
      <c r="U33" s="1103"/>
      <c r="V33" s="1089">
        <v>250000</v>
      </c>
      <c r="W33" s="1079">
        <f>SUM(V33:V36)</f>
        <v>6576559</v>
      </c>
      <c r="X33" s="382"/>
      <c r="Y33" s="383"/>
      <c r="Z33" s="384"/>
      <c r="AA33" s="302"/>
      <c r="AB33" s="319"/>
      <c r="AC33" s="320"/>
    </row>
    <row r="34" spans="1:29" ht="12.75" customHeight="1">
      <c r="A34" s="385"/>
      <c r="B34" s="342"/>
      <c r="C34" s="342"/>
      <c r="D34" s="386"/>
      <c r="E34" s="344"/>
      <c r="F34" s="345"/>
      <c r="G34" s="1184"/>
      <c r="H34" s="1185"/>
      <c r="I34" s="1185"/>
      <c r="J34" s="1187"/>
      <c r="K34" s="1092"/>
      <c r="L34" s="1083"/>
      <c r="M34" s="1084"/>
      <c r="N34" s="1084"/>
      <c r="O34" s="1084"/>
      <c r="P34" s="1090"/>
      <c r="Q34" s="1092"/>
      <c r="R34" s="1087"/>
      <c r="S34" s="1088"/>
      <c r="T34" s="1088"/>
      <c r="U34" s="1088"/>
      <c r="V34" s="1090"/>
      <c r="W34" s="1080"/>
      <c r="X34" s="387"/>
      <c r="Y34" s="328"/>
      <c r="Z34" s="318"/>
      <c r="AA34" s="329"/>
      <c r="AB34" s="330"/>
      <c r="AC34" s="331"/>
    </row>
    <row r="35" spans="1:29" ht="12.75" customHeight="1">
      <c r="A35" s="385"/>
      <c r="B35" s="342"/>
      <c r="C35" s="342"/>
      <c r="D35" s="386"/>
      <c r="E35" s="344"/>
      <c r="F35" s="345"/>
      <c r="G35" s="786"/>
      <c r="H35" s="787"/>
      <c r="I35" s="787"/>
      <c r="J35" s="788"/>
      <c r="K35" s="1092"/>
      <c r="L35" s="785"/>
      <c r="M35" s="709"/>
      <c r="N35" s="709"/>
      <c r="O35" s="709"/>
      <c r="P35" s="784"/>
      <c r="Q35" s="1092"/>
      <c r="R35" s="1087" t="s">
        <v>717</v>
      </c>
      <c r="S35" s="1088"/>
      <c r="T35" s="1088"/>
      <c r="U35" s="1088"/>
      <c r="V35" s="482">
        <v>789210</v>
      </c>
      <c r="W35" s="1080"/>
      <c r="X35" s="387"/>
      <c r="Y35" s="328"/>
      <c r="Z35" s="318"/>
      <c r="AA35" s="329"/>
      <c r="AB35" s="330"/>
      <c r="AC35" s="331"/>
    </row>
    <row r="36" spans="1:29" ht="24.75" customHeight="1" thickBot="1">
      <c r="A36" s="385"/>
      <c r="B36" s="1153" t="s">
        <v>472</v>
      </c>
      <c r="C36" s="1154"/>
      <c r="D36" s="377">
        <f>SUM('6. kiadások megbontása'!D55)</f>
        <v>136378897</v>
      </c>
      <c r="E36" s="325">
        <f>SUM('6. kiadások megbontása'!E55)</f>
        <v>1934590</v>
      </c>
      <c r="F36" s="326">
        <f>SUM(D36:E36)</f>
        <v>138313487</v>
      </c>
      <c r="G36" s="1097" t="s">
        <v>974</v>
      </c>
      <c r="H36" s="1086"/>
      <c r="I36" s="1086"/>
      <c r="J36" s="469">
        <f>17860+121495</f>
        <v>139355</v>
      </c>
      <c r="K36" s="1092"/>
      <c r="L36" s="1083"/>
      <c r="M36" s="1084"/>
      <c r="N36" s="1084"/>
      <c r="O36" s="1084"/>
      <c r="P36" s="482"/>
      <c r="Q36" s="1092"/>
      <c r="R36" s="1087" t="s">
        <v>500</v>
      </c>
      <c r="S36" s="1088"/>
      <c r="T36" s="1088"/>
      <c r="U36" s="1088"/>
      <c r="V36" s="480">
        <v>5537349</v>
      </c>
      <c r="W36" s="1080"/>
      <c r="X36" s="387">
        <f>SUM(W33,Q33,K33)</f>
        <v>150500144</v>
      </c>
      <c r="Y36" s="328">
        <v>0</v>
      </c>
      <c r="Z36" s="339">
        <f>SUM(Y36,X36)</f>
        <v>150500144</v>
      </c>
      <c r="AA36" s="337">
        <f>X36-D36</f>
        <v>14121247</v>
      </c>
      <c r="AB36" s="338">
        <f>Y36-E36</f>
        <v>-1934590</v>
      </c>
      <c r="AC36" s="331">
        <f>SUM(AA36:AB36)</f>
        <v>12186657</v>
      </c>
    </row>
    <row r="37" spans="1:29" ht="20.25" customHeight="1" thickBot="1">
      <c r="A37" s="1220" t="s">
        <v>473</v>
      </c>
      <c r="B37" s="1221"/>
      <c r="C37" s="1222"/>
      <c r="D37" s="789">
        <f>'6. kiadások megbontása'!G55</f>
        <v>8450747</v>
      </c>
      <c r="E37" s="790"/>
      <c r="F37" s="791">
        <f>SUM(D37:E37)</f>
        <v>8450747</v>
      </c>
      <c r="G37" s="792"/>
      <c r="H37" s="792"/>
      <c r="I37" s="792"/>
      <c r="J37" s="793"/>
      <c r="K37" s="794"/>
      <c r="L37" s="795"/>
      <c r="M37" s="796"/>
      <c r="N37" s="796"/>
      <c r="O37" s="796"/>
      <c r="P37" s="797"/>
      <c r="Q37" s="794"/>
      <c r="R37" s="1081"/>
      <c r="S37" s="1082"/>
      <c r="T37" s="1082"/>
      <c r="U37" s="1082"/>
      <c r="V37" s="798"/>
      <c r="W37" s="799">
        <f>SUM(V37)</f>
        <v>0</v>
      </c>
      <c r="X37" s="800">
        <f>W37</f>
        <v>0</v>
      </c>
      <c r="Y37" s="801"/>
      <c r="Z37" s="802">
        <f>SUM(Y37,X37)</f>
        <v>0</v>
      </c>
      <c r="AA37" s="803"/>
      <c r="AB37" s="804"/>
      <c r="AC37" s="802"/>
    </row>
    <row r="38" spans="1:223" s="464" customFormat="1" ht="33.75" customHeight="1" thickBot="1">
      <c r="A38" s="1157" t="s">
        <v>921</v>
      </c>
      <c r="B38" s="1158"/>
      <c r="C38" s="1159"/>
      <c r="D38" s="669">
        <f>SUM(D33:D37)</f>
        <v>144829644</v>
      </c>
      <c r="E38" s="670">
        <f>SUM(E33:E37)</f>
        <v>1934590</v>
      </c>
      <c r="F38" s="671">
        <f>SUM(F33:F37)</f>
        <v>146764234</v>
      </c>
      <c r="G38" s="672"/>
      <c r="H38" s="1160" t="s">
        <v>93</v>
      </c>
      <c r="I38" s="1161"/>
      <c r="J38" s="1162"/>
      <c r="K38" s="673">
        <f>SUM(K33:K36)</f>
        <v>142438855</v>
      </c>
      <c r="L38" s="472"/>
      <c r="M38" s="1093" t="s">
        <v>94</v>
      </c>
      <c r="N38" s="1093"/>
      <c r="O38" s="1093"/>
      <c r="P38" s="1094"/>
      <c r="Q38" s="673">
        <f>SUM(Q33:Q36)</f>
        <v>1484730</v>
      </c>
      <c r="R38" s="474"/>
      <c r="S38" s="1093" t="s">
        <v>95</v>
      </c>
      <c r="T38" s="1093"/>
      <c r="U38" s="1093"/>
      <c r="V38" s="1094"/>
      <c r="W38" s="674">
        <f>SUM(W33:W37)</f>
        <v>6576559</v>
      </c>
      <c r="X38" s="675">
        <f>SUM(X33:X37)</f>
        <v>150500144</v>
      </c>
      <c r="Y38" s="676">
        <v>0</v>
      </c>
      <c r="Z38" s="677">
        <f>SUM(X38:Y38)</f>
        <v>150500144</v>
      </c>
      <c r="AA38" s="678">
        <f>X38-D38</f>
        <v>5670500</v>
      </c>
      <c r="AB38" s="679">
        <f>Y38-E38</f>
        <v>-1934590</v>
      </c>
      <c r="AC38" s="470">
        <f>SUM(AA38:AB38)</f>
        <v>3735910</v>
      </c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79"/>
      <c r="FL38" s="479"/>
      <c r="FM38" s="479"/>
      <c r="FN38" s="479"/>
      <c r="FO38" s="479"/>
      <c r="FP38" s="479"/>
      <c r="FQ38" s="479"/>
      <c r="FR38" s="479"/>
      <c r="FS38" s="479"/>
      <c r="FT38" s="479"/>
      <c r="FU38" s="479"/>
      <c r="FV38" s="479"/>
      <c r="FW38" s="479"/>
      <c r="FX38" s="479"/>
      <c r="FY38" s="479"/>
      <c r="FZ38" s="479"/>
      <c r="GA38" s="479"/>
      <c r="GB38" s="479"/>
      <c r="GC38" s="479"/>
      <c r="GD38" s="479"/>
      <c r="GE38" s="479"/>
      <c r="GF38" s="479"/>
      <c r="GG38" s="479"/>
      <c r="GH38" s="479"/>
      <c r="GI38" s="479"/>
      <c r="GJ38" s="479"/>
      <c r="GK38" s="479"/>
      <c r="GL38" s="479"/>
      <c r="GM38" s="479"/>
      <c r="GN38" s="479"/>
      <c r="GO38" s="479"/>
      <c r="GP38" s="479"/>
      <c r="GQ38" s="479"/>
      <c r="GR38" s="479"/>
      <c r="GS38" s="479"/>
      <c r="GT38" s="479"/>
      <c r="GU38" s="479"/>
      <c r="GV38" s="479"/>
      <c r="GW38" s="479"/>
      <c r="GX38" s="479"/>
      <c r="GY38" s="479"/>
      <c r="GZ38" s="479"/>
      <c r="HA38" s="479"/>
      <c r="HB38" s="479"/>
      <c r="HC38" s="479"/>
      <c r="HD38" s="479"/>
      <c r="HE38" s="479"/>
      <c r="HF38" s="479"/>
      <c r="HG38" s="479"/>
      <c r="HH38" s="479"/>
      <c r="HI38" s="479"/>
      <c r="HJ38" s="479"/>
      <c r="HK38" s="479"/>
      <c r="HL38" s="479"/>
      <c r="HM38" s="479"/>
      <c r="HN38" s="479"/>
      <c r="HO38" s="479"/>
    </row>
    <row r="39" spans="1:29" ht="27.75" customHeight="1" thickBot="1" thickTop="1">
      <c r="A39" s="1173" t="s">
        <v>769</v>
      </c>
      <c r="B39" s="1174"/>
      <c r="C39" s="1175"/>
      <c r="D39" s="1135" t="s">
        <v>362</v>
      </c>
      <c r="E39" s="1123"/>
      <c r="F39" s="1136"/>
      <c r="G39" s="1137" t="s">
        <v>493</v>
      </c>
      <c r="H39" s="1123"/>
      <c r="I39" s="1123"/>
      <c r="J39" s="1123"/>
      <c r="K39" s="1124"/>
      <c r="L39" s="1122" t="s">
        <v>494</v>
      </c>
      <c r="M39" s="1123"/>
      <c r="N39" s="1123"/>
      <c r="O39" s="1123"/>
      <c r="P39" s="1123"/>
      <c r="Q39" s="1124"/>
      <c r="R39" s="1122" t="s">
        <v>495</v>
      </c>
      <c r="S39" s="1123"/>
      <c r="T39" s="1123"/>
      <c r="U39" s="1123"/>
      <c r="V39" s="1123"/>
      <c r="W39" s="1136"/>
      <c r="X39" s="1168" t="s">
        <v>496</v>
      </c>
      <c r="Y39" s="1115"/>
      <c r="Z39" s="1115"/>
      <c r="AA39" s="1116" t="s">
        <v>87</v>
      </c>
      <c r="AB39" s="1117"/>
      <c r="AC39" s="1118"/>
    </row>
    <row r="40" spans="1:223" s="381" customFormat="1" ht="18.75" customHeight="1" thickBot="1" thickTop="1">
      <c r="A40" s="1176"/>
      <c r="B40" s="1177"/>
      <c r="C40" s="1178"/>
      <c r="D40" s="460" t="s">
        <v>88</v>
      </c>
      <c r="E40" s="701" t="s">
        <v>85</v>
      </c>
      <c r="F40" s="301" t="s">
        <v>89</v>
      </c>
      <c r="G40" s="1179"/>
      <c r="H40" s="1126"/>
      <c r="I40" s="1126"/>
      <c r="J40" s="1180"/>
      <c r="K40" s="1127"/>
      <c r="L40" s="1125"/>
      <c r="M40" s="1126"/>
      <c r="N40" s="1126"/>
      <c r="O40" s="1126"/>
      <c r="P40" s="1126"/>
      <c r="Q40" s="1127"/>
      <c r="R40" s="1125"/>
      <c r="S40" s="1126"/>
      <c r="T40" s="1126"/>
      <c r="U40" s="1126"/>
      <c r="V40" s="1126"/>
      <c r="W40" s="1126"/>
      <c r="X40" s="688" t="s">
        <v>88</v>
      </c>
      <c r="Y40" s="689" t="s">
        <v>85</v>
      </c>
      <c r="Z40" s="301" t="s">
        <v>89</v>
      </c>
      <c r="AA40" s="681" t="s">
        <v>88</v>
      </c>
      <c r="AB40" s="460" t="s">
        <v>85</v>
      </c>
      <c r="AC40" s="301" t="s">
        <v>89</v>
      </c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298"/>
      <c r="FG40" s="298"/>
      <c r="FH40" s="298"/>
      <c r="FI40" s="298"/>
      <c r="FJ40" s="298"/>
      <c r="FK40" s="298"/>
      <c r="FL40" s="298"/>
      <c r="FM40" s="298"/>
      <c r="FN40" s="298"/>
      <c r="FO40" s="298"/>
      <c r="FP40" s="298"/>
      <c r="FQ40" s="298"/>
      <c r="FR40" s="298"/>
      <c r="FS40" s="298"/>
      <c r="FT40" s="298"/>
      <c r="FU40" s="298"/>
      <c r="FV40" s="298"/>
      <c r="FW40" s="298"/>
      <c r="FX40" s="298"/>
      <c r="FY40" s="298"/>
      <c r="FZ40" s="298"/>
      <c r="GA40" s="298"/>
      <c r="GB40" s="298"/>
      <c r="GC40" s="298"/>
      <c r="GD40" s="298"/>
      <c r="GE40" s="298"/>
      <c r="GF40" s="298"/>
      <c r="GG40" s="298"/>
      <c r="GH40" s="298"/>
      <c r="GI40" s="298"/>
      <c r="GJ40" s="298"/>
      <c r="GK40" s="298"/>
      <c r="GL40" s="298"/>
      <c r="GM40" s="298"/>
      <c r="GN40" s="298"/>
      <c r="GO40" s="298"/>
      <c r="GP40" s="298"/>
      <c r="GQ40" s="298"/>
      <c r="GR40" s="298"/>
      <c r="GS40" s="298"/>
      <c r="GT40" s="298"/>
      <c r="GU40" s="298"/>
      <c r="GV40" s="298"/>
      <c r="GW40" s="298"/>
      <c r="GX40" s="298"/>
      <c r="GY40" s="298"/>
      <c r="GZ40" s="298"/>
      <c r="HA40" s="298"/>
      <c r="HB40" s="298"/>
      <c r="HC40" s="298"/>
      <c r="HD40" s="298"/>
      <c r="HE40" s="298"/>
      <c r="HF40" s="298"/>
      <c r="HG40" s="298"/>
      <c r="HH40" s="298"/>
      <c r="HI40" s="298"/>
      <c r="HJ40" s="298"/>
      <c r="HK40" s="298"/>
      <c r="HL40" s="298"/>
      <c r="HM40" s="298"/>
      <c r="HN40" s="298"/>
      <c r="HO40" s="298"/>
    </row>
    <row r="41" spans="1:29" ht="26.25" customHeight="1">
      <c r="A41" s="302"/>
      <c r="B41" s="344"/>
      <c r="C41" s="344"/>
      <c r="D41" s="372"/>
      <c r="E41" s="344"/>
      <c r="F41" s="306"/>
      <c r="G41" s="1097" t="s">
        <v>517</v>
      </c>
      <c r="H41" s="1086"/>
      <c r="I41" s="1086"/>
      <c r="J41" s="468">
        <v>10821150</v>
      </c>
      <c r="K41" s="1091">
        <f>SUM(J41:J42)</f>
        <v>11669970</v>
      </c>
      <c r="L41" s="1095" t="s">
        <v>970</v>
      </c>
      <c r="M41" s="1096"/>
      <c r="N41" s="1096"/>
      <c r="O41" s="1096"/>
      <c r="P41" s="1089">
        <v>2576000</v>
      </c>
      <c r="Q41" s="1091">
        <f>SUM(P41:P42)</f>
        <v>2576000</v>
      </c>
      <c r="R41" s="1087" t="s">
        <v>763</v>
      </c>
      <c r="S41" s="1088"/>
      <c r="T41" s="1088"/>
      <c r="U41" s="1088"/>
      <c r="V41" s="485">
        <v>114300</v>
      </c>
      <c r="W41" s="1150">
        <f>SUM(V41:V42)</f>
        <v>10586950</v>
      </c>
      <c r="X41" s="685"/>
      <c r="Y41" s="383"/>
      <c r="Z41" s="384"/>
      <c r="AA41" s="302"/>
      <c r="AB41" s="319"/>
      <c r="AC41" s="320"/>
    </row>
    <row r="42" spans="1:29" ht="28.5" customHeight="1" thickBot="1">
      <c r="A42" s="385"/>
      <c r="B42" s="1153" t="s">
        <v>472</v>
      </c>
      <c r="C42" s="1154"/>
      <c r="D42" s="377">
        <f>SUM('6. kiadások megbontása'!D72)</f>
        <v>35814630</v>
      </c>
      <c r="E42" s="325">
        <f>SUM('6. kiadások megbontása'!E72)</f>
        <v>1627000</v>
      </c>
      <c r="F42" s="326">
        <f>SUM(D42:E42)</f>
        <v>37441630</v>
      </c>
      <c r="G42" s="1097" t="s">
        <v>974</v>
      </c>
      <c r="H42" s="1086"/>
      <c r="I42" s="1086"/>
      <c r="J42" s="469">
        <v>848820</v>
      </c>
      <c r="K42" s="1092"/>
      <c r="L42" s="1085"/>
      <c r="M42" s="1086"/>
      <c r="N42" s="1086"/>
      <c r="O42" s="1086"/>
      <c r="P42" s="1090"/>
      <c r="Q42" s="1092"/>
      <c r="R42" s="1087" t="s">
        <v>764</v>
      </c>
      <c r="S42" s="1088"/>
      <c r="T42" s="1088"/>
      <c r="U42" s="1088"/>
      <c r="V42" s="485">
        <f>5470400+536221+144779+3402559+918691</f>
        <v>10472650</v>
      </c>
      <c r="W42" s="1151"/>
      <c r="X42" s="684">
        <f>SUM(W41,Q41,K41)</f>
        <v>24832920</v>
      </c>
      <c r="Y42" s="328">
        <v>0</v>
      </c>
      <c r="Z42" s="339">
        <f>SUM(Y42,X42)</f>
        <v>24832920</v>
      </c>
      <c r="AA42" s="337">
        <f>X42-D42</f>
        <v>-10981710</v>
      </c>
      <c r="AB42" s="338">
        <f>Y42-E42</f>
        <v>-1627000</v>
      </c>
      <c r="AC42" s="331">
        <f>SUM(AA42:AB42)</f>
        <v>-12608710</v>
      </c>
    </row>
    <row r="43" spans="1:29" ht="15.75">
      <c r="A43" s="412"/>
      <c r="B43" s="413"/>
      <c r="C43" s="471"/>
      <c r="D43" s="414"/>
      <c r="E43" s="415"/>
      <c r="F43" s="416"/>
      <c r="G43" s="1223"/>
      <c r="H43" s="1121"/>
      <c r="I43" s="1121"/>
      <c r="J43" s="417"/>
      <c r="K43" s="1091">
        <f>SUM(J43:J45)</f>
        <v>0</v>
      </c>
      <c r="L43" s="1095" t="s">
        <v>833</v>
      </c>
      <c r="M43" s="1096"/>
      <c r="N43" s="1096"/>
      <c r="O43" s="1096"/>
      <c r="P43" s="417"/>
      <c r="Q43" s="711"/>
      <c r="R43" s="1095" t="s">
        <v>902</v>
      </c>
      <c r="S43" s="1096"/>
      <c r="T43" s="1096"/>
      <c r="U43" s="1096"/>
      <c r="V43" s="418"/>
      <c r="W43" s="1091">
        <f>SUM(V43:V45)</f>
        <v>5642681</v>
      </c>
      <c r="X43" s="419"/>
      <c r="Y43" s="420"/>
      <c r="Z43" s="421"/>
      <c r="AA43" s="422"/>
      <c r="AB43" s="423"/>
      <c r="AC43" s="424"/>
    </row>
    <row r="44" spans="1:29" ht="27" customHeight="1" thickBot="1">
      <c r="A44" s="1152" t="s">
        <v>473</v>
      </c>
      <c r="B44" s="1153"/>
      <c r="C44" s="1154"/>
      <c r="D44" s="377">
        <f>SUM('6. kiadások megbontása'!G72)</f>
        <v>11862203</v>
      </c>
      <c r="E44" s="325">
        <f>SUM('6. kiadások megbontása'!H72)</f>
        <v>0</v>
      </c>
      <c r="F44" s="326">
        <f>SUM(D44:E44)</f>
        <v>11862203</v>
      </c>
      <c r="G44" s="347"/>
      <c r="H44" s="348"/>
      <c r="I44" s="348"/>
      <c r="J44" s="425"/>
      <c r="K44" s="1092"/>
      <c r="L44" s="1148"/>
      <c r="M44" s="1149"/>
      <c r="N44" s="1149"/>
      <c r="O44" s="1149"/>
      <c r="P44" s="307"/>
      <c r="Q44" s="710">
        <f>SUM(P44)</f>
        <v>0</v>
      </c>
      <c r="R44" s="1085"/>
      <c r="S44" s="1086"/>
      <c r="T44" s="1086"/>
      <c r="U44" s="1086"/>
      <c r="V44" s="307">
        <v>5642681</v>
      </c>
      <c r="W44" s="1151"/>
      <c r="X44" s="684">
        <f>SUM(K44+Q44+W43)</f>
        <v>5642681</v>
      </c>
      <c r="Y44" s="328">
        <f>Q45</f>
        <v>0</v>
      </c>
      <c r="Z44" s="339">
        <f>SUM(X44:Y44)</f>
        <v>5642681</v>
      </c>
      <c r="AA44" s="409">
        <f>X44-D44</f>
        <v>-6219522</v>
      </c>
      <c r="AB44" s="338">
        <f>Y44-E44</f>
        <v>0</v>
      </c>
      <c r="AC44" s="340">
        <f>SUM(AA44:AB44)</f>
        <v>-6219522</v>
      </c>
    </row>
    <row r="45" spans="1:29" ht="27" customHeight="1" thickBot="1">
      <c r="A45" s="321"/>
      <c r="B45" s="410"/>
      <c r="C45" s="410"/>
      <c r="D45" s="388"/>
      <c r="E45" s="389"/>
      <c r="F45" s="426"/>
      <c r="G45" s="427"/>
      <c r="H45" s="428"/>
      <c r="I45" s="428"/>
      <c r="J45" s="429"/>
      <c r="K45" s="1101"/>
      <c r="L45" s="1095" t="s">
        <v>834</v>
      </c>
      <c r="M45" s="1096"/>
      <c r="N45" s="1096"/>
      <c r="O45" s="1096"/>
      <c r="P45" s="664"/>
      <c r="Q45" s="710">
        <f>SUM(P45)</f>
        <v>0</v>
      </c>
      <c r="R45" s="741"/>
      <c r="S45" s="742"/>
      <c r="T45" s="742"/>
      <c r="U45" s="742"/>
      <c r="V45" s="743"/>
      <c r="W45" s="1101"/>
      <c r="X45" s="430"/>
      <c r="Y45" s="431"/>
      <c r="Z45" s="390"/>
      <c r="AA45" s="432"/>
      <c r="AB45" s="433"/>
      <c r="AC45" s="434"/>
    </row>
    <row r="46" spans="1:223" s="464" customFormat="1" ht="33.75" customHeight="1" thickBot="1">
      <c r="A46" s="1157" t="s">
        <v>920</v>
      </c>
      <c r="B46" s="1158"/>
      <c r="C46" s="1159"/>
      <c r="D46" s="669">
        <f>SUM(D41:D45)</f>
        <v>47676833</v>
      </c>
      <c r="E46" s="670">
        <f>SUM(E41:E45)</f>
        <v>1627000</v>
      </c>
      <c r="F46" s="671">
        <f>SUM(F41:F45)</f>
        <v>49303833</v>
      </c>
      <c r="G46" s="672"/>
      <c r="H46" s="1160" t="s">
        <v>93</v>
      </c>
      <c r="I46" s="1161"/>
      <c r="J46" s="1162"/>
      <c r="K46" s="673">
        <f>SUM(K43+K41)</f>
        <v>11669970</v>
      </c>
      <c r="L46" s="472"/>
      <c r="M46" s="1093" t="s">
        <v>94</v>
      </c>
      <c r="N46" s="1093"/>
      <c r="O46" s="1093"/>
      <c r="P46" s="1094"/>
      <c r="Q46" s="673">
        <f>SUM(Q41:Q45)</f>
        <v>2576000</v>
      </c>
      <c r="R46" s="474"/>
      <c r="S46" s="1093" t="s">
        <v>95</v>
      </c>
      <c r="T46" s="1093"/>
      <c r="U46" s="1093"/>
      <c r="V46" s="1094"/>
      <c r="W46" s="674">
        <f>SUM(W41:W45)</f>
        <v>16229631</v>
      </c>
      <c r="X46" s="675">
        <f>SUM(X41:X45)</f>
        <v>30475601</v>
      </c>
      <c r="Y46" s="676">
        <f>SUM(Y41:Y45)</f>
        <v>0</v>
      </c>
      <c r="Z46" s="677">
        <f>SUM(X46:Y46)</f>
        <v>30475601</v>
      </c>
      <c r="AA46" s="678">
        <f>X46-D46</f>
        <v>-17201232</v>
      </c>
      <c r="AB46" s="679">
        <f>Y46-E46</f>
        <v>-1627000</v>
      </c>
      <c r="AC46" s="470">
        <f>SUM(AA46:AB46)</f>
        <v>-18828232</v>
      </c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79"/>
      <c r="CZ46" s="479"/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79"/>
      <c r="EL46" s="479"/>
      <c r="EM46" s="479"/>
      <c r="EN46" s="479"/>
      <c r="EO46" s="479"/>
      <c r="EP46" s="479"/>
      <c r="EQ46" s="479"/>
      <c r="ER46" s="479"/>
      <c r="ES46" s="479"/>
      <c r="ET46" s="479"/>
      <c r="EU46" s="479"/>
      <c r="EV46" s="479"/>
      <c r="EW46" s="479"/>
      <c r="EX46" s="479"/>
      <c r="EY46" s="479"/>
      <c r="EZ46" s="479"/>
      <c r="FA46" s="479"/>
      <c r="FB46" s="479"/>
      <c r="FC46" s="479"/>
      <c r="FD46" s="479"/>
      <c r="FE46" s="479"/>
      <c r="FF46" s="479"/>
      <c r="FG46" s="479"/>
      <c r="FH46" s="479"/>
      <c r="FI46" s="479"/>
      <c r="FJ46" s="479"/>
      <c r="FK46" s="479"/>
      <c r="FL46" s="479"/>
      <c r="FM46" s="479"/>
      <c r="FN46" s="479"/>
      <c r="FO46" s="479"/>
      <c r="FP46" s="479"/>
      <c r="FQ46" s="479"/>
      <c r="FR46" s="479"/>
      <c r="FS46" s="479"/>
      <c r="FT46" s="479"/>
      <c r="FU46" s="479"/>
      <c r="FV46" s="479"/>
      <c r="FW46" s="479"/>
      <c r="FX46" s="479"/>
      <c r="FY46" s="479"/>
      <c r="FZ46" s="479"/>
      <c r="GA46" s="479"/>
      <c r="GB46" s="479"/>
      <c r="GC46" s="479"/>
      <c r="GD46" s="479"/>
      <c r="GE46" s="479"/>
      <c r="GF46" s="479"/>
      <c r="GG46" s="479"/>
      <c r="GH46" s="479"/>
      <c r="GI46" s="479"/>
      <c r="GJ46" s="479"/>
      <c r="GK46" s="479"/>
      <c r="GL46" s="479"/>
      <c r="GM46" s="479"/>
      <c r="GN46" s="479"/>
      <c r="GO46" s="479"/>
      <c r="GP46" s="479"/>
      <c r="GQ46" s="479"/>
      <c r="GR46" s="479"/>
      <c r="GS46" s="479"/>
      <c r="GT46" s="479"/>
      <c r="GU46" s="479"/>
      <c r="GV46" s="479"/>
      <c r="GW46" s="479"/>
      <c r="GX46" s="479"/>
      <c r="GY46" s="479"/>
      <c r="GZ46" s="479"/>
      <c r="HA46" s="479"/>
      <c r="HB46" s="479"/>
      <c r="HC46" s="479"/>
      <c r="HD46" s="479"/>
      <c r="HE46" s="479"/>
      <c r="HF46" s="479"/>
      <c r="HG46" s="479"/>
      <c r="HH46" s="479"/>
      <c r="HI46" s="479"/>
      <c r="HJ46" s="479"/>
      <c r="HK46" s="479"/>
      <c r="HL46" s="479"/>
      <c r="HM46" s="479"/>
      <c r="HN46" s="479"/>
      <c r="HO46" s="479"/>
    </row>
    <row r="47" spans="1:29" ht="17.25" thickBot="1" thickTop="1">
      <c r="A47" s="391"/>
      <c r="B47" s="392"/>
      <c r="C47" s="392"/>
      <c r="D47" s="393"/>
      <c r="E47" s="394"/>
      <c r="F47" s="395"/>
      <c r="G47" s="394"/>
      <c r="H47" s="394"/>
      <c r="I47" s="396"/>
      <c r="J47" s="396"/>
      <c r="K47" s="397"/>
      <c r="L47" s="398"/>
      <c r="M47" s="394"/>
      <c r="N47" s="394"/>
      <c r="O47" s="394"/>
      <c r="P47" s="394"/>
      <c r="Q47" s="397"/>
      <c r="R47" s="394"/>
      <c r="S47" s="394"/>
      <c r="T47" s="394"/>
      <c r="U47" s="394"/>
      <c r="V47" s="394"/>
      <c r="W47" s="399"/>
      <c r="X47" s="400"/>
      <c r="Y47" s="401"/>
      <c r="Z47" s="402"/>
      <c r="AA47" s="391"/>
      <c r="AB47" s="403"/>
      <c r="AC47" s="404"/>
    </row>
    <row r="48" spans="1:29" ht="14.25" thickBot="1" thickTop="1">
      <c r="A48" s="1107" t="s">
        <v>732</v>
      </c>
      <c r="B48" s="1108"/>
      <c r="C48" s="1108"/>
      <c r="D48" s="1135" t="s">
        <v>362</v>
      </c>
      <c r="E48" s="1123"/>
      <c r="F48" s="1136"/>
      <c r="G48" s="1137" t="s">
        <v>493</v>
      </c>
      <c r="H48" s="1224"/>
      <c r="I48" s="1224"/>
      <c r="J48" s="1224"/>
      <c r="K48" s="1225"/>
      <c r="L48" s="1122" t="s">
        <v>494</v>
      </c>
      <c r="M48" s="1130"/>
      <c r="N48" s="1130"/>
      <c r="O48" s="1130"/>
      <c r="P48" s="1130"/>
      <c r="Q48" s="1131"/>
      <c r="R48" s="1122" t="s">
        <v>495</v>
      </c>
      <c r="S48" s="1130"/>
      <c r="T48" s="1130"/>
      <c r="U48" s="1130"/>
      <c r="V48" s="1130"/>
      <c r="W48" s="1212"/>
      <c r="X48" s="1168" t="s">
        <v>496</v>
      </c>
      <c r="Y48" s="1115"/>
      <c r="Z48" s="1115"/>
      <c r="AA48" s="1116" t="s">
        <v>87</v>
      </c>
      <c r="AB48" s="1117"/>
      <c r="AC48" s="1118"/>
    </row>
    <row r="49" spans="1:223" s="661" customFormat="1" ht="32.25" customHeight="1" thickBot="1">
      <c r="A49" s="1109"/>
      <c r="B49" s="1110"/>
      <c r="C49" s="1110"/>
      <c r="D49" s="460" t="s">
        <v>88</v>
      </c>
      <c r="E49" s="701" t="s">
        <v>85</v>
      </c>
      <c r="F49" s="301" t="s">
        <v>89</v>
      </c>
      <c r="G49" s="1226"/>
      <c r="H49" s="1227"/>
      <c r="I49" s="1227"/>
      <c r="J49" s="1227"/>
      <c r="K49" s="1228"/>
      <c r="L49" s="1132"/>
      <c r="M49" s="1133"/>
      <c r="N49" s="1133"/>
      <c r="O49" s="1133"/>
      <c r="P49" s="1133"/>
      <c r="Q49" s="1134"/>
      <c r="R49" s="1132"/>
      <c r="S49" s="1133"/>
      <c r="T49" s="1133"/>
      <c r="U49" s="1133"/>
      <c r="V49" s="1133"/>
      <c r="W49" s="1213"/>
      <c r="X49" s="686" t="s">
        <v>88</v>
      </c>
      <c r="Y49" s="460" t="s">
        <v>85</v>
      </c>
      <c r="Z49" s="687" t="s">
        <v>89</v>
      </c>
      <c r="AA49" s="459" t="s">
        <v>88</v>
      </c>
      <c r="AB49" s="460" t="s">
        <v>85</v>
      </c>
      <c r="AC49" s="301" t="s">
        <v>89</v>
      </c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  <c r="BX49" s="680"/>
      <c r="BY49" s="680"/>
      <c r="BZ49" s="680"/>
      <c r="CA49" s="680"/>
      <c r="CB49" s="680"/>
      <c r="CC49" s="680"/>
      <c r="CD49" s="680"/>
      <c r="CE49" s="680"/>
      <c r="CF49" s="680"/>
      <c r="CG49" s="680"/>
      <c r="CH49" s="680"/>
      <c r="CI49" s="680"/>
      <c r="CJ49" s="680"/>
      <c r="CK49" s="680"/>
      <c r="CL49" s="680"/>
      <c r="CM49" s="680"/>
      <c r="CN49" s="680"/>
      <c r="CO49" s="680"/>
      <c r="CP49" s="680"/>
      <c r="CQ49" s="680"/>
      <c r="CR49" s="680"/>
      <c r="CS49" s="680"/>
      <c r="CT49" s="680"/>
      <c r="CU49" s="680"/>
      <c r="CV49" s="680"/>
      <c r="CW49" s="680"/>
      <c r="CX49" s="680"/>
      <c r="CY49" s="680"/>
      <c r="CZ49" s="680"/>
      <c r="DA49" s="680"/>
      <c r="DB49" s="680"/>
      <c r="DC49" s="680"/>
      <c r="DD49" s="680"/>
      <c r="DE49" s="680"/>
      <c r="DF49" s="680"/>
      <c r="DG49" s="680"/>
      <c r="DH49" s="680"/>
      <c r="DI49" s="680"/>
      <c r="DJ49" s="680"/>
      <c r="DK49" s="680"/>
      <c r="DL49" s="680"/>
      <c r="DM49" s="680"/>
      <c r="DN49" s="680"/>
      <c r="DO49" s="680"/>
      <c r="DP49" s="680"/>
      <c r="DQ49" s="680"/>
      <c r="DR49" s="680"/>
      <c r="DS49" s="680"/>
      <c r="DT49" s="680"/>
      <c r="DU49" s="680"/>
      <c r="DV49" s="680"/>
      <c r="DW49" s="680"/>
      <c r="DX49" s="680"/>
      <c r="DY49" s="680"/>
      <c r="DZ49" s="680"/>
      <c r="EA49" s="680"/>
      <c r="EB49" s="680"/>
      <c r="EC49" s="680"/>
      <c r="ED49" s="680"/>
      <c r="EE49" s="680"/>
      <c r="EF49" s="680"/>
      <c r="EG49" s="680"/>
      <c r="EH49" s="680"/>
      <c r="EI49" s="680"/>
      <c r="EJ49" s="680"/>
      <c r="EK49" s="680"/>
      <c r="EL49" s="680"/>
      <c r="EM49" s="680"/>
      <c r="EN49" s="680"/>
      <c r="EO49" s="680"/>
      <c r="EP49" s="680"/>
      <c r="EQ49" s="680"/>
      <c r="ER49" s="680"/>
      <c r="ES49" s="680"/>
      <c r="ET49" s="680"/>
      <c r="EU49" s="680"/>
      <c r="EV49" s="680"/>
      <c r="EW49" s="680"/>
      <c r="EX49" s="680"/>
      <c r="EY49" s="680"/>
      <c r="EZ49" s="680"/>
      <c r="FA49" s="680"/>
      <c r="FB49" s="680"/>
      <c r="FC49" s="680"/>
      <c r="FD49" s="680"/>
      <c r="FE49" s="680"/>
      <c r="FF49" s="680"/>
      <c r="FG49" s="680"/>
      <c r="FH49" s="680"/>
      <c r="FI49" s="680"/>
      <c r="FJ49" s="680"/>
      <c r="FK49" s="680"/>
      <c r="FL49" s="680"/>
      <c r="FM49" s="680"/>
      <c r="FN49" s="680"/>
      <c r="FO49" s="680"/>
      <c r="FP49" s="680"/>
      <c r="FQ49" s="680"/>
      <c r="FR49" s="680"/>
      <c r="FS49" s="680"/>
      <c r="FT49" s="680"/>
      <c r="FU49" s="680"/>
      <c r="FV49" s="680"/>
      <c r="FW49" s="680"/>
      <c r="FX49" s="680"/>
      <c r="FY49" s="680"/>
      <c r="FZ49" s="680"/>
      <c r="GA49" s="680"/>
      <c r="GB49" s="680"/>
      <c r="GC49" s="680"/>
      <c r="GD49" s="680"/>
      <c r="GE49" s="680"/>
      <c r="GF49" s="680"/>
      <c r="GG49" s="680"/>
      <c r="GH49" s="680"/>
      <c r="GI49" s="680"/>
      <c r="GJ49" s="680"/>
      <c r="GK49" s="680"/>
      <c r="GL49" s="680"/>
      <c r="GM49" s="680"/>
      <c r="GN49" s="680"/>
      <c r="GO49" s="680"/>
      <c r="GP49" s="680"/>
      <c r="GQ49" s="680"/>
      <c r="GR49" s="680"/>
      <c r="GS49" s="680"/>
      <c r="GT49" s="680"/>
      <c r="GU49" s="680"/>
      <c r="GV49" s="680"/>
      <c r="GW49" s="680"/>
      <c r="GX49" s="680"/>
      <c r="GY49" s="680"/>
      <c r="GZ49" s="680"/>
      <c r="HA49" s="680"/>
      <c r="HB49" s="680"/>
      <c r="HC49" s="680"/>
      <c r="HD49" s="680"/>
      <c r="HE49" s="680"/>
      <c r="HF49" s="680"/>
      <c r="HG49" s="680"/>
      <c r="HH49" s="680"/>
      <c r="HI49" s="680"/>
      <c r="HJ49" s="680"/>
      <c r="HK49" s="680"/>
      <c r="HL49" s="680"/>
      <c r="HM49" s="680"/>
      <c r="HN49" s="680"/>
      <c r="HO49" s="680"/>
    </row>
    <row r="50" spans="1:29" ht="25.5" customHeight="1">
      <c r="A50" s="385"/>
      <c r="B50" s="344"/>
      <c r="C50" s="344"/>
      <c r="D50" s="372"/>
      <c r="E50" s="344"/>
      <c r="F50" s="345"/>
      <c r="G50" s="1189" t="s">
        <v>463</v>
      </c>
      <c r="H50" s="1088"/>
      <c r="I50" s="1088"/>
      <c r="J50" s="482">
        <v>17434600</v>
      </c>
      <c r="K50" s="1091">
        <f>SUM(J50:J58)</f>
        <v>195245548</v>
      </c>
      <c r="L50" s="1145"/>
      <c r="M50" s="1096"/>
      <c r="N50" s="1096"/>
      <c r="O50" s="1096"/>
      <c r="P50" s="482"/>
      <c r="Q50" s="1216">
        <f>SUM(P50:P58)</f>
        <v>0</v>
      </c>
      <c r="R50" s="1083" t="s">
        <v>501</v>
      </c>
      <c r="S50" s="1084"/>
      <c r="T50" s="1084"/>
      <c r="U50" s="1084"/>
      <c r="V50" s="485">
        <v>1411725</v>
      </c>
      <c r="W50" s="1079">
        <f>SUM(V50:V58)</f>
        <v>1411725</v>
      </c>
      <c r="X50" s="344"/>
      <c r="Y50" s="372"/>
      <c r="Z50" s="406"/>
      <c r="AA50" s="385"/>
      <c r="AB50" s="372"/>
      <c r="AC50" s="320"/>
    </row>
    <row r="51" spans="1:29" ht="25.5" customHeight="1">
      <c r="A51" s="385"/>
      <c r="B51" s="344"/>
      <c r="C51" s="371"/>
      <c r="D51" s="372"/>
      <c r="E51" s="344"/>
      <c r="F51" s="345"/>
      <c r="G51" s="1188" t="s">
        <v>598</v>
      </c>
      <c r="H51" s="1084"/>
      <c r="I51" s="1084"/>
      <c r="J51" s="482">
        <v>94595400</v>
      </c>
      <c r="K51" s="1092"/>
      <c r="L51" s="1214"/>
      <c r="M51" s="1215"/>
      <c r="N51" s="1215"/>
      <c r="O51" s="1215"/>
      <c r="P51" s="346"/>
      <c r="Q51" s="1217"/>
      <c r="R51" s="1083"/>
      <c r="S51" s="1084"/>
      <c r="T51" s="1084"/>
      <c r="U51" s="1084"/>
      <c r="V51" s="745"/>
      <c r="W51" s="1080"/>
      <c r="X51" s="307"/>
      <c r="Y51" s="330"/>
      <c r="Z51" s="318"/>
      <c r="AA51" s="329"/>
      <c r="AB51" s="330"/>
      <c r="AC51" s="331"/>
    </row>
    <row r="52" spans="1:29" ht="30" customHeight="1">
      <c r="A52" s="385"/>
      <c r="B52" s="344"/>
      <c r="C52" s="371"/>
      <c r="D52" s="372"/>
      <c r="E52" s="344"/>
      <c r="F52" s="345"/>
      <c r="G52" s="1188" t="s">
        <v>516</v>
      </c>
      <c r="H52" s="1084"/>
      <c r="I52" s="1084"/>
      <c r="J52" s="485">
        <v>6068200</v>
      </c>
      <c r="K52" s="1092"/>
      <c r="L52" s="466"/>
      <c r="M52" s="467"/>
      <c r="N52" s="467"/>
      <c r="O52" s="467"/>
      <c r="P52" s="346"/>
      <c r="Q52" s="1217"/>
      <c r="R52" s="1083"/>
      <c r="S52" s="1084"/>
      <c r="T52" s="1084"/>
      <c r="U52" s="1084"/>
      <c r="V52" s="745"/>
      <c r="W52" s="1080"/>
      <c r="X52" s="307"/>
      <c r="Y52" s="330"/>
      <c r="Z52" s="318"/>
      <c r="AA52" s="329"/>
      <c r="AB52" s="330"/>
      <c r="AC52" s="331"/>
    </row>
    <row r="53" spans="1:29" ht="26.25" customHeight="1">
      <c r="A53" s="1152" t="s">
        <v>472</v>
      </c>
      <c r="B53" s="1195"/>
      <c r="C53" s="1196"/>
      <c r="D53" s="377">
        <f>SUM('6. kiadások megbontása'!D66)</f>
        <v>241334476</v>
      </c>
      <c r="E53" s="325">
        <f>SUM('6. kiadások megbontása'!E66)</f>
        <v>1618615</v>
      </c>
      <c r="F53" s="326">
        <f>SUM(D53:E53)</f>
        <v>242953091</v>
      </c>
      <c r="G53" s="1188" t="s">
        <v>719</v>
      </c>
      <c r="H53" s="1084"/>
      <c r="I53" s="1084"/>
      <c r="J53" s="739">
        <v>23648884</v>
      </c>
      <c r="K53" s="1092"/>
      <c r="L53" s="370"/>
      <c r="M53" s="344"/>
      <c r="N53" s="344"/>
      <c r="O53" s="344"/>
      <c r="P53" s="344"/>
      <c r="Q53" s="1217"/>
      <c r="R53" s="1085"/>
      <c r="S53" s="1086"/>
      <c r="T53" s="1086"/>
      <c r="U53" s="1086"/>
      <c r="V53" s="307"/>
      <c r="W53" s="1080"/>
      <c r="X53" s="408">
        <f>SUM(W50+Q50+K50)</f>
        <v>196657273</v>
      </c>
      <c r="Y53" s="338">
        <v>0</v>
      </c>
      <c r="Z53" s="339">
        <f>SUM(X53:Y53)</f>
        <v>196657273</v>
      </c>
      <c r="AA53" s="409">
        <f>X53-D53</f>
        <v>-44677203</v>
      </c>
      <c r="AB53" s="338">
        <f>Y53-E53</f>
        <v>-1618615</v>
      </c>
      <c r="AC53" s="340">
        <f>SUM(AA53:AB53)</f>
        <v>-46295818</v>
      </c>
    </row>
    <row r="54" spans="1:29" ht="29.25" customHeight="1">
      <c r="A54" s="321"/>
      <c r="B54" s="410"/>
      <c r="C54" s="607"/>
      <c r="D54" s="377"/>
      <c r="E54" s="325"/>
      <c r="F54" s="326"/>
      <c r="G54" s="1188" t="s">
        <v>721</v>
      </c>
      <c r="H54" s="1084"/>
      <c r="I54" s="1084"/>
      <c r="J54" s="485">
        <f>3740000+18150000+418000</f>
        <v>22308000</v>
      </c>
      <c r="K54" s="1092"/>
      <c r="L54" s="370"/>
      <c r="M54" s="344"/>
      <c r="N54" s="344"/>
      <c r="O54" s="344"/>
      <c r="P54" s="411"/>
      <c r="Q54" s="1217"/>
      <c r="R54" s="1085"/>
      <c r="S54" s="1086"/>
      <c r="T54" s="1086"/>
      <c r="U54" s="1086"/>
      <c r="V54" s="407"/>
      <c r="W54" s="1080"/>
      <c r="X54" s="387"/>
      <c r="Y54" s="328"/>
      <c r="Z54" s="339"/>
      <c r="AA54" s="337"/>
      <c r="AB54" s="338"/>
      <c r="AC54" s="331"/>
    </row>
    <row r="55" spans="1:29" ht="29.25" customHeight="1">
      <c r="A55" s="321"/>
      <c r="B55" s="410"/>
      <c r="C55" s="607"/>
      <c r="D55" s="377"/>
      <c r="E55" s="325"/>
      <c r="F55" s="326"/>
      <c r="G55" s="1188" t="s">
        <v>784</v>
      </c>
      <c r="H55" s="1084"/>
      <c r="I55" s="1084"/>
      <c r="J55" s="485">
        <v>7303142</v>
      </c>
      <c r="K55" s="1092"/>
      <c r="L55" s="370"/>
      <c r="M55" s="344"/>
      <c r="N55" s="344"/>
      <c r="O55" s="344"/>
      <c r="P55" s="411"/>
      <c r="Q55" s="1217"/>
      <c r="R55" s="465"/>
      <c r="S55" s="604"/>
      <c r="T55" s="604"/>
      <c r="U55" s="604"/>
      <c r="V55" s="407"/>
      <c r="W55" s="1080"/>
      <c r="X55" s="387"/>
      <c r="Y55" s="328"/>
      <c r="Z55" s="339"/>
      <c r="AA55" s="337"/>
      <c r="AB55" s="338"/>
      <c r="AC55" s="331"/>
    </row>
    <row r="56" spans="1:29" ht="29.25" customHeight="1">
      <c r="A56" s="321"/>
      <c r="B56" s="410"/>
      <c r="C56" s="607"/>
      <c r="D56" s="377"/>
      <c r="E56" s="325"/>
      <c r="F56" s="326"/>
      <c r="G56" s="1188" t="s">
        <v>761</v>
      </c>
      <c r="H56" s="1084"/>
      <c r="I56" s="1084"/>
      <c r="J56" s="482">
        <v>11944000</v>
      </c>
      <c r="K56" s="1092"/>
      <c r="L56" s="370"/>
      <c r="M56" s="344"/>
      <c r="N56" s="344"/>
      <c r="O56" s="344"/>
      <c r="P56" s="411"/>
      <c r="Q56" s="1217"/>
      <c r="R56" s="465"/>
      <c r="S56" s="604"/>
      <c r="T56" s="604"/>
      <c r="U56" s="604"/>
      <c r="V56" s="407"/>
      <c r="W56" s="1080"/>
      <c r="X56" s="387"/>
      <c r="Y56" s="328"/>
      <c r="Z56" s="339"/>
      <c r="AA56" s="337"/>
      <c r="AB56" s="338"/>
      <c r="AC56" s="331"/>
    </row>
    <row r="57" spans="1:29" ht="29.25" customHeight="1">
      <c r="A57" s="321"/>
      <c r="B57" s="410"/>
      <c r="C57" s="607"/>
      <c r="D57" s="377"/>
      <c r="E57" s="325"/>
      <c r="F57" s="326"/>
      <c r="G57" s="1097" t="s">
        <v>974</v>
      </c>
      <c r="H57" s="1086"/>
      <c r="I57" s="1086"/>
      <c r="J57" s="482">
        <f>254623+9577+12631+10068391</f>
        <v>10345222</v>
      </c>
      <c r="K57" s="1092"/>
      <c r="L57" s="370"/>
      <c r="M57" s="344"/>
      <c r="N57" s="344"/>
      <c r="O57" s="344"/>
      <c r="P57" s="411"/>
      <c r="Q57" s="1217"/>
      <c r="R57" s="465"/>
      <c r="S57" s="604"/>
      <c r="T57" s="604"/>
      <c r="U57" s="604"/>
      <c r="V57" s="407"/>
      <c r="W57" s="1080"/>
      <c r="X57" s="387"/>
      <c r="Y57" s="328"/>
      <c r="Z57" s="339"/>
      <c r="AA57" s="337"/>
      <c r="AB57" s="338"/>
      <c r="AC57" s="331"/>
    </row>
    <row r="58" spans="1:29" ht="29.25" customHeight="1" thickBot="1">
      <c r="A58" s="321"/>
      <c r="B58" s="410"/>
      <c r="C58" s="607"/>
      <c r="D58" s="377"/>
      <c r="E58" s="325"/>
      <c r="F58" s="326"/>
      <c r="G58" s="1188" t="s">
        <v>830</v>
      </c>
      <c r="H58" s="1084"/>
      <c r="I58" s="1084"/>
      <c r="J58" s="745">
        <v>1598100</v>
      </c>
      <c r="K58" s="1092"/>
      <c r="L58" s="370"/>
      <c r="M58" s="344"/>
      <c r="N58" s="344"/>
      <c r="O58" s="344"/>
      <c r="P58" s="411"/>
      <c r="Q58" s="1217"/>
      <c r="R58" s="465"/>
      <c r="S58" s="604"/>
      <c r="T58" s="604"/>
      <c r="U58" s="604"/>
      <c r="V58" s="407"/>
      <c r="W58" s="1080"/>
      <c r="X58" s="387"/>
      <c r="Y58" s="328"/>
      <c r="Z58" s="339"/>
      <c r="AA58" s="337"/>
      <c r="AB58" s="338"/>
      <c r="AC58" s="331"/>
    </row>
    <row r="59" spans="1:29" ht="29.25" customHeight="1">
      <c r="A59" s="412"/>
      <c r="B59" s="413"/>
      <c r="C59" s="471"/>
      <c r="D59" s="414"/>
      <c r="E59" s="415"/>
      <c r="F59" s="416"/>
      <c r="G59" s="778"/>
      <c r="H59" s="777"/>
      <c r="I59" s="777"/>
      <c r="J59" s="744"/>
      <c r="K59" s="718"/>
      <c r="L59" s="1145" t="s">
        <v>969</v>
      </c>
      <c r="M59" s="1096"/>
      <c r="N59" s="1096"/>
      <c r="O59" s="1096"/>
      <c r="P59" s="417">
        <v>5354163</v>
      </c>
      <c r="Q59" s="1218">
        <f>SUM(P59:P60)</f>
        <v>12765278</v>
      </c>
      <c r="R59" s="774"/>
      <c r="S59" s="775"/>
      <c r="T59" s="775"/>
      <c r="U59" s="775"/>
      <c r="V59" s="782"/>
      <c r="W59" s="719"/>
      <c r="X59" s="783"/>
      <c r="Y59" s="420"/>
      <c r="Z59" s="421"/>
      <c r="AA59" s="422"/>
      <c r="AB59" s="423"/>
      <c r="AC59" s="424"/>
    </row>
    <row r="60" spans="1:29" ht="27.75" customHeight="1" thickBot="1">
      <c r="A60" s="1204" t="s">
        <v>473</v>
      </c>
      <c r="B60" s="1205"/>
      <c r="C60" s="1206"/>
      <c r="D60" s="779">
        <f>SUM('6. kiadások megbontása'!G66)</f>
        <v>24644277</v>
      </c>
      <c r="E60" s="779">
        <f>SUM('6. kiadások megbontása'!H66)</f>
        <v>111425</v>
      </c>
      <c r="F60" s="780">
        <f>SUM(D60:E60)</f>
        <v>24755702</v>
      </c>
      <c r="G60" s="1188"/>
      <c r="H60" s="1084"/>
      <c r="I60" s="1084"/>
      <c r="J60" s="482"/>
      <c r="K60" s="773">
        <f>SUM(J60:J60)</f>
        <v>0</v>
      </c>
      <c r="L60" s="1203" t="s">
        <v>773</v>
      </c>
      <c r="M60" s="1106"/>
      <c r="N60" s="1106"/>
      <c r="O60" s="1106"/>
      <c r="P60" s="481">
        <v>7411115</v>
      </c>
      <c r="Q60" s="1219"/>
      <c r="R60" s="1148" t="s">
        <v>903</v>
      </c>
      <c r="S60" s="1149"/>
      <c r="T60" s="1149"/>
      <c r="U60" s="1149"/>
      <c r="V60" s="481">
        <v>7760424</v>
      </c>
      <c r="W60" s="776">
        <f>SUM(V60:V60)</f>
        <v>7760424</v>
      </c>
      <c r="X60" s="781">
        <f>SUM(K60+Q59+W60)</f>
        <v>20525702</v>
      </c>
      <c r="Y60" s="328">
        <v>0</v>
      </c>
      <c r="Z60" s="331">
        <f>SUM(X60:Y60)</f>
        <v>20525702</v>
      </c>
      <c r="AA60" s="684">
        <f>X60-D60</f>
        <v>-4118575</v>
      </c>
      <c r="AB60" s="328">
        <f>Y60-E60</f>
        <v>-111425</v>
      </c>
      <c r="AC60" s="369">
        <f>SUM(AA60:AB60)</f>
        <v>-4230000</v>
      </c>
    </row>
    <row r="61" spans="1:223" s="464" customFormat="1" ht="44.25" customHeight="1" thickBot="1" thickTop="1">
      <c r="A61" s="1197" t="s">
        <v>774</v>
      </c>
      <c r="B61" s="1198"/>
      <c r="C61" s="1199"/>
      <c r="D61" s="720">
        <f>SUM(D51:D60)</f>
        <v>265978753</v>
      </c>
      <c r="E61" s="721">
        <f>SUM(E51:E60)</f>
        <v>1730040</v>
      </c>
      <c r="F61" s="722">
        <f>SUM(D61:E61)</f>
        <v>267708793</v>
      </c>
      <c r="G61" s="668"/>
      <c r="H61" s="1160" t="s">
        <v>93</v>
      </c>
      <c r="I61" s="1161"/>
      <c r="J61" s="1162"/>
      <c r="K61" s="473">
        <f>SUM(K50:K60)</f>
        <v>195245548</v>
      </c>
      <c r="L61" s="472"/>
      <c r="M61" s="1093" t="s">
        <v>94</v>
      </c>
      <c r="N61" s="1093"/>
      <c r="O61" s="1093"/>
      <c r="P61" s="1094"/>
      <c r="Q61" s="473">
        <f>SUM(Q50:Q59)</f>
        <v>12765278</v>
      </c>
      <c r="R61" s="474"/>
      <c r="S61" s="1093" t="s">
        <v>95</v>
      </c>
      <c r="T61" s="1093"/>
      <c r="U61" s="1093"/>
      <c r="V61" s="1094"/>
      <c r="W61" s="473">
        <f>SUM(W50:W60)</f>
        <v>9172149</v>
      </c>
      <c r="X61" s="475">
        <f>SUM(X49:X60)</f>
        <v>217182975</v>
      </c>
      <c r="Y61" s="476">
        <f>SUM(Y49:Y60)</f>
        <v>0</v>
      </c>
      <c r="Z61" s="477">
        <f>SUM(X61:Y61)</f>
        <v>217182975</v>
      </c>
      <c r="AA61" s="475">
        <f>X61-D61</f>
        <v>-48795778</v>
      </c>
      <c r="AB61" s="478">
        <f>Y61-E61</f>
        <v>-1730040</v>
      </c>
      <c r="AC61" s="477">
        <f>SUM(AA61:AB61)</f>
        <v>-50525818</v>
      </c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/>
      <c r="EE61" s="479"/>
      <c r="EF61" s="479"/>
      <c r="EG61" s="479"/>
      <c r="EH61" s="479"/>
      <c r="EI61" s="479"/>
      <c r="EJ61" s="479"/>
      <c r="EK61" s="479"/>
      <c r="EL61" s="479"/>
      <c r="EM61" s="479"/>
      <c r="EN61" s="479"/>
      <c r="EO61" s="479"/>
      <c r="EP61" s="479"/>
      <c r="EQ61" s="479"/>
      <c r="ER61" s="479"/>
      <c r="ES61" s="479"/>
      <c r="ET61" s="479"/>
      <c r="EU61" s="479"/>
      <c r="EV61" s="479"/>
      <c r="EW61" s="479"/>
      <c r="EX61" s="479"/>
      <c r="EY61" s="479"/>
      <c r="EZ61" s="479"/>
      <c r="FA61" s="479"/>
      <c r="FB61" s="479"/>
      <c r="FC61" s="479"/>
      <c r="FD61" s="47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/>
      <c r="FU61" s="479"/>
      <c r="FV61" s="479"/>
      <c r="FW61" s="479"/>
      <c r="FX61" s="479"/>
      <c r="FY61" s="479"/>
      <c r="FZ61" s="479"/>
      <c r="GA61" s="479"/>
      <c r="GB61" s="479"/>
      <c r="GC61" s="479"/>
      <c r="GD61" s="479"/>
      <c r="GE61" s="479"/>
      <c r="GF61" s="479"/>
      <c r="GG61" s="479"/>
      <c r="GH61" s="479"/>
      <c r="GI61" s="479"/>
      <c r="GJ61" s="479"/>
      <c r="GK61" s="479"/>
      <c r="GL61" s="479"/>
      <c r="GM61" s="479"/>
      <c r="GN61" s="479"/>
      <c r="GO61" s="479"/>
      <c r="GP61" s="479"/>
      <c r="GQ61" s="479"/>
      <c r="GR61" s="479"/>
      <c r="GS61" s="479"/>
      <c r="GT61" s="479"/>
      <c r="GU61" s="479"/>
      <c r="GV61" s="479"/>
      <c r="GW61" s="479"/>
      <c r="GX61" s="479"/>
      <c r="GY61" s="479"/>
      <c r="GZ61" s="479"/>
      <c r="HA61" s="479"/>
      <c r="HB61" s="479"/>
      <c r="HC61" s="479"/>
      <c r="HD61" s="479"/>
      <c r="HE61" s="479"/>
      <c r="HF61" s="479"/>
      <c r="HG61" s="479"/>
      <c r="HH61" s="479"/>
      <c r="HI61" s="479"/>
      <c r="HJ61" s="479"/>
      <c r="HK61" s="479"/>
      <c r="HL61" s="479"/>
      <c r="HM61" s="479"/>
      <c r="HN61" s="479"/>
      <c r="HO61" s="479"/>
    </row>
    <row r="62" spans="1:29" ht="21" customHeight="1" thickBot="1" thickTop="1">
      <c r="A62" s="1190" t="s">
        <v>365</v>
      </c>
      <c r="B62" s="1191"/>
      <c r="C62" s="1192"/>
      <c r="D62" s="435">
        <f>SUM(D61,D38,D30,D46)</f>
        <v>1290188484</v>
      </c>
      <c r="E62" s="435">
        <f>SUM(E61,E38,E30,E46)</f>
        <v>925874629</v>
      </c>
      <c r="F62" s="436">
        <f>SUM(D62:E62)</f>
        <v>2216063113</v>
      </c>
      <c r="G62" s="437"/>
      <c r="H62" s="1200" t="s">
        <v>96</v>
      </c>
      <c r="I62" s="1201"/>
      <c r="J62" s="1202"/>
      <c r="K62" s="439">
        <f>SUM(K61,K38,K30,K46)</f>
        <v>525869524</v>
      </c>
      <c r="L62" s="438"/>
      <c r="M62" s="1209" t="s">
        <v>97</v>
      </c>
      <c r="N62" s="1209"/>
      <c r="O62" s="1209"/>
      <c r="P62" s="1210"/>
      <c r="Q62" s="439">
        <f>SUM(Q61,Q38,Q30,Q46)</f>
        <v>271425569</v>
      </c>
      <c r="R62" s="440"/>
      <c r="S62" s="1209" t="s">
        <v>98</v>
      </c>
      <c r="T62" s="1209"/>
      <c r="U62" s="1209"/>
      <c r="V62" s="1210"/>
      <c r="W62" s="682">
        <f>SUM(W61,W38,W30,W46)</f>
        <v>1418768020</v>
      </c>
      <c r="X62" s="683">
        <f>SUM(X61,X38,X30,X46)</f>
        <v>1255824018</v>
      </c>
      <c r="Y62" s="441">
        <f>SUM(Y61,Y38,Y30,Y46)</f>
        <v>960239095</v>
      </c>
      <c r="Z62" s="442">
        <f>SUM(W62+Q62+K62)</f>
        <v>2216063113</v>
      </c>
      <c r="AA62" s="441">
        <f>SUM(AA61,AA38,AA30,AA46)</f>
        <v>-34364466</v>
      </c>
      <c r="AB62" s="441">
        <f>SUM(AB61,AB38,AB30,AB46)</f>
        <v>34364466</v>
      </c>
      <c r="AC62" s="658">
        <f>SUM(AC61,AC38,AC30,AC46)</f>
        <v>0</v>
      </c>
    </row>
    <row r="63" spans="1:29" ht="19.5" thickTop="1">
      <c r="A63" s="1193"/>
      <c r="B63" s="1194"/>
      <c r="C63" s="1194"/>
      <c r="D63" s="405"/>
      <c r="E63" s="405"/>
      <c r="F63" s="405"/>
      <c r="G63" s="358"/>
      <c r="H63" s="358"/>
      <c r="I63" s="358"/>
      <c r="J63" s="443"/>
      <c r="K63" s="382"/>
      <c r="L63" s="356"/>
      <c r="M63" s="344"/>
      <c r="N63" s="344"/>
      <c r="O63" s="344"/>
      <c r="P63" s="344"/>
      <c r="Q63" s="344"/>
      <c r="R63" s="356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356"/>
    </row>
    <row r="64" spans="1:29" ht="15.75">
      <c r="A64" s="405"/>
      <c r="B64" s="405"/>
      <c r="C64" s="405"/>
      <c r="D64" s="1207" t="s">
        <v>470</v>
      </c>
      <c r="E64" s="1208"/>
      <c r="F64" s="1208"/>
      <c r="G64" s="309"/>
      <c r="H64" s="309"/>
      <c r="I64" s="309"/>
      <c r="J64" s="303"/>
      <c r="K64" s="382"/>
      <c r="L64" s="344"/>
      <c r="M64" s="344"/>
      <c r="N64" s="344"/>
      <c r="O64" s="344"/>
      <c r="P64" s="344"/>
      <c r="Q64" s="344"/>
      <c r="R64" s="344"/>
      <c r="S64" s="405"/>
      <c r="T64" s="405"/>
      <c r="U64" s="405"/>
      <c r="V64" s="405"/>
      <c r="W64" s="1207" t="s">
        <v>99</v>
      </c>
      <c r="X64" s="1208"/>
      <c r="Y64" s="1208"/>
      <c r="Z64" s="444"/>
      <c r="AA64" s="1207" t="s">
        <v>87</v>
      </c>
      <c r="AB64" s="1208"/>
      <c r="AC64" s="1208"/>
    </row>
    <row r="65" spans="1:29" ht="15.75">
      <c r="A65" s="405"/>
      <c r="B65" s="405"/>
      <c r="C65" s="405"/>
      <c r="D65" s="445" t="s">
        <v>88</v>
      </c>
      <c r="E65" s="445" t="s">
        <v>100</v>
      </c>
      <c r="F65" s="445" t="s">
        <v>89</v>
      </c>
      <c r="G65" s="309"/>
      <c r="H65" s="309"/>
      <c r="I65" s="309"/>
      <c r="J65" s="303"/>
      <c r="K65" s="382"/>
      <c r="L65" s="344"/>
      <c r="M65" s="344"/>
      <c r="N65" s="344"/>
      <c r="O65" s="344"/>
      <c r="P65" s="344"/>
      <c r="Q65" s="344"/>
      <c r="R65" s="344"/>
      <c r="S65" s="1211"/>
      <c r="T65" s="1211"/>
      <c r="U65" s="1211"/>
      <c r="V65" s="1211"/>
      <c r="W65" s="445" t="s">
        <v>88</v>
      </c>
      <c r="X65" s="445" t="s">
        <v>100</v>
      </c>
      <c r="Y65" s="445" t="s">
        <v>89</v>
      </c>
      <c r="Z65" s="446"/>
      <c r="AA65" s="445" t="s">
        <v>88</v>
      </c>
      <c r="AB65" s="445" t="s">
        <v>100</v>
      </c>
      <c r="AC65" s="445" t="s">
        <v>89</v>
      </c>
    </row>
    <row r="66" spans="1:29" ht="15.75">
      <c r="A66" s="405"/>
      <c r="B66" s="405"/>
      <c r="C66" s="447" t="s">
        <v>101</v>
      </c>
      <c r="D66" s="405"/>
      <c r="E66" s="405"/>
      <c r="F66" s="405"/>
      <c r="G66" s="309"/>
      <c r="H66" s="309"/>
      <c r="I66" s="309"/>
      <c r="J66" s="303"/>
      <c r="K66" s="382"/>
      <c r="L66" s="344"/>
      <c r="M66" s="344"/>
      <c r="N66" s="344"/>
      <c r="O66" s="344"/>
      <c r="P66" s="344"/>
      <c r="Q66" s="344"/>
      <c r="R66" s="344"/>
      <c r="S66" s="405"/>
      <c r="T66" s="447" t="s">
        <v>101</v>
      </c>
      <c r="U66" s="405"/>
      <c r="V66" s="1207"/>
      <c r="W66" s="1208"/>
      <c r="X66" s="405"/>
      <c r="Y66" s="405"/>
      <c r="Z66" s="405"/>
      <c r="AA66" s="405"/>
      <c r="AB66" s="405"/>
      <c r="AC66" s="344"/>
    </row>
    <row r="67" spans="1:29" ht="15.75">
      <c r="A67" s="405"/>
      <c r="B67" s="405"/>
      <c r="C67" s="405" t="s">
        <v>102</v>
      </c>
      <c r="D67" s="448">
        <f>SUM(D10)</f>
        <v>549144418</v>
      </c>
      <c r="E67" s="448">
        <f>SUM(E10)</f>
        <v>287581998</v>
      </c>
      <c r="F67" s="448">
        <f>SUM(D67:E67)</f>
        <v>836726416</v>
      </c>
      <c r="G67" s="309"/>
      <c r="H67" s="309"/>
      <c r="I67" s="309"/>
      <c r="J67" s="303"/>
      <c r="K67" s="382"/>
      <c r="L67" s="344"/>
      <c r="M67" s="344"/>
      <c r="N67" s="344"/>
      <c r="O67" s="344"/>
      <c r="P67" s="344"/>
      <c r="Q67" s="344"/>
      <c r="R67" s="344"/>
      <c r="S67" s="405"/>
      <c r="T67" s="405" t="s">
        <v>102</v>
      </c>
      <c r="U67" s="405"/>
      <c r="V67" s="405"/>
      <c r="W67" s="448">
        <f>SUM(X15)</f>
        <v>593126000</v>
      </c>
      <c r="X67" s="448">
        <f>Y15</f>
        <v>315473040</v>
      </c>
      <c r="Y67" s="448">
        <f>SUM(W67:X67)</f>
        <v>908599040</v>
      </c>
      <c r="Z67" s="389"/>
      <c r="AA67" s="448">
        <f aca="true" t="shared" si="0" ref="AA67:AB70">W67-D67</f>
        <v>43981582</v>
      </c>
      <c r="AB67" s="448">
        <f t="shared" si="0"/>
        <v>27891042</v>
      </c>
      <c r="AC67" s="389">
        <f>SUM(AA67:AB67)</f>
        <v>71872624</v>
      </c>
    </row>
    <row r="68" spans="1:29" ht="15.75">
      <c r="A68" s="405"/>
      <c r="B68" s="405"/>
      <c r="C68" s="405" t="s">
        <v>371</v>
      </c>
      <c r="D68" s="448">
        <f>SUM(D36)</f>
        <v>136378897</v>
      </c>
      <c r="E68" s="448">
        <f>SUM(E36)</f>
        <v>1934590</v>
      </c>
      <c r="F68" s="448">
        <f>SUM(D68:E68)</f>
        <v>138313487</v>
      </c>
      <c r="G68" s="309"/>
      <c r="H68" s="309"/>
      <c r="I68" s="309"/>
      <c r="J68" s="449"/>
      <c r="K68" s="382"/>
      <c r="L68" s="344"/>
      <c r="M68" s="344"/>
      <c r="N68" s="344"/>
      <c r="O68" s="344"/>
      <c r="P68" s="344"/>
      <c r="Q68" s="344"/>
      <c r="R68" s="344"/>
      <c r="S68" s="405"/>
      <c r="T68" s="405" t="s">
        <v>371</v>
      </c>
      <c r="U68" s="405"/>
      <c r="V68" s="405"/>
      <c r="W68" s="448">
        <f>SUM(X36)</f>
        <v>150500144</v>
      </c>
      <c r="X68" s="448">
        <f>Y36</f>
        <v>0</v>
      </c>
      <c r="Y68" s="448">
        <f>SUM(W68:X68)</f>
        <v>150500144</v>
      </c>
      <c r="Z68" s="389"/>
      <c r="AA68" s="448">
        <f t="shared" si="0"/>
        <v>14121247</v>
      </c>
      <c r="AB68" s="448">
        <f t="shared" si="0"/>
        <v>-1934590</v>
      </c>
      <c r="AC68" s="389">
        <f>SUM(AA68:AB68)</f>
        <v>12186657</v>
      </c>
    </row>
    <row r="69" spans="1:29" ht="15.75">
      <c r="A69" s="405"/>
      <c r="B69" s="405"/>
      <c r="C69" s="405" t="s">
        <v>760</v>
      </c>
      <c r="D69" s="448">
        <f>SUM(D42)</f>
        <v>35814630</v>
      </c>
      <c r="E69" s="448">
        <f>SUM(E42)</f>
        <v>1627000</v>
      </c>
      <c r="F69" s="448">
        <f>SUM(D69:E69)</f>
        <v>37441630</v>
      </c>
      <c r="G69" s="309"/>
      <c r="H69" s="309"/>
      <c r="I69" s="309"/>
      <c r="J69" s="449"/>
      <c r="K69" s="382"/>
      <c r="L69" s="344"/>
      <c r="M69" s="344"/>
      <c r="N69" s="344"/>
      <c r="O69" s="344"/>
      <c r="P69" s="344"/>
      <c r="Q69" s="344"/>
      <c r="R69" s="344"/>
      <c r="S69" s="405"/>
      <c r="T69" s="405" t="s">
        <v>771</v>
      </c>
      <c r="U69" s="405"/>
      <c r="V69" s="405"/>
      <c r="W69" s="448">
        <f>SUM(X42)</f>
        <v>24832920</v>
      </c>
      <c r="X69" s="448">
        <f>SUM(Y42)</f>
        <v>0</v>
      </c>
      <c r="Y69" s="448">
        <f>SUM(W69:X69)</f>
        <v>24832920</v>
      </c>
      <c r="Z69" s="389"/>
      <c r="AA69" s="448">
        <f>W69-D69</f>
        <v>-10981710</v>
      </c>
      <c r="AB69" s="448">
        <f>X69-E69</f>
        <v>-1627000</v>
      </c>
      <c r="AC69" s="389">
        <f>SUM(AA69:AB69)</f>
        <v>-12608710</v>
      </c>
    </row>
    <row r="70" spans="1:29" ht="12.75">
      <c r="A70" s="405"/>
      <c r="B70" s="405"/>
      <c r="C70" s="450" t="s">
        <v>103</v>
      </c>
      <c r="D70" s="451">
        <f>SUM(D53)</f>
        <v>241334476</v>
      </c>
      <c r="E70" s="451">
        <f>SUM(E53)</f>
        <v>1618615</v>
      </c>
      <c r="F70" s="451">
        <f>SUM(D70:E70)</f>
        <v>242953091</v>
      </c>
      <c r="G70" s="405"/>
      <c r="H70" s="405"/>
      <c r="I70" s="405"/>
      <c r="J70" s="405"/>
      <c r="K70" s="344"/>
      <c r="L70" s="344"/>
      <c r="M70" s="344"/>
      <c r="N70" s="344"/>
      <c r="O70" s="344"/>
      <c r="P70" s="344"/>
      <c r="Q70" s="344"/>
      <c r="R70" s="344"/>
      <c r="S70" s="405"/>
      <c r="T70" s="450" t="s">
        <v>103</v>
      </c>
      <c r="U70" s="452"/>
      <c r="V70" s="452"/>
      <c r="W70" s="451">
        <f>SUM(X53)</f>
        <v>196657273</v>
      </c>
      <c r="X70" s="451">
        <f>Y53</f>
        <v>0</v>
      </c>
      <c r="Y70" s="451">
        <f>SUM(W70:X70)</f>
        <v>196657273</v>
      </c>
      <c r="Z70" s="389"/>
      <c r="AA70" s="451">
        <f t="shared" si="0"/>
        <v>-44677203</v>
      </c>
      <c r="AB70" s="451">
        <f t="shared" si="0"/>
        <v>-1618615</v>
      </c>
      <c r="AC70" s="451">
        <f>SUM(AA70:AB70)</f>
        <v>-46295818</v>
      </c>
    </row>
    <row r="71" spans="1:29" ht="12.75">
      <c r="A71" s="405"/>
      <c r="B71" s="405"/>
      <c r="C71" s="453" t="s">
        <v>364</v>
      </c>
      <c r="D71" s="448">
        <f>SUM(D67:D70)</f>
        <v>962672421</v>
      </c>
      <c r="E71" s="448">
        <f>SUM(E67:E70)</f>
        <v>292762203</v>
      </c>
      <c r="F71" s="448">
        <f>SUM(F67:F70)</f>
        <v>1255434624</v>
      </c>
      <c r="G71" s="405"/>
      <c r="H71" s="405"/>
      <c r="I71" s="405"/>
      <c r="J71" s="405"/>
      <c r="K71" s="344"/>
      <c r="L71" s="344"/>
      <c r="M71" s="344"/>
      <c r="N71" s="344"/>
      <c r="O71" s="344"/>
      <c r="P71" s="344"/>
      <c r="Q71" s="344"/>
      <c r="R71" s="344"/>
      <c r="S71" s="405"/>
      <c r="T71" s="453" t="s">
        <v>364</v>
      </c>
      <c r="U71" s="405"/>
      <c r="V71" s="453"/>
      <c r="W71" s="448">
        <f>SUM(W67:W70)</f>
        <v>965116337</v>
      </c>
      <c r="X71" s="448">
        <f>SUM(X67:X70)</f>
        <v>315473040</v>
      </c>
      <c r="Y71" s="448">
        <f>SUM(Y67:Y70)</f>
        <v>1280589377</v>
      </c>
      <c r="Z71" s="389"/>
      <c r="AA71" s="448">
        <f>SUM(AA67:AA70)</f>
        <v>2443916</v>
      </c>
      <c r="AB71" s="448">
        <f>SUM(AB67:AB70)</f>
        <v>22710837</v>
      </c>
      <c r="AC71" s="448">
        <f>SUM(AC67:AC70)</f>
        <v>25154753</v>
      </c>
    </row>
    <row r="72" spans="1:29" ht="12.75">
      <c r="A72" s="405"/>
      <c r="B72" s="405"/>
      <c r="C72" s="453"/>
      <c r="D72" s="448"/>
      <c r="E72" s="448"/>
      <c r="F72" s="448"/>
      <c r="G72" s="405"/>
      <c r="H72" s="405"/>
      <c r="I72" s="405"/>
      <c r="J72" s="405"/>
      <c r="K72" s="405"/>
      <c r="L72" s="344"/>
      <c r="M72" s="344"/>
      <c r="N72" s="344"/>
      <c r="O72" s="344"/>
      <c r="P72" s="344"/>
      <c r="Q72" s="344"/>
      <c r="R72" s="344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344"/>
    </row>
    <row r="73" spans="1:29" ht="12.75">
      <c r="A73" s="405"/>
      <c r="B73" s="405"/>
      <c r="C73" s="447" t="s">
        <v>104</v>
      </c>
      <c r="D73" s="448"/>
      <c r="E73" s="448"/>
      <c r="F73" s="448"/>
      <c r="G73" s="405"/>
      <c r="H73" s="405"/>
      <c r="I73" s="405"/>
      <c r="J73" s="405"/>
      <c r="K73" s="405"/>
      <c r="L73" s="344"/>
      <c r="M73" s="344"/>
      <c r="N73" s="344"/>
      <c r="O73" s="344"/>
      <c r="P73" s="344"/>
      <c r="Q73" s="344"/>
      <c r="R73" s="344"/>
      <c r="S73" s="405"/>
      <c r="T73" s="447" t="s">
        <v>104</v>
      </c>
      <c r="U73" s="454"/>
      <c r="V73" s="447"/>
      <c r="W73" s="455"/>
      <c r="X73" s="455"/>
      <c r="Y73" s="405"/>
      <c r="Z73" s="405"/>
      <c r="AA73" s="405"/>
      <c r="AB73" s="405"/>
      <c r="AC73" s="344"/>
    </row>
    <row r="74" spans="1:29" ht="12.75">
      <c r="A74" s="405"/>
      <c r="B74" s="405"/>
      <c r="C74" s="405" t="s">
        <v>102</v>
      </c>
      <c r="D74" s="448">
        <f>SUM(D27)</f>
        <v>270247451</v>
      </c>
      <c r="E74" s="448">
        <f>SUM(E27)</f>
        <v>633001001</v>
      </c>
      <c r="F74" s="448">
        <f>SUM(D74:E74)</f>
        <v>903248452</v>
      </c>
      <c r="G74" s="405"/>
      <c r="H74" s="405"/>
      <c r="I74" s="405"/>
      <c r="J74" s="405"/>
      <c r="K74" s="405"/>
      <c r="L74" s="344"/>
      <c r="M74" s="344"/>
      <c r="N74" s="344"/>
      <c r="O74" s="344"/>
      <c r="P74" s="344"/>
      <c r="Q74" s="344"/>
      <c r="R74" s="344"/>
      <c r="S74" s="405"/>
      <c r="T74" s="405" t="s">
        <v>102</v>
      </c>
      <c r="U74" s="405"/>
      <c r="V74" s="405"/>
      <c r="W74" s="448">
        <f>SUM(X27)</f>
        <v>264539298</v>
      </c>
      <c r="X74" s="448">
        <f>Y27</f>
        <v>644766055</v>
      </c>
      <c r="Y74" s="448">
        <f>SUM(W74:X74)</f>
        <v>909305353</v>
      </c>
      <c r="Z74" s="389"/>
      <c r="AA74" s="448">
        <f aca="true" t="shared" si="1" ref="AA74:AB77">W74-D74</f>
        <v>-5708153</v>
      </c>
      <c r="AB74" s="448">
        <f t="shared" si="1"/>
        <v>11765054</v>
      </c>
      <c r="AC74" s="389">
        <f>SUM(AA74:AB74)</f>
        <v>6056901</v>
      </c>
    </row>
    <row r="75" spans="1:29" ht="12.75">
      <c r="A75" s="405"/>
      <c r="B75" s="405"/>
      <c r="C75" s="405" t="s">
        <v>371</v>
      </c>
      <c r="D75" s="448">
        <f>D37</f>
        <v>8450747</v>
      </c>
      <c r="E75" s="448">
        <v>0</v>
      </c>
      <c r="F75" s="448">
        <f>SUM(D75:E75)</f>
        <v>8450747</v>
      </c>
      <c r="G75" s="405"/>
      <c r="H75" s="405"/>
      <c r="I75" s="405"/>
      <c r="J75" s="405"/>
      <c r="K75" s="405"/>
      <c r="L75" s="344"/>
      <c r="M75" s="344"/>
      <c r="N75" s="344"/>
      <c r="O75" s="344"/>
      <c r="P75" s="344"/>
      <c r="Q75" s="344"/>
      <c r="R75" s="344"/>
      <c r="S75" s="405"/>
      <c r="T75" s="405" t="s">
        <v>371</v>
      </c>
      <c r="U75" s="405"/>
      <c r="V75" s="405"/>
      <c r="W75" s="448">
        <f>SUM(X37)</f>
        <v>0</v>
      </c>
      <c r="X75" s="448">
        <v>0</v>
      </c>
      <c r="Y75" s="448">
        <f>SUM(W75:X75)</f>
        <v>0</v>
      </c>
      <c r="Z75" s="389"/>
      <c r="AA75" s="448">
        <f t="shared" si="1"/>
        <v>-8450747</v>
      </c>
      <c r="AB75" s="448">
        <f t="shared" si="1"/>
        <v>0</v>
      </c>
      <c r="AC75" s="389">
        <f>SUM(AA75:AB75)</f>
        <v>-8450747</v>
      </c>
    </row>
    <row r="76" spans="1:29" ht="12.75">
      <c r="A76" s="405"/>
      <c r="B76" s="405"/>
      <c r="C76" s="405" t="s">
        <v>760</v>
      </c>
      <c r="D76" s="448">
        <f>SUM(D44)</f>
        <v>11862203</v>
      </c>
      <c r="E76" s="448">
        <f>SUM(E44)</f>
        <v>0</v>
      </c>
      <c r="F76" s="448">
        <f>SUM(D76:E76)</f>
        <v>11862203</v>
      </c>
      <c r="G76" s="405"/>
      <c r="H76" s="405"/>
      <c r="I76" s="405"/>
      <c r="J76" s="405"/>
      <c r="K76" s="405"/>
      <c r="L76" s="344"/>
      <c r="M76" s="344"/>
      <c r="N76" s="344"/>
      <c r="O76" s="344"/>
      <c r="P76" s="344"/>
      <c r="Q76" s="344"/>
      <c r="R76" s="344"/>
      <c r="S76" s="405"/>
      <c r="T76" s="405" t="s">
        <v>771</v>
      </c>
      <c r="U76" s="405"/>
      <c r="V76" s="405"/>
      <c r="W76" s="448">
        <f>X44</f>
        <v>5642681</v>
      </c>
      <c r="X76" s="448">
        <f>Y44</f>
        <v>0</v>
      </c>
      <c r="Y76" s="448">
        <f>SUM(W76:X76)</f>
        <v>5642681</v>
      </c>
      <c r="Z76" s="389"/>
      <c r="AA76" s="448">
        <f>W76-D76</f>
        <v>-6219522</v>
      </c>
      <c r="AB76" s="448">
        <f>X76-E76</f>
        <v>0</v>
      </c>
      <c r="AC76" s="389">
        <f>SUM(AA76:AB76)</f>
        <v>-6219522</v>
      </c>
    </row>
    <row r="77" spans="1:29" ht="12.75">
      <c r="A77" s="405"/>
      <c r="B77" s="405"/>
      <c r="C77" s="450" t="s">
        <v>103</v>
      </c>
      <c r="D77" s="451">
        <f>SUM(D60)</f>
        <v>24644277</v>
      </c>
      <c r="E77" s="451">
        <f>E60</f>
        <v>111425</v>
      </c>
      <c r="F77" s="451">
        <f>SUM(D77:E77)</f>
        <v>24755702</v>
      </c>
      <c r="G77" s="405"/>
      <c r="H77" s="405"/>
      <c r="I77" s="405"/>
      <c r="J77" s="405"/>
      <c r="K77" s="405"/>
      <c r="L77" s="344"/>
      <c r="M77" s="344"/>
      <c r="N77" s="344"/>
      <c r="O77" s="344"/>
      <c r="P77" s="344"/>
      <c r="Q77" s="344"/>
      <c r="R77" s="344"/>
      <c r="S77" s="405"/>
      <c r="T77" s="450" t="s">
        <v>103</v>
      </c>
      <c r="U77" s="452"/>
      <c r="V77" s="452"/>
      <c r="W77" s="451">
        <f>SUM(X60)</f>
        <v>20525702</v>
      </c>
      <c r="X77" s="451">
        <v>0</v>
      </c>
      <c r="Y77" s="451">
        <f>SUM(W77:X77)</f>
        <v>20525702</v>
      </c>
      <c r="Z77" s="389"/>
      <c r="AA77" s="451">
        <f t="shared" si="1"/>
        <v>-4118575</v>
      </c>
      <c r="AB77" s="451">
        <f t="shared" si="1"/>
        <v>-111425</v>
      </c>
      <c r="AC77" s="451">
        <f>SUM(AA77:AB77)</f>
        <v>-4230000</v>
      </c>
    </row>
    <row r="78" spans="1:29" ht="12.75">
      <c r="A78" s="405"/>
      <c r="B78" s="405"/>
      <c r="C78" s="453" t="s">
        <v>364</v>
      </c>
      <c r="D78" s="448">
        <f>SUM(D74:D77)</f>
        <v>315204678</v>
      </c>
      <c r="E78" s="448">
        <f>SUM(E74:E77)</f>
        <v>633112426</v>
      </c>
      <c r="F78" s="448">
        <f>SUM(F74:F77)</f>
        <v>948317104</v>
      </c>
      <c r="G78" s="405"/>
      <c r="H78" s="405"/>
      <c r="I78" s="405"/>
      <c r="J78" s="405"/>
      <c r="K78" s="405"/>
      <c r="L78" s="344"/>
      <c r="M78" s="344"/>
      <c r="N78" s="344"/>
      <c r="O78" s="344"/>
      <c r="P78" s="344"/>
      <c r="Q78" s="344"/>
      <c r="R78" s="344"/>
      <c r="S78" s="405"/>
      <c r="T78" s="453" t="s">
        <v>364</v>
      </c>
      <c r="U78" s="405"/>
      <c r="V78" s="453"/>
      <c r="W78" s="448">
        <f>SUM(W74:W77)</f>
        <v>290707681</v>
      </c>
      <c r="X78" s="448">
        <f>SUM(X74:X77)</f>
        <v>644766055</v>
      </c>
      <c r="Y78" s="448">
        <f>SUM(Y74:Y77)</f>
        <v>935473736</v>
      </c>
      <c r="Z78" s="389"/>
      <c r="AA78" s="448">
        <f>SUM(AA74:AA77)</f>
        <v>-24496997</v>
      </c>
      <c r="AB78" s="448">
        <f>SUM(AB74:AB77)</f>
        <v>11653629</v>
      </c>
      <c r="AC78" s="448">
        <f>SUM(AC74:AC77)</f>
        <v>-12843368</v>
      </c>
    </row>
    <row r="79" spans="1:29" ht="12.75">
      <c r="A79" s="405"/>
      <c r="B79" s="405"/>
      <c r="C79" s="453"/>
      <c r="D79" s="448"/>
      <c r="E79" s="448"/>
      <c r="F79" s="448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344"/>
      <c r="AA79" s="448"/>
      <c r="AB79" s="448"/>
      <c r="AC79" s="344"/>
    </row>
    <row r="80" spans="1:29" ht="12.75">
      <c r="A80" s="405"/>
      <c r="B80" s="405"/>
      <c r="C80" s="447" t="s">
        <v>105</v>
      </c>
      <c r="D80" s="448"/>
      <c r="E80" s="448"/>
      <c r="F80" s="448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47" t="s">
        <v>105</v>
      </c>
      <c r="U80" s="405"/>
      <c r="V80" s="447"/>
      <c r="W80" s="405"/>
      <c r="X80" s="405"/>
      <c r="Y80" s="405"/>
      <c r="Z80" s="344"/>
      <c r="AA80" s="448"/>
      <c r="AB80" s="448"/>
      <c r="AC80" s="344"/>
    </row>
    <row r="81" spans="1:29" ht="12.75">
      <c r="A81" s="405"/>
      <c r="B81" s="405"/>
      <c r="C81" s="405" t="s">
        <v>102</v>
      </c>
      <c r="D81" s="448">
        <f>SUM(D22)</f>
        <v>12311385</v>
      </c>
      <c r="E81" s="448">
        <f>SUM(E22)</f>
        <v>0</v>
      </c>
      <c r="F81" s="448">
        <f>SUM(D81:E81)</f>
        <v>12311385</v>
      </c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 t="s">
        <v>102</v>
      </c>
      <c r="U81" s="405"/>
      <c r="V81" s="405"/>
      <c r="W81" s="448">
        <f>SUM(X22)</f>
        <v>0</v>
      </c>
      <c r="X81" s="448">
        <v>0</v>
      </c>
      <c r="Y81" s="448">
        <f>SUM(W81:X81)</f>
        <v>0</v>
      </c>
      <c r="Z81" s="389"/>
      <c r="AA81" s="448">
        <f aca="true" t="shared" si="2" ref="AA81:AB84">W81-D81</f>
        <v>-12311385</v>
      </c>
      <c r="AB81" s="448">
        <f t="shared" si="2"/>
        <v>0</v>
      </c>
      <c r="AC81" s="389">
        <f>SUM(AA81:AB81)</f>
        <v>-12311385</v>
      </c>
    </row>
    <row r="82" spans="1:29" ht="12.75">
      <c r="A82" s="405"/>
      <c r="B82" s="405"/>
      <c r="C82" s="405" t="s">
        <v>371</v>
      </c>
      <c r="D82" s="448">
        <v>0</v>
      </c>
      <c r="E82" s="448">
        <v>0</v>
      </c>
      <c r="F82" s="448">
        <f>SUM(D82:E82)</f>
        <v>0</v>
      </c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 t="s">
        <v>371</v>
      </c>
      <c r="U82" s="405"/>
      <c r="V82" s="405"/>
      <c r="W82" s="448">
        <v>0</v>
      </c>
      <c r="X82" s="448">
        <v>0</v>
      </c>
      <c r="Y82" s="448">
        <f>SUM(W82:X82)</f>
        <v>0</v>
      </c>
      <c r="Z82" s="389"/>
      <c r="AA82" s="448">
        <f t="shared" si="2"/>
        <v>0</v>
      </c>
      <c r="AB82" s="448">
        <f t="shared" si="2"/>
        <v>0</v>
      </c>
      <c r="AC82" s="389">
        <f>SUM(AA82:AB82)</f>
        <v>0</v>
      </c>
    </row>
    <row r="83" spans="1:29" ht="12.75">
      <c r="A83" s="405"/>
      <c r="B83" s="405"/>
      <c r="C83" s="405" t="s">
        <v>760</v>
      </c>
      <c r="D83" s="448">
        <v>0</v>
      </c>
      <c r="E83" s="448">
        <v>0</v>
      </c>
      <c r="F83" s="448">
        <f>SUM(D83:E83)</f>
        <v>0</v>
      </c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 t="s">
        <v>771</v>
      </c>
      <c r="U83" s="405"/>
      <c r="V83" s="405"/>
      <c r="W83" s="448">
        <v>0</v>
      </c>
      <c r="X83" s="448">
        <v>0</v>
      </c>
      <c r="Y83" s="448">
        <f>SUM(W83:X83)</f>
        <v>0</v>
      </c>
      <c r="Z83" s="389"/>
      <c r="AA83" s="448">
        <f>W83-D83</f>
        <v>0</v>
      </c>
      <c r="AB83" s="448">
        <f>X83-E83</f>
        <v>0</v>
      </c>
      <c r="AC83" s="389">
        <f>SUM(AA83:AB83)</f>
        <v>0</v>
      </c>
    </row>
    <row r="84" spans="1:29" ht="12.75">
      <c r="A84" s="405"/>
      <c r="B84" s="405"/>
      <c r="C84" s="450" t="s">
        <v>103</v>
      </c>
      <c r="D84" s="451">
        <v>0</v>
      </c>
      <c r="E84" s="451">
        <v>0</v>
      </c>
      <c r="F84" s="451">
        <f>SUM(D84:E84)</f>
        <v>0</v>
      </c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50" t="s">
        <v>103</v>
      </c>
      <c r="U84" s="452"/>
      <c r="V84" s="452"/>
      <c r="W84" s="451">
        <v>0</v>
      </c>
      <c r="X84" s="451">
        <v>0</v>
      </c>
      <c r="Y84" s="451">
        <f>SUM(W84:X84)</f>
        <v>0</v>
      </c>
      <c r="Z84" s="389"/>
      <c r="AA84" s="451">
        <f t="shared" si="2"/>
        <v>0</v>
      </c>
      <c r="AB84" s="451">
        <f t="shared" si="2"/>
        <v>0</v>
      </c>
      <c r="AC84" s="451">
        <f>SUM(AA84:AB84)</f>
        <v>0</v>
      </c>
    </row>
    <row r="85" spans="1:29" ht="12.75">
      <c r="A85" s="405"/>
      <c r="B85" s="405"/>
      <c r="C85" s="453" t="s">
        <v>364</v>
      </c>
      <c r="D85" s="448">
        <f>SUM(D81:D84)</f>
        <v>12311385</v>
      </c>
      <c r="E85" s="448">
        <f>SUM(E81:E84)</f>
        <v>0</v>
      </c>
      <c r="F85" s="448">
        <f>SUM(F81:F84)</f>
        <v>12311385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53" t="s">
        <v>364</v>
      </c>
      <c r="U85" s="405"/>
      <c r="V85" s="453"/>
      <c r="W85" s="448">
        <f>SUM(W81:W84)</f>
        <v>0</v>
      </c>
      <c r="X85" s="448">
        <f>SUM(X81:X84)</f>
        <v>0</v>
      </c>
      <c r="Y85" s="448">
        <f>SUM(Y81:Y84)</f>
        <v>0</v>
      </c>
      <c r="Z85" s="389"/>
      <c r="AA85" s="448">
        <f>SUM(AA81:AA84)</f>
        <v>-12311385</v>
      </c>
      <c r="AB85" s="448">
        <f>SUM(AB81:AB84)</f>
        <v>0</v>
      </c>
      <c r="AC85" s="448">
        <f>SUM(AC81:AC84)</f>
        <v>-12311385</v>
      </c>
    </row>
    <row r="86" spans="1:29" ht="12.75">
      <c r="A86" s="405"/>
      <c r="B86" s="405"/>
      <c r="C86" s="453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344"/>
      <c r="AA86" s="448"/>
      <c r="AB86" s="448"/>
      <c r="AC86" s="344"/>
    </row>
    <row r="87" spans="1:29" ht="12.75">
      <c r="A87" s="405"/>
      <c r="B87" s="405"/>
      <c r="C87" s="456" t="s">
        <v>106</v>
      </c>
      <c r="D87" s="457">
        <f>SUM(D85,D78,D71)</f>
        <v>1290188484</v>
      </c>
      <c r="E87" s="457">
        <f>SUM(E85,E78,E71)</f>
        <v>925874629</v>
      </c>
      <c r="F87" s="457">
        <f>SUM(F85,F78,F71)</f>
        <v>2216063113</v>
      </c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 t="s">
        <v>106</v>
      </c>
      <c r="U87" s="456"/>
      <c r="V87" s="456"/>
      <c r="W87" s="457">
        <f>SUM(W85,W78,W71)</f>
        <v>1255824018</v>
      </c>
      <c r="X87" s="457">
        <f>SUM(X85,X78,X71)</f>
        <v>960239095</v>
      </c>
      <c r="Y87" s="457">
        <f>SUM(Y85,Y78,Y71)</f>
        <v>2216063113</v>
      </c>
      <c r="Z87" s="325"/>
      <c r="AA87" s="457">
        <f>SUM(AA85,AA78,AA71)</f>
        <v>-34364466</v>
      </c>
      <c r="AB87" s="457">
        <f>SUM(AB85,AB78,AB71)</f>
        <v>34364466</v>
      </c>
      <c r="AC87" s="457">
        <f>SUM(AC85,AC78,AC71)</f>
        <v>0</v>
      </c>
    </row>
    <row r="88" spans="1:29" ht="12.75">
      <c r="A88" s="456"/>
      <c r="B88" s="456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344"/>
    </row>
    <row r="89" spans="1:29" ht="12.75">
      <c r="A89" s="405"/>
      <c r="B89" s="405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344"/>
    </row>
    <row r="90" spans="1:3" ht="12.75">
      <c r="A90" s="405"/>
      <c r="B90" s="405"/>
      <c r="C90" s="405"/>
    </row>
  </sheetData>
  <sheetProtection/>
  <mergeCells count="177">
    <mergeCell ref="H46:J46"/>
    <mergeCell ref="G54:I54"/>
    <mergeCell ref="AA39:AC39"/>
    <mergeCell ref="G41:I41"/>
    <mergeCell ref="X39:Z39"/>
    <mergeCell ref="G42:I42"/>
    <mergeCell ref="W41:W42"/>
    <mergeCell ref="G43:I43"/>
    <mergeCell ref="G39:K40"/>
    <mergeCell ref="G48:K49"/>
    <mergeCell ref="R43:U44"/>
    <mergeCell ref="K41:K42"/>
    <mergeCell ref="L45:O45"/>
    <mergeCell ref="K43:K45"/>
    <mergeCell ref="L39:Q40"/>
    <mergeCell ref="L41:O42"/>
    <mergeCell ref="P41:P42"/>
    <mergeCell ref="B42:C42"/>
    <mergeCell ref="A37:C37"/>
    <mergeCell ref="R41:U41"/>
    <mergeCell ref="Q41:Q42"/>
    <mergeCell ref="A39:C40"/>
    <mergeCell ref="D39:F39"/>
    <mergeCell ref="M38:P38"/>
    <mergeCell ref="S38:V38"/>
    <mergeCell ref="R42:U42"/>
    <mergeCell ref="R39:W40"/>
    <mergeCell ref="V66:W66"/>
    <mergeCell ref="Q50:Q58"/>
    <mergeCell ref="R50:U50"/>
    <mergeCell ref="R51:U51"/>
    <mergeCell ref="L43:O44"/>
    <mergeCell ref="Q59:Q60"/>
    <mergeCell ref="M46:P46"/>
    <mergeCell ref="S46:V46"/>
    <mergeCell ref="W43:W45"/>
    <mergeCell ref="W50:W58"/>
    <mergeCell ref="AA64:AC64"/>
    <mergeCell ref="L48:Q49"/>
    <mergeCell ref="W64:Y64"/>
    <mergeCell ref="S65:V65"/>
    <mergeCell ref="AA48:AC48"/>
    <mergeCell ref="M62:P62"/>
    <mergeCell ref="R48:W49"/>
    <mergeCell ref="L50:O50"/>
    <mergeCell ref="L51:O51"/>
    <mergeCell ref="R53:U53"/>
    <mergeCell ref="D64:F64"/>
    <mergeCell ref="S62:V62"/>
    <mergeCell ref="R54:U54"/>
    <mergeCell ref="M61:P61"/>
    <mergeCell ref="S61:V61"/>
    <mergeCell ref="G55:I55"/>
    <mergeCell ref="G56:I56"/>
    <mergeCell ref="L59:O59"/>
    <mergeCell ref="K50:K58"/>
    <mergeCell ref="G57:I57"/>
    <mergeCell ref="R52:U52"/>
    <mergeCell ref="D48:F48"/>
    <mergeCell ref="A62:C62"/>
    <mergeCell ref="A63:C63"/>
    <mergeCell ref="A53:C53"/>
    <mergeCell ref="A61:C61"/>
    <mergeCell ref="H62:J62"/>
    <mergeCell ref="L60:O60"/>
    <mergeCell ref="H61:J61"/>
    <mergeCell ref="A60:C60"/>
    <mergeCell ref="A46:C46"/>
    <mergeCell ref="A48:C49"/>
    <mergeCell ref="X48:Z48"/>
    <mergeCell ref="R60:U60"/>
    <mergeCell ref="G60:I60"/>
    <mergeCell ref="G50:I50"/>
    <mergeCell ref="G52:I52"/>
    <mergeCell ref="G51:I51"/>
    <mergeCell ref="G58:I58"/>
    <mergeCell ref="G53:I53"/>
    <mergeCell ref="A31:C32"/>
    <mergeCell ref="D31:F31"/>
    <mergeCell ref="G31:K32"/>
    <mergeCell ref="K28:K29"/>
    <mergeCell ref="A38:C38"/>
    <mergeCell ref="H38:J38"/>
    <mergeCell ref="K33:K36"/>
    <mergeCell ref="B36:C36"/>
    <mergeCell ref="G33:I34"/>
    <mergeCell ref="J33:J34"/>
    <mergeCell ref="A44:C44"/>
    <mergeCell ref="AA31:AC31"/>
    <mergeCell ref="R31:W32"/>
    <mergeCell ref="X31:Z31"/>
    <mergeCell ref="W8:W17"/>
    <mergeCell ref="B22:C22"/>
    <mergeCell ref="W18:W20"/>
    <mergeCell ref="W23:W27"/>
    <mergeCell ref="L9:O9"/>
    <mergeCell ref="G11:I11"/>
    <mergeCell ref="A27:C27"/>
    <mergeCell ref="L21:O21"/>
    <mergeCell ref="G17:I17"/>
    <mergeCell ref="G16:I16"/>
    <mergeCell ref="A30:C30"/>
    <mergeCell ref="H30:J30"/>
    <mergeCell ref="G21:I21"/>
    <mergeCell ref="G22:I22"/>
    <mergeCell ref="K23:K27"/>
    <mergeCell ref="K18:K20"/>
    <mergeCell ref="W28:W29"/>
    <mergeCell ref="R27:U27"/>
    <mergeCell ref="R24:U24"/>
    <mergeCell ref="R16:U16"/>
    <mergeCell ref="R26:U26"/>
    <mergeCell ref="Q21:Q22"/>
    <mergeCell ref="R20:U20"/>
    <mergeCell ref="R18:U18"/>
    <mergeCell ref="Q18:Q20"/>
    <mergeCell ref="R22:U22"/>
    <mergeCell ref="L6:Q7"/>
    <mergeCell ref="R6:W7"/>
    <mergeCell ref="D6:F6"/>
    <mergeCell ref="G6:K7"/>
    <mergeCell ref="R9:U9"/>
    <mergeCell ref="G10:I10"/>
    <mergeCell ref="Q8:Q17"/>
    <mergeCell ref="L17:O17"/>
    <mergeCell ref="R14:U14"/>
    <mergeCell ref="G8:I8"/>
    <mergeCell ref="G12:I12"/>
    <mergeCell ref="R8:U8"/>
    <mergeCell ref="L8:O8"/>
    <mergeCell ref="G9:I9"/>
    <mergeCell ref="L31:Q32"/>
    <mergeCell ref="S30:V30"/>
    <mergeCell ref="R17:U17"/>
    <mergeCell ref="L22:O22"/>
    <mergeCell ref="L29:O29"/>
    <mergeCell ref="G13:I13"/>
    <mergeCell ref="L13:O14"/>
    <mergeCell ref="A6:C7"/>
    <mergeCell ref="L12:O12"/>
    <mergeCell ref="G15:I15"/>
    <mergeCell ref="T1:AB1"/>
    <mergeCell ref="X6:Z6"/>
    <mergeCell ref="AA6:AC6"/>
    <mergeCell ref="K8:K17"/>
    <mergeCell ref="A3:AC3"/>
    <mergeCell ref="R15:U15"/>
    <mergeCell ref="K21:K22"/>
    <mergeCell ref="L16:O16"/>
    <mergeCell ref="L10:O10"/>
    <mergeCell ref="L27:O27"/>
    <mergeCell ref="L24:O24"/>
    <mergeCell ref="P13:P14"/>
    <mergeCell ref="L15:O15"/>
    <mergeCell ref="L25:O25"/>
    <mergeCell ref="L18:O18"/>
    <mergeCell ref="L20:O20"/>
    <mergeCell ref="G36:I36"/>
    <mergeCell ref="L33:O34"/>
    <mergeCell ref="R28:U28"/>
    <mergeCell ref="R35:U35"/>
    <mergeCell ref="R25:U25"/>
    <mergeCell ref="Q23:Q27"/>
    <mergeCell ref="L23:O23"/>
    <mergeCell ref="Q28:Q29"/>
    <mergeCell ref="R23:U23"/>
    <mergeCell ref="R33:U34"/>
    <mergeCell ref="W33:W36"/>
    <mergeCell ref="R37:U37"/>
    <mergeCell ref="L36:O36"/>
    <mergeCell ref="L26:O26"/>
    <mergeCell ref="R36:U36"/>
    <mergeCell ref="P33:P34"/>
    <mergeCell ref="V33:V34"/>
    <mergeCell ref="Q33:Q36"/>
    <mergeCell ref="M30:P30"/>
    <mergeCell ref="L28:O2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:M104"/>
    </sheetView>
  </sheetViews>
  <sheetFormatPr defaultColWidth="9.00390625" defaultRowHeight="12.75"/>
  <cols>
    <col min="1" max="1" width="64.375" style="0" bestFit="1" customWidth="1"/>
    <col min="14" max="14" width="9.125" style="149" customWidth="1"/>
  </cols>
  <sheetData>
    <row r="1" spans="8:13" ht="15">
      <c r="H1" s="1"/>
      <c r="I1" s="1"/>
      <c r="J1" s="1"/>
      <c r="K1" s="1"/>
      <c r="L1" s="1"/>
      <c r="M1" s="6" t="s">
        <v>1088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78" customFormat="1" ht="14.25" customHeight="1">
      <c r="A4" s="1229" t="s">
        <v>503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50"/>
    </row>
    <row r="5" spans="1:14" s="78" customFormat="1" ht="14.25" customHeight="1">
      <c r="A5" s="1229" t="s">
        <v>442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50"/>
    </row>
    <row r="6" spans="1:14" s="78" customFormat="1" ht="18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50"/>
    </row>
    <row r="7" spans="1:14" s="77" customFormat="1" ht="12.75">
      <c r="A7" s="135" t="s">
        <v>361</v>
      </c>
      <c r="B7" s="107" t="s">
        <v>346</v>
      </c>
      <c r="C7" s="107" t="s">
        <v>347</v>
      </c>
      <c r="D7" s="107" t="s">
        <v>348</v>
      </c>
      <c r="E7" s="107" t="s">
        <v>349</v>
      </c>
      <c r="F7" s="107" t="s">
        <v>350</v>
      </c>
      <c r="G7" s="107" t="s">
        <v>351</v>
      </c>
      <c r="H7" s="107" t="s">
        <v>352</v>
      </c>
      <c r="I7" s="107" t="s">
        <v>353</v>
      </c>
      <c r="J7" s="107" t="s">
        <v>354</v>
      </c>
      <c r="K7" s="107" t="s">
        <v>355</v>
      </c>
      <c r="L7" s="107" t="s">
        <v>356</v>
      </c>
      <c r="M7" s="107" t="s">
        <v>357</v>
      </c>
      <c r="N7" s="151"/>
    </row>
    <row r="8" spans="1:14" s="80" customFormat="1" ht="22.5" customHeight="1">
      <c r="A8" s="152" t="s">
        <v>732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11"/>
    </row>
    <row r="9" spans="1:14" s="592" customFormat="1" ht="20.25" customHeight="1">
      <c r="A9" s="589" t="s">
        <v>790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1"/>
    </row>
    <row r="10" spans="1:14" s="79" customFormat="1" ht="14.25" customHeight="1">
      <c r="A10" s="139" t="s">
        <v>860</v>
      </c>
      <c r="B10" s="109">
        <v>15</v>
      </c>
      <c r="C10" s="109">
        <v>15</v>
      </c>
      <c r="D10" s="109">
        <v>15</v>
      </c>
      <c r="E10" s="109">
        <v>15</v>
      </c>
      <c r="F10" s="109">
        <v>15</v>
      </c>
      <c r="G10" s="109">
        <v>15</v>
      </c>
      <c r="H10" s="109">
        <v>15</v>
      </c>
      <c r="I10" s="109">
        <v>15</v>
      </c>
      <c r="J10" s="109">
        <v>15</v>
      </c>
      <c r="K10" s="109">
        <v>15</v>
      </c>
      <c r="L10" s="109">
        <v>15</v>
      </c>
      <c r="M10" s="109">
        <v>15</v>
      </c>
      <c r="N10" s="157"/>
    </row>
    <row r="11" spans="1:14" s="79" customFormat="1" ht="14.25" customHeight="1">
      <c r="A11" s="139" t="s">
        <v>861</v>
      </c>
      <c r="B11" s="109">
        <v>1</v>
      </c>
      <c r="C11" s="109">
        <v>1</v>
      </c>
      <c r="D11" s="109">
        <v>1</v>
      </c>
      <c r="E11" s="109">
        <v>1</v>
      </c>
      <c r="F11" s="109">
        <v>1</v>
      </c>
      <c r="G11" s="109">
        <v>1</v>
      </c>
      <c r="H11" s="109">
        <v>1</v>
      </c>
      <c r="I11" s="109">
        <v>1</v>
      </c>
      <c r="J11" s="109">
        <v>1</v>
      </c>
      <c r="K11" s="109">
        <v>1</v>
      </c>
      <c r="L11" s="109">
        <v>1</v>
      </c>
      <c r="M11" s="109">
        <v>1</v>
      </c>
      <c r="N11" s="157"/>
    </row>
    <row r="12" spans="1:14" s="79" customFormat="1" ht="12.75">
      <c r="A12" s="139" t="s">
        <v>603</v>
      </c>
      <c r="B12" s="109">
        <v>1</v>
      </c>
      <c r="C12" s="109">
        <v>1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1</v>
      </c>
      <c r="K12" s="109">
        <v>1</v>
      </c>
      <c r="L12" s="109">
        <v>1</v>
      </c>
      <c r="M12" s="109">
        <v>1</v>
      </c>
      <c r="N12" s="157"/>
    </row>
    <row r="13" spans="1:14" s="79" customFormat="1" ht="12.75" customHeight="1">
      <c r="A13" s="139" t="s">
        <v>601</v>
      </c>
      <c r="B13" s="109">
        <v>2</v>
      </c>
      <c r="C13" s="109">
        <v>2</v>
      </c>
      <c r="D13" s="109">
        <v>2</v>
      </c>
      <c r="E13" s="109">
        <v>2</v>
      </c>
      <c r="F13" s="109">
        <v>2</v>
      </c>
      <c r="G13" s="109">
        <v>2</v>
      </c>
      <c r="H13" s="109">
        <v>2</v>
      </c>
      <c r="I13" s="109">
        <v>2</v>
      </c>
      <c r="J13" s="109">
        <v>2</v>
      </c>
      <c r="K13" s="109">
        <v>2</v>
      </c>
      <c r="L13" s="109">
        <v>2</v>
      </c>
      <c r="M13" s="109">
        <v>2</v>
      </c>
      <c r="N13" s="157"/>
    </row>
    <row r="14" spans="1:14" s="79" customFormat="1" ht="12.75">
      <c r="A14" s="158" t="s">
        <v>602</v>
      </c>
      <c r="B14" s="109">
        <v>8</v>
      </c>
      <c r="C14" s="109">
        <v>8</v>
      </c>
      <c r="D14" s="109">
        <v>8</v>
      </c>
      <c r="E14" s="109">
        <v>8</v>
      </c>
      <c r="F14" s="109">
        <v>8</v>
      </c>
      <c r="G14" s="109">
        <v>8</v>
      </c>
      <c r="H14" s="109">
        <v>8</v>
      </c>
      <c r="I14" s="109">
        <v>8</v>
      </c>
      <c r="J14" s="109">
        <v>8</v>
      </c>
      <c r="K14" s="109">
        <v>8</v>
      </c>
      <c r="L14" s="109">
        <v>8</v>
      </c>
      <c r="M14" s="109">
        <v>8</v>
      </c>
      <c r="N14" s="157"/>
    </row>
    <row r="15" spans="1:14" s="79" customFormat="1" ht="15" customHeight="1">
      <c r="A15" s="139" t="s">
        <v>923</v>
      </c>
      <c r="B15" s="109">
        <v>1</v>
      </c>
      <c r="C15" s="109">
        <v>1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1</v>
      </c>
      <c r="L15" s="109">
        <v>1</v>
      </c>
      <c r="M15" s="109">
        <v>1</v>
      </c>
      <c r="N15" s="157"/>
    </row>
    <row r="16" spans="1:14" s="592" customFormat="1" ht="20.25" customHeight="1">
      <c r="A16" s="589" t="s">
        <v>733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1"/>
    </row>
    <row r="17" spans="1:14" s="79" customFormat="1" ht="12.75">
      <c r="A17" s="139" t="s">
        <v>734</v>
      </c>
      <c r="B17" s="109">
        <v>1</v>
      </c>
      <c r="C17" s="109">
        <v>1</v>
      </c>
      <c r="D17" s="109">
        <v>1</v>
      </c>
      <c r="E17" s="109">
        <v>1</v>
      </c>
      <c r="F17" s="109">
        <v>1</v>
      </c>
      <c r="G17" s="109">
        <v>1</v>
      </c>
      <c r="H17" s="109">
        <v>1</v>
      </c>
      <c r="I17" s="109">
        <v>1</v>
      </c>
      <c r="J17" s="109">
        <v>1</v>
      </c>
      <c r="K17" s="109">
        <v>1</v>
      </c>
      <c r="L17" s="109">
        <v>1</v>
      </c>
      <c r="M17" s="109">
        <v>1</v>
      </c>
      <c r="N17" s="157"/>
    </row>
    <row r="18" spans="1:14" s="79" customFormat="1" ht="12.75">
      <c r="A18" s="139" t="s">
        <v>735</v>
      </c>
      <c r="B18" s="109">
        <v>1</v>
      </c>
      <c r="C18" s="109">
        <v>1</v>
      </c>
      <c r="D18" s="109">
        <v>1</v>
      </c>
      <c r="E18" s="109">
        <v>1</v>
      </c>
      <c r="F18" s="109">
        <v>1</v>
      </c>
      <c r="G18" s="109">
        <v>1</v>
      </c>
      <c r="H18" s="109">
        <v>1</v>
      </c>
      <c r="I18" s="109">
        <v>1</v>
      </c>
      <c r="J18" s="109">
        <v>1</v>
      </c>
      <c r="K18" s="109">
        <v>1</v>
      </c>
      <c r="L18" s="109">
        <v>1</v>
      </c>
      <c r="M18" s="109">
        <v>1</v>
      </c>
      <c r="N18" s="157"/>
    </row>
    <row r="19" spans="1:14" s="79" customFormat="1" ht="12.75">
      <c r="A19" s="139" t="s">
        <v>736</v>
      </c>
      <c r="B19" s="109">
        <v>1</v>
      </c>
      <c r="C19" s="109">
        <v>1</v>
      </c>
      <c r="D19" s="109">
        <v>1</v>
      </c>
      <c r="E19" s="109">
        <v>1</v>
      </c>
      <c r="F19" s="109">
        <v>1</v>
      </c>
      <c r="G19" s="109">
        <v>1</v>
      </c>
      <c r="H19" s="109">
        <v>1</v>
      </c>
      <c r="I19" s="109">
        <v>1</v>
      </c>
      <c r="J19" s="109">
        <v>1</v>
      </c>
      <c r="K19" s="109">
        <v>1</v>
      </c>
      <c r="L19" s="109">
        <v>1</v>
      </c>
      <c r="M19" s="109">
        <v>1</v>
      </c>
      <c r="N19" s="157"/>
    </row>
    <row r="20" spans="1:14" s="592" customFormat="1" ht="20.25" customHeight="1">
      <c r="A20" s="589" t="s">
        <v>606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1"/>
    </row>
    <row r="21" spans="1:14" s="79" customFormat="1" ht="12.75">
      <c r="A21" s="139" t="s">
        <v>737</v>
      </c>
      <c r="B21" s="109">
        <v>1</v>
      </c>
      <c r="C21" s="109">
        <v>1</v>
      </c>
      <c r="D21" s="109">
        <v>1</v>
      </c>
      <c r="E21" s="109">
        <v>1</v>
      </c>
      <c r="F21" s="109">
        <v>1</v>
      </c>
      <c r="G21" s="109">
        <v>1</v>
      </c>
      <c r="H21" s="109">
        <v>1</v>
      </c>
      <c r="I21" s="109">
        <v>1</v>
      </c>
      <c r="J21" s="109">
        <v>1</v>
      </c>
      <c r="K21" s="109">
        <v>1</v>
      </c>
      <c r="L21" s="109">
        <v>1</v>
      </c>
      <c r="M21" s="109">
        <v>1</v>
      </c>
      <c r="N21" s="157"/>
    </row>
    <row r="22" spans="1:14" s="79" customFormat="1" ht="12.75">
      <c r="A22" s="139" t="s">
        <v>738</v>
      </c>
      <c r="B22" s="109">
        <v>1</v>
      </c>
      <c r="C22" s="109">
        <v>1</v>
      </c>
      <c r="D22" s="109">
        <v>1</v>
      </c>
      <c r="E22" s="109">
        <v>1</v>
      </c>
      <c r="F22" s="109">
        <v>1</v>
      </c>
      <c r="G22" s="109">
        <v>1</v>
      </c>
      <c r="H22" s="109">
        <v>1</v>
      </c>
      <c r="I22" s="109">
        <v>1</v>
      </c>
      <c r="J22" s="109">
        <v>1</v>
      </c>
      <c r="K22" s="109">
        <v>1</v>
      </c>
      <c r="L22" s="109">
        <v>1</v>
      </c>
      <c r="M22" s="109">
        <v>1</v>
      </c>
      <c r="N22" s="157"/>
    </row>
    <row r="23" spans="1:14" s="592" customFormat="1" ht="27" customHeight="1">
      <c r="A23" s="589" t="s">
        <v>567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1"/>
    </row>
    <row r="24" spans="1:14" s="79" customFormat="1" ht="12.75">
      <c r="A24" s="139" t="s">
        <v>604</v>
      </c>
      <c r="B24" s="109">
        <v>1</v>
      </c>
      <c r="C24" s="109">
        <v>1</v>
      </c>
      <c r="D24" s="109">
        <v>1</v>
      </c>
      <c r="E24" s="109">
        <v>1</v>
      </c>
      <c r="F24" s="109">
        <v>1</v>
      </c>
      <c r="G24" s="109">
        <v>1</v>
      </c>
      <c r="H24" s="109">
        <v>1</v>
      </c>
      <c r="I24" s="109">
        <v>1</v>
      </c>
      <c r="J24" s="109">
        <v>1</v>
      </c>
      <c r="K24" s="109">
        <v>1</v>
      </c>
      <c r="L24" s="109">
        <v>1</v>
      </c>
      <c r="M24" s="109">
        <v>1</v>
      </c>
      <c r="N24" s="157"/>
    </row>
    <row r="25" spans="1:14" s="79" customFormat="1" ht="12.75">
      <c r="A25" s="139" t="s">
        <v>924</v>
      </c>
      <c r="B25" s="109">
        <v>3</v>
      </c>
      <c r="C25" s="109">
        <v>3</v>
      </c>
      <c r="D25" s="109">
        <v>3</v>
      </c>
      <c r="E25" s="109">
        <v>3</v>
      </c>
      <c r="F25" s="109">
        <v>3</v>
      </c>
      <c r="G25" s="109">
        <v>3</v>
      </c>
      <c r="H25" s="109">
        <v>3</v>
      </c>
      <c r="I25" s="109">
        <v>4</v>
      </c>
      <c r="J25" s="109">
        <v>4</v>
      </c>
      <c r="K25" s="109">
        <v>4</v>
      </c>
      <c r="L25" s="109">
        <v>4</v>
      </c>
      <c r="M25" s="109">
        <v>4</v>
      </c>
      <c r="N25" s="157"/>
    </row>
    <row r="26" spans="1:14" s="79" customFormat="1" ht="12.75">
      <c r="A26" s="139" t="s">
        <v>925</v>
      </c>
      <c r="B26" s="109">
        <v>2</v>
      </c>
      <c r="C26" s="109">
        <v>2</v>
      </c>
      <c r="D26" s="109">
        <v>2</v>
      </c>
      <c r="E26" s="109">
        <v>2</v>
      </c>
      <c r="F26" s="109">
        <v>2</v>
      </c>
      <c r="G26" s="109">
        <v>2</v>
      </c>
      <c r="H26" s="109">
        <v>2</v>
      </c>
      <c r="I26" s="109">
        <v>2</v>
      </c>
      <c r="J26" s="109">
        <v>2</v>
      </c>
      <c r="K26" s="109">
        <v>2</v>
      </c>
      <c r="L26" s="109">
        <v>2</v>
      </c>
      <c r="M26" s="109">
        <v>2</v>
      </c>
      <c r="N26" s="157"/>
    </row>
    <row r="27" spans="1:14" s="592" customFormat="1" ht="29.25" customHeight="1">
      <c r="A27" s="589" t="s">
        <v>687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1"/>
    </row>
    <row r="28" spans="1:14" s="79" customFormat="1" ht="15" customHeight="1">
      <c r="A28" s="139" t="s">
        <v>604</v>
      </c>
      <c r="B28" s="109">
        <v>1</v>
      </c>
      <c r="C28" s="109">
        <v>1</v>
      </c>
      <c r="D28" s="109">
        <v>1</v>
      </c>
      <c r="E28" s="109">
        <v>1</v>
      </c>
      <c r="F28" s="109">
        <v>1</v>
      </c>
      <c r="G28" s="109">
        <v>1</v>
      </c>
      <c r="H28" s="109">
        <v>1</v>
      </c>
      <c r="I28" s="109">
        <v>1</v>
      </c>
      <c r="J28" s="109">
        <v>1</v>
      </c>
      <c r="K28" s="109">
        <v>1</v>
      </c>
      <c r="L28" s="109">
        <v>1</v>
      </c>
      <c r="M28" s="109">
        <v>1</v>
      </c>
      <c r="N28" s="157"/>
    </row>
    <row r="29" spans="1:14" s="79" customFormat="1" ht="15.75" customHeight="1">
      <c r="A29" s="139" t="s">
        <v>605</v>
      </c>
      <c r="B29" s="109">
        <v>2</v>
      </c>
      <c r="C29" s="109">
        <v>2</v>
      </c>
      <c r="D29" s="109">
        <v>2</v>
      </c>
      <c r="E29" s="109">
        <v>2</v>
      </c>
      <c r="F29" s="109">
        <v>2</v>
      </c>
      <c r="G29" s="109">
        <v>2</v>
      </c>
      <c r="H29" s="109">
        <v>2</v>
      </c>
      <c r="I29" s="109">
        <v>3</v>
      </c>
      <c r="J29" s="109">
        <v>3</v>
      </c>
      <c r="K29" s="109">
        <v>3</v>
      </c>
      <c r="L29" s="109">
        <v>3</v>
      </c>
      <c r="M29" s="109">
        <v>3</v>
      </c>
      <c r="N29" s="157"/>
    </row>
    <row r="30" spans="1:14" s="79" customFormat="1" ht="12.75">
      <c r="A30" s="139" t="s">
        <v>926</v>
      </c>
      <c r="B30" s="109">
        <v>0.5</v>
      </c>
      <c r="C30" s="109">
        <v>0.5</v>
      </c>
      <c r="D30" s="109">
        <v>0.5</v>
      </c>
      <c r="E30" s="109">
        <v>0.5</v>
      </c>
      <c r="F30" s="109">
        <v>0.5</v>
      </c>
      <c r="G30" s="109">
        <v>0.5</v>
      </c>
      <c r="H30" s="109">
        <v>0.5</v>
      </c>
      <c r="I30" s="109">
        <v>0.5</v>
      </c>
      <c r="J30" s="109">
        <v>0.5</v>
      </c>
      <c r="K30" s="109">
        <v>0.5</v>
      </c>
      <c r="L30" s="109">
        <v>0.5</v>
      </c>
      <c r="M30" s="109">
        <v>0.5</v>
      </c>
      <c r="N30" s="157"/>
    </row>
    <row r="31" spans="1:14" s="772" customFormat="1" ht="25.5">
      <c r="A31" s="461" t="s">
        <v>842</v>
      </c>
      <c r="B31" s="462">
        <v>2</v>
      </c>
      <c r="C31" s="462">
        <v>2</v>
      </c>
      <c r="D31" s="462">
        <v>2</v>
      </c>
      <c r="E31" s="462">
        <v>2</v>
      </c>
      <c r="F31" s="462">
        <v>2</v>
      </c>
      <c r="G31" s="462">
        <v>2</v>
      </c>
      <c r="H31" s="462">
        <v>2</v>
      </c>
      <c r="I31" s="462">
        <v>0</v>
      </c>
      <c r="J31" s="462">
        <v>0</v>
      </c>
      <c r="K31" s="462">
        <v>0</v>
      </c>
      <c r="L31" s="462">
        <v>0</v>
      </c>
      <c r="M31" s="462">
        <v>0</v>
      </c>
      <c r="N31" s="771"/>
    </row>
    <row r="32" spans="1:14" ht="25.5">
      <c r="A32" s="153" t="s">
        <v>839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/>
    </row>
    <row r="33" spans="1:14" ht="12.75">
      <c r="A33" s="138" t="s">
        <v>964</v>
      </c>
      <c r="B33" s="147">
        <v>2</v>
      </c>
      <c r="C33" s="147">
        <v>2</v>
      </c>
      <c r="D33" s="147">
        <v>2</v>
      </c>
      <c r="E33" s="147">
        <v>2</v>
      </c>
      <c r="F33" s="147">
        <v>2</v>
      </c>
      <c r="G33" s="147">
        <v>2</v>
      </c>
      <c r="H33" s="147">
        <v>2</v>
      </c>
      <c r="I33" s="147">
        <v>2</v>
      </c>
      <c r="J33" s="147">
        <v>2</v>
      </c>
      <c r="K33" s="147">
        <v>2</v>
      </c>
      <c r="L33" s="147">
        <v>2</v>
      </c>
      <c r="M33" s="147">
        <v>2</v>
      </c>
      <c r="N33"/>
    </row>
    <row r="34" spans="1:14" ht="12.75">
      <c r="A34" s="138" t="s">
        <v>967</v>
      </c>
      <c r="B34" s="147">
        <v>0.2</v>
      </c>
      <c r="C34" s="147">
        <v>0.2</v>
      </c>
      <c r="D34" s="147">
        <v>0.2</v>
      </c>
      <c r="E34" s="147">
        <v>0.2</v>
      </c>
      <c r="F34" s="147">
        <v>0.2</v>
      </c>
      <c r="G34" s="147">
        <v>0.2</v>
      </c>
      <c r="H34" s="147">
        <v>0.2</v>
      </c>
      <c r="I34" s="147">
        <v>0.2</v>
      </c>
      <c r="J34" s="147">
        <v>0.2</v>
      </c>
      <c r="K34" s="147">
        <v>0.2</v>
      </c>
      <c r="L34" s="147">
        <v>0.2</v>
      </c>
      <c r="M34" s="147">
        <v>0.2</v>
      </c>
      <c r="N34"/>
    </row>
    <row r="35" spans="1:17" ht="12.75">
      <c r="A35" s="138" t="s">
        <v>968</v>
      </c>
      <c r="B35" s="147">
        <v>0.05</v>
      </c>
      <c r="C35" s="147">
        <v>0.05</v>
      </c>
      <c r="D35" s="147">
        <v>0.05</v>
      </c>
      <c r="E35" s="147">
        <v>0.05</v>
      </c>
      <c r="F35" s="147">
        <v>0.05</v>
      </c>
      <c r="G35" s="147">
        <v>0.05</v>
      </c>
      <c r="H35" s="147">
        <v>0.05</v>
      </c>
      <c r="I35" s="147">
        <v>0.05</v>
      </c>
      <c r="J35" s="147">
        <v>0.05</v>
      </c>
      <c r="K35" s="147">
        <v>0.05</v>
      </c>
      <c r="L35" s="147">
        <v>0.05</v>
      </c>
      <c r="M35" s="147">
        <v>0.05</v>
      </c>
      <c r="N35"/>
      <c r="Q35">
        <f>SUM(M33:M41)</f>
        <v>3.8249999999999997</v>
      </c>
    </row>
    <row r="36" spans="1:14" ht="12.75">
      <c r="A36" s="138" t="s">
        <v>960</v>
      </c>
      <c r="B36" s="147">
        <v>0.15</v>
      </c>
      <c r="C36" s="147">
        <v>0.15</v>
      </c>
      <c r="D36" s="147">
        <v>0.15</v>
      </c>
      <c r="E36" s="147">
        <v>0.15</v>
      </c>
      <c r="F36" s="147">
        <v>0.15</v>
      </c>
      <c r="G36" s="147">
        <v>0.15</v>
      </c>
      <c r="H36" s="147">
        <v>0.15</v>
      </c>
      <c r="I36" s="147">
        <v>0.15</v>
      </c>
      <c r="J36" s="147">
        <v>0.15</v>
      </c>
      <c r="K36" s="147">
        <v>0.15</v>
      </c>
      <c r="L36" s="147">
        <v>0.15</v>
      </c>
      <c r="M36" s="147">
        <v>0.15</v>
      </c>
      <c r="N36"/>
    </row>
    <row r="37" spans="1:14" ht="12.75">
      <c r="A37" s="138" t="s">
        <v>961</v>
      </c>
      <c r="B37" s="147">
        <v>0.15</v>
      </c>
      <c r="C37" s="147">
        <v>0.15</v>
      </c>
      <c r="D37" s="147">
        <v>0.15</v>
      </c>
      <c r="E37" s="147">
        <v>0.15</v>
      </c>
      <c r="F37" s="147">
        <v>0.15</v>
      </c>
      <c r="G37" s="147">
        <v>0.15</v>
      </c>
      <c r="H37" s="147">
        <v>0.15</v>
      </c>
      <c r="I37" s="147">
        <v>0.15</v>
      </c>
      <c r="J37" s="147">
        <v>0.15</v>
      </c>
      <c r="K37" s="147">
        <v>0.15</v>
      </c>
      <c r="L37" s="147">
        <v>0.15</v>
      </c>
      <c r="M37" s="147">
        <v>0.15</v>
      </c>
      <c r="N37"/>
    </row>
    <row r="38" spans="1:14" ht="12.75">
      <c r="A38" s="138" t="s">
        <v>962</v>
      </c>
      <c r="B38" s="147">
        <v>0.5</v>
      </c>
      <c r="C38" s="147">
        <v>0.5</v>
      </c>
      <c r="D38" s="147">
        <v>0.5</v>
      </c>
      <c r="E38" s="147">
        <v>0.5</v>
      </c>
      <c r="F38" s="147">
        <v>0.5</v>
      </c>
      <c r="G38" s="147">
        <v>0.5</v>
      </c>
      <c r="H38" s="147">
        <v>0.5</v>
      </c>
      <c r="I38" s="147">
        <v>0.5</v>
      </c>
      <c r="J38" s="147">
        <v>0.5</v>
      </c>
      <c r="K38" s="147">
        <v>0.5</v>
      </c>
      <c r="L38" s="147">
        <v>0.5</v>
      </c>
      <c r="M38" s="147">
        <v>0.5</v>
      </c>
      <c r="N38"/>
    </row>
    <row r="39" spans="1:14" ht="12.75">
      <c r="A39" s="138" t="s">
        <v>963</v>
      </c>
      <c r="B39" s="147">
        <v>0.025</v>
      </c>
      <c r="C39" s="147">
        <v>0.025</v>
      </c>
      <c r="D39" s="147">
        <v>0.025</v>
      </c>
      <c r="E39" s="147">
        <v>0.025</v>
      </c>
      <c r="F39" s="147">
        <v>0.025</v>
      </c>
      <c r="G39" s="147">
        <v>0.025</v>
      </c>
      <c r="H39" s="147">
        <v>0.025</v>
      </c>
      <c r="I39" s="147">
        <v>0.025</v>
      </c>
      <c r="J39" s="147">
        <v>0.025</v>
      </c>
      <c r="K39" s="147">
        <v>0.025</v>
      </c>
      <c r="L39" s="147">
        <v>0.025</v>
      </c>
      <c r="M39" s="147">
        <v>0.025</v>
      </c>
      <c r="N39"/>
    </row>
    <row r="40" spans="1:14" ht="12.75">
      <c r="A40" s="138" t="s">
        <v>965</v>
      </c>
      <c r="B40" s="147">
        <v>0.25</v>
      </c>
      <c r="C40" s="147">
        <v>0.25</v>
      </c>
      <c r="D40" s="147">
        <v>0.25</v>
      </c>
      <c r="E40" s="147">
        <v>0.25</v>
      </c>
      <c r="F40" s="147">
        <v>0.25</v>
      </c>
      <c r="G40" s="147">
        <v>0.25</v>
      </c>
      <c r="H40" s="147">
        <v>0.25</v>
      </c>
      <c r="I40" s="147">
        <v>0.25</v>
      </c>
      <c r="J40" s="147">
        <v>0.25</v>
      </c>
      <c r="K40" s="147">
        <v>0.25</v>
      </c>
      <c r="L40" s="147">
        <v>0.25</v>
      </c>
      <c r="M40" s="147">
        <v>0.25</v>
      </c>
      <c r="N40"/>
    </row>
    <row r="41" spans="1:14" ht="12.75">
      <c r="A41" s="138" t="s">
        <v>966</v>
      </c>
      <c r="B41" s="147">
        <v>0.5</v>
      </c>
      <c r="C41" s="147">
        <v>0.5</v>
      </c>
      <c r="D41" s="147">
        <v>0.5</v>
      </c>
      <c r="E41" s="147">
        <v>0.5</v>
      </c>
      <c r="F41" s="147">
        <v>0.5</v>
      </c>
      <c r="G41" s="147">
        <v>0.5</v>
      </c>
      <c r="H41" s="147">
        <v>0.5</v>
      </c>
      <c r="I41" s="147">
        <v>0.5</v>
      </c>
      <c r="J41" s="147">
        <v>0.5</v>
      </c>
      <c r="K41" s="147">
        <v>0.5</v>
      </c>
      <c r="L41" s="147">
        <v>0.5</v>
      </c>
      <c r="M41" s="147">
        <v>0.5</v>
      </c>
      <c r="N41"/>
    </row>
    <row r="42" spans="1:14" s="132" customFormat="1" ht="25.5">
      <c r="A42" s="137" t="s">
        <v>759</v>
      </c>
      <c r="B42" s="131">
        <f aca="true" t="shared" si="0" ref="B42:M42">SUM(B10:B41)</f>
        <v>48.324999999999996</v>
      </c>
      <c r="C42" s="131">
        <f t="shared" si="0"/>
        <v>48.324999999999996</v>
      </c>
      <c r="D42" s="131">
        <f t="shared" si="0"/>
        <v>48.324999999999996</v>
      </c>
      <c r="E42" s="131">
        <f t="shared" si="0"/>
        <v>48.324999999999996</v>
      </c>
      <c r="F42" s="131">
        <f t="shared" si="0"/>
        <v>48.324999999999996</v>
      </c>
      <c r="G42" s="131">
        <f t="shared" si="0"/>
        <v>48.324999999999996</v>
      </c>
      <c r="H42" s="131">
        <f t="shared" si="0"/>
        <v>48.324999999999996</v>
      </c>
      <c r="I42" s="131">
        <f t="shared" si="0"/>
        <v>48.324999999999996</v>
      </c>
      <c r="J42" s="131">
        <f t="shared" si="0"/>
        <v>48.324999999999996</v>
      </c>
      <c r="K42" s="131">
        <f t="shared" si="0"/>
        <v>48.324999999999996</v>
      </c>
      <c r="L42" s="131">
        <f t="shared" si="0"/>
        <v>48.324999999999996</v>
      </c>
      <c r="M42" s="131">
        <f t="shared" si="0"/>
        <v>48.324999999999996</v>
      </c>
      <c r="N42" s="159"/>
    </row>
    <row r="43" spans="1:14" s="79" customFormat="1" ht="14.25" customHeight="1">
      <c r="A43" s="136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57"/>
    </row>
    <row r="44" spans="1:14" s="80" customFormat="1" ht="22.5" customHeight="1">
      <c r="A44" s="152" t="s">
        <v>371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1"/>
    </row>
    <row r="45" spans="1:14" s="79" customFormat="1" ht="12.75">
      <c r="A45" s="139" t="s">
        <v>419</v>
      </c>
      <c r="B45" s="109">
        <v>19</v>
      </c>
      <c r="C45" s="109">
        <v>19</v>
      </c>
      <c r="D45" s="109">
        <v>20</v>
      </c>
      <c r="E45" s="109">
        <v>19</v>
      </c>
      <c r="F45" s="109">
        <v>19</v>
      </c>
      <c r="G45" s="109">
        <v>19</v>
      </c>
      <c r="H45" s="109">
        <v>19</v>
      </c>
      <c r="I45" s="109">
        <v>19</v>
      </c>
      <c r="J45" s="109">
        <v>19</v>
      </c>
      <c r="K45" s="109">
        <v>20</v>
      </c>
      <c r="L45" s="109">
        <v>20</v>
      </c>
      <c r="M45" s="109">
        <v>20</v>
      </c>
      <c r="N45" s="157"/>
    </row>
    <row r="46" spans="1:14" s="79" customFormat="1" ht="12.75">
      <c r="A46" s="139" t="s">
        <v>739</v>
      </c>
      <c r="B46" s="109">
        <v>1</v>
      </c>
      <c r="C46" s="109">
        <v>1</v>
      </c>
      <c r="D46" s="109">
        <v>1</v>
      </c>
      <c r="E46" s="109">
        <v>2</v>
      </c>
      <c r="F46" s="109">
        <v>2</v>
      </c>
      <c r="G46" s="109">
        <v>2</v>
      </c>
      <c r="H46" s="109">
        <v>2</v>
      </c>
      <c r="I46" s="109">
        <v>2</v>
      </c>
      <c r="J46" s="109">
        <v>2</v>
      </c>
      <c r="K46" s="109">
        <v>1</v>
      </c>
      <c r="L46" s="109">
        <v>1</v>
      </c>
      <c r="M46" s="109">
        <v>1</v>
      </c>
      <c r="N46" s="157"/>
    </row>
    <row r="47" spans="1:14" s="80" customFormat="1" ht="21" customHeight="1">
      <c r="A47" s="137" t="s">
        <v>482</v>
      </c>
      <c r="B47" s="131">
        <f>SUM(B45:B46)</f>
        <v>20</v>
      </c>
      <c r="C47" s="131">
        <f aca="true" t="shared" si="1" ref="C47:M47">SUM(C45:C46)</f>
        <v>20</v>
      </c>
      <c r="D47" s="131">
        <f t="shared" si="1"/>
        <v>21</v>
      </c>
      <c r="E47" s="131">
        <f t="shared" si="1"/>
        <v>21</v>
      </c>
      <c r="F47" s="131">
        <f t="shared" si="1"/>
        <v>21</v>
      </c>
      <c r="G47" s="131">
        <f t="shared" si="1"/>
        <v>21</v>
      </c>
      <c r="H47" s="131">
        <f t="shared" si="1"/>
        <v>21</v>
      </c>
      <c r="I47" s="131">
        <f t="shared" si="1"/>
        <v>21</v>
      </c>
      <c r="J47" s="131">
        <f t="shared" si="1"/>
        <v>21</v>
      </c>
      <c r="K47" s="131">
        <f t="shared" si="1"/>
        <v>21</v>
      </c>
      <c r="L47" s="131">
        <f t="shared" si="1"/>
        <v>21</v>
      </c>
      <c r="M47" s="131">
        <f t="shared" si="1"/>
        <v>21</v>
      </c>
      <c r="N47" s="111"/>
    </row>
    <row r="48" spans="1:13" s="111" customFormat="1" ht="14.25" customHeight="1">
      <c r="A48" s="14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4" s="80" customFormat="1" ht="22.5" customHeight="1">
      <c r="A49" s="152" t="s">
        <v>441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1"/>
    </row>
    <row r="50" spans="1:14" s="156" customFormat="1" ht="22.5" customHeight="1">
      <c r="A50" s="153" t="s">
        <v>740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</row>
    <row r="51" spans="1:14" s="79" customFormat="1" ht="12.75">
      <c r="A51" s="139" t="s">
        <v>607</v>
      </c>
      <c r="B51" s="109">
        <v>1</v>
      </c>
      <c r="C51" s="109">
        <v>1</v>
      </c>
      <c r="D51" s="109">
        <v>1</v>
      </c>
      <c r="E51" s="109">
        <v>1</v>
      </c>
      <c r="F51" s="109">
        <v>1</v>
      </c>
      <c r="G51" s="109">
        <v>1</v>
      </c>
      <c r="H51" s="109">
        <v>1</v>
      </c>
      <c r="I51" s="109">
        <v>1</v>
      </c>
      <c r="J51" s="109">
        <v>1</v>
      </c>
      <c r="K51" s="109">
        <v>1</v>
      </c>
      <c r="L51" s="109">
        <v>1</v>
      </c>
      <c r="M51" s="109">
        <v>1</v>
      </c>
      <c r="N51" s="157"/>
    </row>
    <row r="52" spans="1:14" s="79" customFormat="1" ht="12.75">
      <c r="A52" s="141" t="s">
        <v>608</v>
      </c>
      <c r="B52" s="109">
        <v>1</v>
      </c>
      <c r="C52" s="109">
        <v>1</v>
      </c>
      <c r="D52" s="109">
        <v>1</v>
      </c>
      <c r="E52" s="109">
        <v>1</v>
      </c>
      <c r="F52" s="109">
        <v>1</v>
      </c>
      <c r="G52" s="109">
        <v>1</v>
      </c>
      <c r="H52" s="109">
        <v>1</v>
      </c>
      <c r="I52" s="109">
        <v>1</v>
      </c>
      <c r="J52" s="109">
        <v>1</v>
      </c>
      <c r="K52" s="109">
        <v>1</v>
      </c>
      <c r="L52" s="109">
        <v>1</v>
      </c>
      <c r="M52" s="109">
        <v>1</v>
      </c>
      <c r="N52" s="157"/>
    </row>
    <row r="53" spans="1:14" s="156" customFormat="1" ht="22.5" customHeight="1">
      <c r="A53" s="153" t="s">
        <v>744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</row>
    <row r="54" spans="1:14" s="79" customFormat="1" ht="15" customHeight="1">
      <c r="A54" s="139" t="s">
        <v>775</v>
      </c>
      <c r="B54" s="109">
        <v>1</v>
      </c>
      <c r="C54" s="109">
        <v>1</v>
      </c>
      <c r="D54" s="109">
        <v>1</v>
      </c>
      <c r="E54" s="109">
        <v>1</v>
      </c>
      <c r="F54" s="109">
        <v>1</v>
      </c>
      <c r="G54" s="109">
        <v>1</v>
      </c>
      <c r="H54" s="109">
        <v>1</v>
      </c>
      <c r="I54" s="109">
        <v>1</v>
      </c>
      <c r="J54" s="109">
        <v>1</v>
      </c>
      <c r="K54" s="109">
        <v>1</v>
      </c>
      <c r="L54" s="109">
        <v>1</v>
      </c>
      <c r="M54" s="109">
        <v>1</v>
      </c>
      <c r="N54" s="157"/>
    </row>
    <row r="55" spans="1:14" s="156" customFormat="1" ht="22.5" customHeight="1">
      <c r="A55" s="153" t="s">
        <v>741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</row>
    <row r="56" spans="1:14" s="79" customFormat="1" ht="12.75">
      <c r="A56" s="139" t="s">
        <v>742</v>
      </c>
      <c r="B56" s="109">
        <v>1</v>
      </c>
      <c r="C56" s="109">
        <v>1</v>
      </c>
      <c r="D56" s="109">
        <v>1</v>
      </c>
      <c r="E56" s="109">
        <v>1</v>
      </c>
      <c r="F56" s="109">
        <v>1</v>
      </c>
      <c r="G56" s="109">
        <v>1</v>
      </c>
      <c r="H56" s="109">
        <v>1</v>
      </c>
      <c r="I56" s="109">
        <v>1</v>
      </c>
      <c r="J56" s="109">
        <v>1</v>
      </c>
      <c r="K56" s="109">
        <v>1</v>
      </c>
      <c r="L56" s="109">
        <v>1</v>
      </c>
      <c r="M56" s="109">
        <v>1</v>
      </c>
      <c r="N56" s="157"/>
    </row>
    <row r="57" spans="1:14" s="79" customFormat="1" ht="12.75">
      <c r="A57" s="139" t="s">
        <v>743</v>
      </c>
      <c r="B57" s="109">
        <v>1</v>
      </c>
      <c r="C57" s="109">
        <v>1</v>
      </c>
      <c r="D57" s="109">
        <v>1</v>
      </c>
      <c r="E57" s="109">
        <v>1</v>
      </c>
      <c r="F57" s="109">
        <v>1</v>
      </c>
      <c r="G57" s="109">
        <v>1</v>
      </c>
      <c r="H57" s="109">
        <v>1</v>
      </c>
      <c r="I57" s="109">
        <v>1</v>
      </c>
      <c r="J57" s="109">
        <v>1</v>
      </c>
      <c r="K57" s="109">
        <v>1</v>
      </c>
      <c r="L57" s="109">
        <v>1</v>
      </c>
      <c r="M57" s="109">
        <v>1</v>
      </c>
      <c r="N57" s="157"/>
    </row>
    <row r="58" spans="1:14" s="79" customFormat="1" ht="12.75">
      <c r="A58" s="139" t="s">
        <v>927</v>
      </c>
      <c r="B58" s="109">
        <v>1</v>
      </c>
      <c r="C58" s="109">
        <v>1</v>
      </c>
      <c r="D58" s="109">
        <v>1</v>
      </c>
      <c r="E58" s="109">
        <v>1</v>
      </c>
      <c r="F58" s="109">
        <v>1</v>
      </c>
      <c r="G58" s="109">
        <v>1</v>
      </c>
      <c r="H58" s="109">
        <v>1</v>
      </c>
      <c r="I58" s="109">
        <v>1</v>
      </c>
      <c r="J58" s="109">
        <v>1</v>
      </c>
      <c r="K58" s="109">
        <v>1</v>
      </c>
      <c r="L58" s="109">
        <v>1</v>
      </c>
      <c r="M58" s="109">
        <v>1</v>
      </c>
      <c r="N58" s="157"/>
    </row>
    <row r="59" spans="1:14" s="156" customFormat="1" ht="22.5" customHeight="1">
      <c r="A59" s="153" t="s">
        <v>359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5"/>
    </row>
    <row r="60" spans="1:14" s="79" customFormat="1" ht="12.75">
      <c r="A60" s="138" t="s">
        <v>360</v>
      </c>
      <c r="B60" s="147">
        <v>5</v>
      </c>
      <c r="C60" s="147">
        <v>5</v>
      </c>
      <c r="D60" s="147">
        <v>5</v>
      </c>
      <c r="E60" s="147">
        <v>5</v>
      </c>
      <c r="F60" s="147">
        <v>5</v>
      </c>
      <c r="G60" s="147">
        <v>5</v>
      </c>
      <c r="H60" s="109">
        <v>5</v>
      </c>
      <c r="I60" s="109">
        <v>5</v>
      </c>
      <c r="J60" s="109">
        <v>5</v>
      </c>
      <c r="K60" s="109">
        <v>5</v>
      </c>
      <c r="L60" s="109">
        <v>5</v>
      </c>
      <c r="M60" s="109">
        <v>5</v>
      </c>
      <c r="N60" s="157"/>
    </row>
    <row r="61" spans="1:14" ht="25.5">
      <c r="A61" s="153" t="s">
        <v>835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/>
    </row>
    <row r="62" spans="1:14" ht="12.75">
      <c r="A62" s="139" t="s">
        <v>928</v>
      </c>
      <c r="B62" s="147">
        <v>0.375</v>
      </c>
      <c r="C62" s="147">
        <v>0.375</v>
      </c>
      <c r="D62" s="147">
        <v>0.375</v>
      </c>
      <c r="E62" s="147">
        <v>0.375</v>
      </c>
      <c r="F62" s="147">
        <v>0.375</v>
      </c>
      <c r="G62" s="147">
        <v>0.375</v>
      </c>
      <c r="H62" s="147">
        <v>0.375</v>
      </c>
      <c r="I62" s="147">
        <v>0.375</v>
      </c>
      <c r="J62" s="147">
        <v>0.375</v>
      </c>
      <c r="K62" s="147">
        <v>0.375</v>
      </c>
      <c r="L62" s="147">
        <v>0.375</v>
      </c>
      <c r="M62" s="147">
        <v>0.375</v>
      </c>
      <c r="N62"/>
    </row>
    <row r="63" spans="1:14" ht="12.75">
      <c r="A63" s="139" t="s">
        <v>929</v>
      </c>
      <c r="B63" s="147">
        <v>0.375</v>
      </c>
      <c r="C63" s="147">
        <v>0.375</v>
      </c>
      <c r="D63" s="147">
        <v>0.375</v>
      </c>
      <c r="E63" s="147">
        <v>0.375</v>
      </c>
      <c r="F63" s="147">
        <v>0.375</v>
      </c>
      <c r="G63" s="147">
        <v>0.375</v>
      </c>
      <c r="H63" s="147">
        <v>0.375</v>
      </c>
      <c r="I63" s="147">
        <v>0.375</v>
      </c>
      <c r="J63" s="147">
        <v>0.375</v>
      </c>
      <c r="K63" s="147">
        <v>0.375</v>
      </c>
      <c r="L63" s="147">
        <v>0.375</v>
      </c>
      <c r="M63" s="147">
        <v>0.375</v>
      </c>
      <c r="N63"/>
    </row>
    <row r="64" spans="1:14" ht="12.75">
      <c r="A64" s="139" t="s">
        <v>604</v>
      </c>
      <c r="B64" s="147">
        <v>1</v>
      </c>
      <c r="C64" s="147">
        <v>1</v>
      </c>
      <c r="D64" s="147">
        <v>1</v>
      </c>
      <c r="E64" s="147">
        <v>1</v>
      </c>
      <c r="F64" s="147">
        <v>1</v>
      </c>
      <c r="G64" s="147">
        <v>1</v>
      </c>
      <c r="H64" s="147">
        <v>1</v>
      </c>
      <c r="I64" s="147">
        <v>1</v>
      </c>
      <c r="J64" s="147">
        <v>1</v>
      </c>
      <c r="K64" s="147">
        <v>1</v>
      </c>
      <c r="L64" s="147">
        <v>1</v>
      </c>
      <c r="M64" s="147">
        <v>1</v>
      </c>
      <c r="N64"/>
    </row>
    <row r="65" spans="1:14" ht="12.75">
      <c r="A65" s="139" t="s">
        <v>930</v>
      </c>
      <c r="B65" s="147">
        <v>0.5</v>
      </c>
      <c r="C65" s="147">
        <v>0.5</v>
      </c>
      <c r="D65" s="147">
        <v>0.5</v>
      </c>
      <c r="E65" s="147">
        <v>0.5</v>
      </c>
      <c r="F65" s="147">
        <v>0.5</v>
      </c>
      <c r="G65" s="147">
        <v>0.5</v>
      </c>
      <c r="H65" s="147">
        <v>0.5</v>
      </c>
      <c r="I65" s="147">
        <v>0.5</v>
      </c>
      <c r="J65" s="147">
        <v>0.5</v>
      </c>
      <c r="K65" s="147">
        <v>0.5</v>
      </c>
      <c r="L65" s="147">
        <v>0.5</v>
      </c>
      <c r="M65" s="147">
        <v>0.5</v>
      </c>
      <c r="N65"/>
    </row>
    <row r="66" spans="1:14" ht="12.75">
      <c r="A66" s="139" t="s">
        <v>865</v>
      </c>
      <c r="B66" s="147">
        <v>1</v>
      </c>
      <c r="C66" s="147">
        <v>1</v>
      </c>
      <c r="D66" s="147">
        <v>1</v>
      </c>
      <c r="E66" s="147">
        <v>1</v>
      </c>
      <c r="F66" s="147">
        <v>1</v>
      </c>
      <c r="G66" s="147">
        <v>1</v>
      </c>
      <c r="H66" s="147">
        <v>1</v>
      </c>
      <c r="I66" s="147">
        <v>1</v>
      </c>
      <c r="J66" s="147">
        <v>1</v>
      </c>
      <c r="K66" s="147">
        <v>1</v>
      </c>
      <c r="L66" s="147">
        <v>1</v>
      </c>
      <c r="M66" s="147">
        <v>1</v>
      </c>
      <c r="N66"/>
    </row>
    <row r="67" spans="1:14" ht="12.75">
      <c r="A67" s="139" t="s">
        <v>711</v>
      </c>
      <c r="B67" s="147">
        <v>2</v>
      </c>
      <c r="C67" s="147">
        <v>2</v>
      </c>
      <c r="D67" s="147">
        <v>2</v>
      </c>
      <c r="E67" s="147">
        <v>2</v>
      </c>
      <c r="F67" s="147">
        <v>2</v>
      </c>
      <c r="G67" s="147">
        <v>2</v>
      </c>
      <c r="H67" s="147">
        <v>2</v>
      </c>
      <c r="I67" s="147">
        <v>2</v>
      </c>
      <c r="J67" s="147">
        <v>2</v>
      </c>
      <c r="K67" s="147">
        <v>2</v>
      </c>
      <c r="L67" s="147">
        <v>2</v>
      </c>
      <c r="M67" s="147">
        <v>2</v>
      </c>
      <c r="N67"/>
    </row>
    <row r="68" spans="1:14" ht="12.75">
      <c r="A68" s="139" t="s">
        <v>843</v>
      </c>
      <c r="B68" s="147">
        <v>1</v>
      </c>
      <c r="C68" s="147">
        <v>1</v>
      </c>
      <c r="D68" s="147">
        <v>1</v>
      </c>
      <c r="E68" s="147">
        <v>1</v>
      </c>
      <c r="F68" s="147">
        <v>1</v>
      </c>
      <c r="G68" s="147">
        <v>1</v>
      </c>
      <c r="H68" s="147">
        <v>1</v>
      </c>
      <c r="I68" s="147">
        <v>1</v>
      </c>
      <c r="J68" s="147">
        <v>1</v>
      </c>
      <c r="K68" s="147">
        <v>1</v>
      </c>
      <c r="L68" s="147">
        <v>1</v>
      </c>
      <c r="M68" s="147">
        <v>1</v>
      </c>
      <c r="N68"/>
    </row>
    <row r="69" spans="1:14" ht="15.75" customHeight="1">
      <c r="A69" s="139" t="s">
        <v>836</v>
      </c>
      <c r="B69" s="147">
        <v>0.5</v>
      </c>
      <c r="C69" s="147">
        <v>0.5</v>
      </c>
      <c r="D69" s="147">
        <v>0.5</v>
      </c>
      <c r="E69" s="147">
        <v>0.5</v>
      </c>
      <c r="F69" s="147">
        <v>0.5</v>
      </c>
      <c r="G69" s="147">
        <v>0.5</v>
      </c>
      <c r="H69" s="147">
        <v>0.5</v>
      </c>
      <c r="I69" s="147">
        <v>0.5</v>
      </c>
      <c r="J69" s="147">
        <v>0.5</v>
      </c>
      <c r="K69" s="147">
        <v>0.5</v>
      </c>
      <c r="L69" s="147">
        <v>0.5</v>
      </c>
      <c r="M69" s="147">
        <v>0.5</v>
      </c>
      <c r="N69"/>
    </row>
    <row r="70" spans="1:14" ht="25.5">
      <c r="A70" s="153" t="s">
        <v>837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/>
    </row>
    <row r="71" spans="1:14" ht="12.75">
      <c r="A71" s="138" t="s">
        <v>604</v>
      </c>
      <c r="B71" s="147">
        <v>1</v>
      </c>
      <c r="C71" s="147">
        <v>1</v>
      </c>
      <c r="D71" s="147">
        <v>1</v>
      </c>
      <c r="E71" s="147">
        <v>1</v>
      </c>
      <c r="F71" s="147">
        <v>1</v>
      </c>
      <c r="G71" s="147">
        <v>1</v>
      </c>
      <c r="H71" s="147">
        <v>1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/>
    </row>
    <row r="72" spans="1:14" ht="12.75">
      <c r="A72" s="138" t="s">
        <v>931</v>
      </c>
      <c r="B72" s="147">
        <v>1</v>
      </c>
      <c r="C72" s="147">
        <v>1</v>
      </c>
      <c r="D72" s="147">
        <v>1</v>
      </c>
      <c r="E72" s="147">
        <v>1</v>
      </c>
      <c r="F72" s="147">
        <v>1</v>
      </c>
      <c r="G72" s="147">
        <v>1</v>
      </c>
      <c r="H72" s="147">
        <v>1</v>
      </c>
      <c r="I72" s="147">
        <v>1</v>
      </c>
      <c r="J72" s="147">
        <v>1</v>
      </c>
      <c r="K72" s="147">
        <v>1</v>
      </c>
      <c r="L72" s="147">
        <v>1</v>
      </c>
      <c r="M72" s="147">
        <v>1</v>
      </c>
      <c r="N72"/>
    </row>
    <row r="73" spans="1:14" ht="12.75">
      <c r="A73" s="138" t="s">
        <v>932</v>
      </c>
      <c r="B73" s="147">
        <v>0.5</v>
      </c>
      <c r="C73" s="147">
        <v>0.5</v>
      </c>
      <c r="D73" s="147">
        <v>0.5</v>
      </c>
      <c r="E73" s="147">
        <v>0.5</v>
      </c>
      <c r="F73" s="147">
        <v>0.5</v>
      </c>
      <c r="G73" s="147">
        <v>0.5</v>
      </c>
      <c r="H73" s="147">
        <v>0.5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/>
    </row>
    <row r="74" spans="1:14" ht="12.75">
      <c r="A74" s="138" t="s">
        <v>933</v>
      </c>
      <c r="B74" s="147">
        <v>2.25</v>
      </c>
      <c r="C74" s="147">
        <v>2.25</v>
      </c>
      <c r="D74" s="147">
        <v>2.25</v>
      </c>
      <c r="E74" s="147">
        <v>2.25</v>
      </c>
      <c r="F74" s="147">
        <v>2.25</v>
      </c>
      <c r="G74" s="147">
        <v>2.25</v>
      </c>
      <c r="H74" s="147">
        <v>2.25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/>
    </row>
    <row r="75" spans="1:13" s="728" customFormat="1" ht="12.75">
      <c r="A75" s="726" t="s">
        <v>934</v>
      </c>
      <c r="B75" s="727">
        <v>1</v>
      </c>
      <c r="C75" s="727">
        <v>1</v>
      </c>
      <c r="D75" s="727">
        <v>1</v>
      </c>
      <c r="E75" s="727">
        <v>1</v>
      </c>
      <c r="F75" s="727">
        <v>1</v>
      </c>
      <c r="G75" s="727">
        <v>1</v>
      </c>
      <c r="H75" s="727">
        <v>1</v>
      </c>
      <c r="I75" s="727">
        <v>1</v>
      </c>
      <c r="J75" s="727">
        <v>1</v>
      </c>
      <c r="K75" s="727">
        <v>1</v>
      </c>
      <c r="L75" s="727">
        <v>1</v>
      </c>
      <c r="M75" s="727">
        <v>1</v>
      </c>
    </row>
    <row r="76" spans="1:13" s="728" customFormat="1" ht="12.75">
      <c r="A76" s="726" t="s">
        <v>935</v>
      </c>
      <c r="B76" s="727">
        <v>2</v>
      </c>
      <c r="C76" s="727">
        <v>2</v>
      </c>
      <c r="D76" s="727">
        <v>2</v>
      </c>
      <c r="E76" s="727">
        <v>2</v>
      </c>
      <c r="F76" s="727">
        <v>2</v>
      </c>
      <c r="G76" s="727">
        <v>2</v>
      </c>
      <c r="H76" s="727">
        <v>2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</row>
    <row r="77" spans="1:14" ht="12.75">
      <c r="A77" s="153" t="s">
        <v>838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/>
    </row>
    <row r="78" spans="1:13" s="717" customFormat="1" ht="12.75">
      <c r="A78" s="138" t="s">
        <v>936</v>
      </c>
      <c r="B78" s="147">
        <v>1</v>
      </c>
      <c r="C78" s="147">
        <v>1</v>
      </c>
      <c r="D78" s="147">
        <v>1</v>
      </c>
      <c r="E78" s="147">
        <v>1</v>
      </c>
      <c r="F78" s="147">
        <v>1</v>
      </c>
      <c r="G78" s="147">
        <v>1</v>
      </c>
      <c r="H78" s="147">
        <v>1</v>
      </c>
      <c r="I78" s="147">
        <v>1</v>
      </c>
      <c r="J78" s="147">
        <v>1</v>
      </c>
      <c r="K78" s="147">
        <v>1</v>
      </c>
      <c r="L78" s="147">
        <v>1</v>
      </c>
      <c r="M78" s="147">
        <v>1</v>
      </c>
    </row>
    <row r="79" spans="1:14" ht="25.5">
      <c r="A79" s="153" t="s">
        <v>839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/>
    </row>
    <row r="80" spans="1:13" s="717" customFormat="1" ht="12.75">
      <c r="A80" s="138" t="s">
        <v>938</v>
      </c>
      <c r="B80" s="147">
        <v>0.25</v>
      </c>
      <c r="C80" s="147">
        <v>0.25</v>
      </c>
      <c r="D80" s="147">
        <v>0.25</v>
      </c>
      <c r="E80" s="147">
        <v>0.25</v>
      </c>
      <c r="F80" s="147">
        <v>0.25</v>
      </c>
      <c r="G80" s="147">
        <v>0.25</v>
      </c>
      <c r="H80" s="147">
        <v>0.25</v>
      </c>
      <c r="I80" s="147">
        <v>0.25</v>
      </c>
      <c r="J80" s="147">
        <v>0.25</v>
      </c>
      <c r="K80" s="147">
        <v>0.25</v>
      </c>
      <c r="L80" s="147">
        <v>0.25</v>
      </c>
      <c r="M80" s="147">
        <v>0.25</v>
      </c>
    </row>
    <row r="81" spans="1:13" s="717" customFormat="1" ht="12.75">
      <c r="A81" s="138" t="s">
        <v>937</v>
      </c>
      <c r="B81" s="147">
        <v>0.5</v>
      </c>
      <c r="C81" s="147">
        <v>0.5</v>
      </c>
      <c r="D81" s="147">
        <v>0.5</v>
      </c>
      <c r="E81" s="147">
        <v>0.5</v>
      </c>
      <c r="F81" s="147">
        <v>0.5</v>
      </c>
      <c r="G81" s="147">
        <v>0.5</v>
      </c>
      <c r="H81" s="147">
        <v>0.5</v>
      </c>
      <c r="I81" s="147">
        <v>0.5</v>
      </c>
      <c r="J81" s="147">
        <v>0.5</v>
      </c>
      <c r="K81" s="147">
        <v>0.5</v>
      </c>
      <c r="L81" s="147">
        <v>0.5</v>
      </c>
      <c r="M81" s="147">
        <v>0.5</v>
      </c>
    </row>
    <row r="82" spans="1:14" s="80" customFormat="1" ht="21" customHeight="1">
      <c r="A82" s="137" t="s">
        <v>384</v>
      </c>
      <c r="B82" s="131">
        <f aca="true" t="shared" si="2" ref="B82:M82">SUM(B51:B81)</f>
        <v>27.25</v>
      </c>
      <c r="C82" s="131">
        <f t="shared" si="2"/>
        <v>27.25</v>
      </c>
      <c r="D82" s="131">
        <f t="shared" si="2"/>
        <v>27.25</v>
      </c>
      <c r="E82" s="131">
        <f t="shared" si="2"/>
        <v>27.25</v>
      </c>
      <c r="F82" s="131">
        <f t="shared" si="2"/>
        <v>27.25</v>
      </c>
      <c r="G82" s="131">
        <f t="shared" si="2"/>
        <v>27.25</v>
      </c>
      <c r="H82" s="131">
        <f t="shared" si="2"/>
        <v>27.25</v>
      </c>
      <c r="I82" s="131">
        <f t="shared" si="2"/>
        <v>21.5</v>
      </c>
      <c r="J82" s="131">
        <f t="shared" si="2"/>
        <v>21.5</v>
      </c>
      <c r="K82" s="131">
        <f t="shared" si="2"/>
        <v>21.5</v>
      </c>
      <c r="L82" s="131">
        <f t="shared" si="2"/>
        <v>21.5</v>
      </c>
      <c r="M82" s="131">
        <f t="shared" si="2"/>
        <v>21.5</v>
      </c>
      <c r="N82" s="111"/>
    </row>
    <row r="83" spans="1:14" s="79" customFormat="1" ht="14.25" customHeight="1">
      <c r="A83" s="136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57"/>
    </row>
    <row r="84" spans="1:14" s="80" customFormat="1" ht="22.5" customHeight="1">
      <c r="A84" s="152" t="s">
        <v>769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11"/>
    </row>
    <row r="85" spans="1:14" s="79" customFormat="1" ht="12.75">
      <c r="A85" s="139" t="s">
        <v>866</v>
      </c>
      <c r="B85" s="109">
        <v>1</v>
      </c>
      <c r="C85" s="109">
        <v>1</v>
      </c>
      <c r="D85" s="109">
        <v>1</v>
      </c>
      <c r="E85" s="109">
        <v>1</v>
      </c>
      <c r="F85" s="109">
        <v>1</v>
      </c>
      <c r="G85" s="109">
        <v>1</v>
      </c>
      <c r="H85" s="109">
        <v>1</v>
      </c>
      <c r="I85" s="109">
        <v>1</v>
      </c>
      <c r="J85" s="109">
        <v>1</v>
      </c>
      <c r="K85" s="109">
        <v>1</v>
      </c>
      <c r="L85" s="109">
        <v>1</v>
      </c>
      <c r="M85" s="109">
        <v>1</v>
      </c>
      <c r="N85" s="157"/>
    </row>
    <row r="86" spans="1:14" s="79" customFormat="1" ht="12.75">
      <c r="A86" s="139" t="s">
        <v>745</v>
      </c>
      <c r="B86" s="109">
        <v>1</v>
      </c>
      <c r="C86" s="109">
        <v>1</v>
      </c>
      <c r="D86" s="109">
        <v>1</v>
      </c>
      <c r="E86" s="109">
        <v>1</v>
      </c>
      <c r="F86" s="109">
        <v>1</v>
      </c>
      <c r="G86" s="109">
        <v>1</v>
      </c>
      <c r="H86" s="109">
        <v>1</v>
      </c>
      <c r="I86" s="109">
        <v>1</v>
      </c>
      <c r="J86" s="109">
        <v>1</v>
      </c>
      <c r="K86" s="109">
        <v>1</v>
      </c>
      <c r="L86" s="109">
        <v>1</v>
      </c>
      <c r="M86" s="109">
        <v>1</v>
      </c>
      <c r="N86" s="157"/>
    </row>
    <row r="87" spans="1:14" s="79" customFormat="1" ht="12.75">
      <c r="A87" s="139" t="s">
        <v>867</v>
      </c>
      <c r="B87" s="109">
        <v>1</v>
      </c>
      <c r="C87" s="109">
        <v>1</v>
      </c>
      <c r="D87" s="109">
        <v>1</v>
      </c>
      <c r="E87" s="109">
        <v>1</v>
      </c>
      <c r="F87" s="109">
        <v>1</v>
      </c>
      <c r="G87" s="109">
        <v>1</v>
      </c>
      <c r="H87" s="109">
        <v>1</v>
      </c>
      <c r="I87" s="109">
        <v>1</v>
      </c>
      <c r="J87" s="109">
        <v>1</v>
      </c>
      <c r="K87" s="109">
        <v>1</v>
      </c>
      <c r="L87" s="109">
        <v>1</v>
      </c>
      <c r="M87" s="109">
        <v>1</v>
      </c>
      <c r="N87" s="157"/>
    </row>
    <row r="88" spans="1:14" s="79" customFormat="1" ht="12.75">
      <c r="A88" s="139" t="s">
        <v>868</v>
      </c>
      <c r="B88" s="109">
        <v>1</v>
      </c>
      <c r="C88" s="109">
        <v>1</v>
      </c>
      <c r="D88" s="109">
        <v>1</v>
      </c>
      <c r="E88" s="109">
        <v>1</v>
      </c>
      <c r="F88" s="109">
        <v>1</v>
      </c>
      <c r="G88" s="109">
        <v>1</v>
      </c>
      <c r="H88" s="109">
        <v>1</v>
      </c>
      <c r="I88" s="109">
        <v>1</v>
      </c>
      <c r="J88" s="109">
        <v>1</v>
      </c>
      <c r="K88" s="109">
        <v>1</v>
      </c>
      <c r="L88" s="109">
        <v>1</v>
      </c>
      <c r="M88" s="109">
        <v>1</v>
      </c>
      <c r="N88" s="157"/>
    </row>
    <row r="89" spans="1:14" s="79" customFormat="1" ht="12.75">
      <c r="A89" s="139" t="s">
        <v>869</v>
      </c>
      <c r="B89" s="109">
        <v>0</v>
      </c>
      <c r="C89" s="109">
        <v>0</v>
      </c>
      <c r="D89" s="109">
        <v>2</v>
      </c>
      <c r="E89" s="109">
        <v>2</v>
      </c>
      <c r="F89" s="109">
        <v>2</v>
      </c>
      <c r="G89" s="109">
        <v>2</v>
      </c>
      <c r="H89" s="109">
        <v>2</v>
      </c>
      <c r="I89" s="109">
        <v>2</v>
      </c>
      <c r="J89" s="109">
        <v>2</v>
      </c>
      <c r="K89" s="109">
        <v>2</v>
      </c>
      <c r="L89" s="109">
        <v>2</v>
      </c>
      <c r="M89" s="109">
        <v>2</v>
      </c>
      <c r="N89" s="157"/>
    </row>
    <row r="90" spans="1:14" ht="12.75">
      <c r="A90" s="153" t="s">
        <v>840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/>
    </row>
    <row r="91" spans="1:14" ht="12.75">
      <c r="A91" s="138" t="s">
        <v>939</v>
      </c>
      <c r="B91" s="147">
        <v>0.5</v>
      </c>
      <c r="C91" s="147">
        <v>0.5</v>
      </c>
      <c r="D91" s="147">
        <v>0.5</v>
      </c>
      <c r="E91" s="147">
        <v>0.5</v>
      </c>
      <c r="F91" s="147">
        <v>0.5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/>
    </row>
    <row r="92" spans="1:14" s="80" customFormat="1" ht="21" customHeight="1">
      <c r="A92" s="137" t="s">
        <v>770</v>
      </c>
      <c r="B92" s="131">
        <f>SUM(B86:B91)</f>
        <v>3.5</v>
      </c>
      <c r="C92" s="131">
        <f aca="true" t="shared" si="3" ref="C92:M92">SUM(C86:C91)</f>
        <v>3.5</v>
      </c>
      <c r="D92" s="131">
        <f t="shared" si="3"/>
        <v>5.5</v>
      </c>
      <c r="E92" s="131">
        <f t="shared" si="3"/>
        <v>5.5</v>
      </c>
      <c r="F92" s="131">
        <f t="shared" si="3"/>
        <v>5.5</v>
      </c>
      <c r="G92" s="131">
        <f t="shared" si="3"/>
        <v>5</v>
      </c>
      <c r="H92" s="131">
        <f t="shared" si="3"/>
        <v>5</v>
      </c>
      <c r="I92" s="131">
        <f t="shared" si="3"/>
        <v>5</v>
      </c>
      <c r="J92" s="131">
        <f t="shared" si="3"/>
        <v>5</v>
      </c>
      <c r="K92" s="131">
        <f t="shared" si="3"/>
        <v>5</v>
      </c>
      <c r="L92" s="131">
        <f t="shared" si="3"/>
        <v>5</v>
      </c>
      <c r="M92" s="131">
        <f t="shared" si="3"/>
        <v>5</v>
      </c>
      <c r="N92" s="111"/>
    </row>
    <row r="93" spans="1:14" s="132" customFormat="1" ht="30.75" customHeight="1">
      <c r="A93" s="770" t="s">
        <v>420</v>
      </c>
      <c r="B93" s="463">
        <f>SUM(B92,B82,B47,B42)</f>
        <v>99.07499999999999</v>
      </c>
      <c r="C93" s="463">
        <f aca="true" t="shared" si="4" ref="C93:M93">SUM(C92,C82,C47,C42)</f>
        <v>99.07499999999999</v>
      </c>
      <c r="D93" s="463">
        <f t="shared" si="4"/>
        <v>102.07499999999999</v>
      </c>
      <c r="E93" s="463">
        <f t="shared" si="4"/>
        <v>102.07499999999999</v>
      </c>
      <c r="F93" s="463">
        <f t="shared" si="4"/>
        <v>102.07499999999999</v>
      </c>
      <c r="G93" s="463">
        <f t="shared" si="4"/>
        <v>101.57499999999999</v>
      </c>
      <c r="H93" s="463">
        <f t="shared" si="4"/>
        <v>101.57499999999999</v>
      </c>
      <c r="I93" s="463">
        <f t="shared" si="4"/>
        <v>95.82499999999999</v>
      </c>
      <c r="J93" s="463">
        <f t="shared" si="4"/>
        <v>95.82499999999999</v>
      </c>
      <c r="K93" s="463">
        <f t="shared" si="4"/>
        <v>95.82499999999999</v>
      </c>
      <c r="L93" s="463">
        <f t="shared" si="4"/>
        <v>95.82499999999999</v>
      </c>
      <c r="M93" s="463">
        <f t="shared" si="4"/>
        <v>95.82499999999999</v>
      </c>
      <c r="N93" s="159"/>
    </row>
    <row r="94" spans="1:14" s="79" customFormat="1" ht="6" customHeight="1">
      <c r="A94" s="136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57"/>
    </row>
    <row r="95" spans="1:14" s="80" customFormat="1" ht="25.5" customHeight="1">
      <c r="A95" s="152" t="s">
        <v>358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11"/>
    </row>
    <row r="96" spans="1:14" s="592" customFormat="1" ht="37.5" customHeight="1">
      <c r="A96" s="589" t="s">
        <v>975</v>
      </c>
      <c r="B96" s="590"/>
      <c r="C96" s="590"/>
      <c r="D96" s="590"/>
      <c r="E96" s="590"/>
      <c r="F96" s="590"/>
      <c r="G96" s="590"/>
      <c r="H96" s="590"/>
      <c r="I96" s="590"/>
      <c r="J96" s="590"/>
      <c r="K96" s="590"/>
      <c r="L96" s="590"/>
      <c r="M96" s="590"/>
      <c r="N96" s="591"/>
    </row>
    <row r="97" spans="1:14" s="79" customFormat="1" ht="20.25" customHeight="1">
      <c r="A97" s="461" t="s">
        <v>862</v>
      </c>
      <c r="B97" s="462">
        <v>15</v>
      </c>
      <c r="C97" s="462">
        <v>15</v>
      </c>
      <c r="D97" s="462">
        <v>0</v>
      </c>
      <c r="E97" s="462">
        <v>0</v>
      </c>
      <c r="F97" s="462">
        <v>0</v>
      </c>
      <c r="G97" s="462">
        <v>0</v>
      </c>
      <c r="H97" s="462">
        <v>0</v>
      </c>
      <c r="I97" s="462">
        <v>0</v>
      </c>
      <c r="J97" s="462">
        <v>0</v>
      </c>
      <c r="K97" s="462">
        <v>0</v>
      </c>
      <c r="L97" s="462">
        <v>0</v>
      </c>
      <c r="M97" s="462">
        <v>0</v>
      </c>
      <c r="N97" s="157"/>
    </row>
    <row r="98" spans="1:14" s="592" customFormat="1" ht="36" customHeight="1">
      <c r="A98" s="589" t="s">
        <v>863</v>
      </c>
      <c r="B98" s="590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1"/>
    </row>
    <row r="99" spans="1:14" s="79" customFormat="1" ht="20.25" customHeight="1">
      <c r="A99" s="461" t="s">
        <v>864</v>
      </c>
      <c r="B99" s="462">
        <v>48</v>
      </c>
      <c r="C99" s="462">
        <v>48</v>
      </c>
      <c r="D99" s="462">
        <v>0</v>
      </c>
      <c r="E99" s="462">
        <v>0</v>
      </c>
      <c r="F99" s="462">
        <v>0</v>
      </c>
      <c r="G99" s="462">
        <v>0</v>
      </c>
      <c r="H99" s="462">
        <v>0</v>
      </c>
      <c r="I99" s="462">
        <v>0</v>
      </c>
      <c r="J99" s="462">
        <v>0</v>
      </c>
      <c r="K99" s="462">
        <v>0</v>
      </c>
      <c r="L99" s="462">
        <v>0</v>
      </c>
      <c r="M99" s="462">
        <v>0</v>
      </c>
      <c r="N99" s="157"/>
    </row>
    <row r="100" spans="1:14" s="592" customFormat="1" ht="37.5" customHeight="1">
      <c r="A100" s="589" t="s">
        <v>976</v>
      </c>
      <c r="B100" s="590"/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  <c r="N100" s="591"/>
    </row>
    <row r="101" spans="1:14" s="79" customFormat="1" ht="20.25" customHeight="1">
      <c r="A101" s="461" t="s">
        <v>862</v>
      </c>
      <c r="B101" s="462">
        <v>0</v>
      </c>
      <c r="C101" s="462">
        <v>0</v>
      </c>
      <c r="D101" s="462">
        <v>15</v>
      </c>
      <c r="E101" s="462">
        <v>15</v>
      </c>
      <c r="F101" s="462">
        <v>15</v>
      </c>
      <c r="G101" s="462">
        <v>15</v>
      </c>
      <c r="H101" s="462">
        <v>15</v>
      </c>
      <c r="I101" s="462">
        <v>15</v>
      </c>
      <c r="J101" s="462">
        <v>15</v>
      </c>
      <c r="K101" s="462">
        <v>15</v>
      </c>
      <c r="L101" s="462">
        <v>15</v>
      </c>
      <c r="M101" s="462">
        <v>15</v>
      </c>
      <c r="N101" s="157"/>
    </row>
    <row r="102" spans="1:14" s="592" customFormat="1" ht="36" customHeight="1">
      <c r="A102" s="589" t="s">
        <v>977</v>
      </c>
      <c r="B102" s="590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1"/>
    </row>
    <row r="103" spans="1:14" s="79" customFormat="1" ht="20.25" customHeight="1">
      <c r="A103" s="461" t="s">
        <v>978</v>
      </c>
      <c r="B103" s="462">
        <v>0</v>
      </c>
      <c r="C103" s="462">
        <v>0</v>
      </c>
      <c r="D103" s="462">
        <v>31</v>
      </c>
      <c r="E103" s="462">
        <v>31</v>
      </c>
      <c r="F103" s="462">
        <v>31</v>
      </c>
      <c r="G103" s="462">
        <v>31</v>
      </c>
      <c r="H103" s="462">
        <v>31</v>
      </c>
      <c r="I103" s="462">
        <v>31</v>
      </c>
      <c r="J103" s="462">
        <v>31</v>
      </c>
      <c r="K103" s="462">
        <v>31</v>
      </c>
      <c r="L103" s="462">
        <v>31</v>
      </c>
      <c r="M103" s="462">
        <v>31</v>
      </c>
      <c r="N103" s="157"/>
    </row>
    <row r="104" spans="1:14" s="132" customFormat="1" ht="32.25" customHeight="1">
      <c r="A104" s="770" t="s">
        <v>502</v>
      </c>
      <c r="B104" s="463">
        <f>SUM(B96:B103)</f>
        <v>63</v>
      </c>
      <c r="C104" s="463">
        <f aca="true" t="shared" si="5" ref="C104:M104">SUM(C96:C103)</f>
        <v>63</v>
      </c>
      <c r="D104" s="463">
        <f t="shared" si="5"/>
        <v>46</v>
      </c>
      <c r="E104" s="463">
        <f t="shared" si="5"/>
        <v>46</v>
      </c>
      <c r="F104" s="463">
        <f t="shared" si="5"/>
        <v>46</v>
      </c>
      <c r="G104" s="463">
        <f t="shared" si="5"/>
        <v>46</v>
      </c>
      <c r="H104" s="463">
        <f t="shared" si="5"/>
        <v>46</v>
      </c>
      <c r="I104" s="463">
        <f t="shared" si="5"/>
        <v>46</v>
      </c>
      <c r="J104" s="463">
        <f t="shared" si="5"/>
        <v>46</v>
      </c>
      <c r="K104" s="463">
        <f t="shared" si="5"/>
        <v>46</v>
      </c>
      <c r="L104" s="463">
        <f t="shared" si="5"/>
        <v>46</v>
      </c>
      <c r="M104" s="463">
        <f t="shared" si="5"/>
        <v>46</v>
      </c>
      <c r="N104" s="159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6" r:id="rId1"/>
  <rowBreaks count="2" manualBreakCount="2">
    <brk id="42" max="12" man="1"/>
    <brk id="7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89"/>
  <sheetViews>
    <sheetView zoomScaleSheetLayoutView="100" zoomScalePageLayoutView="0" workbookViewId="0" topLeftCell="A1">
      <selection activeCell="C76" sqref="C76"/>
    </sheetView>
  </sheetViews>
  <sheetFormatPr defaultColWidth="8.875" defaultRowHeight="12.75"/>
  <cols>
    <col min="1" max="1" width="4.125" style="82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1002" t="s">
        <v>1089</v>
      </c>
      <c r="D1" s="1230"/>
      <c r="E1" s="81"/>
    </row>
    <row r="2" spans="3:5" ht="15">
      <c r="C2" s="6"/>
      <c r="D2" s="146"/>
      <c r="E2" s="81"/>
    </row>
    <row r="3" spans="2:4" ht="15.75">
      <c r="B3" s="1233" t="s">
        <v>882</v>
      </c>
      <c r="C3" s="1233"/>
      <c r="D3" s="1233"/>
    </row>
    <row r="4" spans="2:4" ht="15">
      <c r="B4" s="162"/>
      <c r="C4" s="162"/>
      <c r="D4" s="162"/>
    </row>
    <row r="5" ht="15.75" thickBot="1">
      <c r="D5" s="6"/>
    </row>
    <row r="6" spans="1:4" s="4" customFormat="1" ht="14.25">
      <c r="A6" s="1240" t="s">
        <v>432</v>
      </c>
      <c r="B6" s="1234" t="s">
        <v>361</v>
      </c>
      <c r="C6" s="1235"/>
      <c r="D6" s="7" t="s">
        <v>373</v>
      </c>
    </row>
    <row r="7" spans="1:4" s="93" customFormat="1" ht="12">
      <c r="A7" s="1241"/>
      <c r="B7" s="1236" t="s">
        <v>426</v>
      </c>
      <c r="C7" s="1236"/>
      <c r="D7" s="92" t="s">
        <v>427</v>
      </c>
    </row>
    <row r="8" spans="1:4" s="4" customFormat="1" ht="14.25">
      <c r="A8" s="99">
        <v>1</v>
      </c>
      <c r="B8" s="94" t="s">
        <v>367</v>
      </c>
      <c r="C8" s="11"/>
      <c r="D8" s="290"/>
    </row>
    <row r="9" spans="1:4" s="13" customFormat="1" ht="15">
      <c r="A9" s="99">
        <v>2</v>
      </c>
      <c r="B9" s="95" t="s">
        <v>441</v>
      </c>
      <c r="C9" s="12"/>
      <c r="D9" s="291"/>
    </row>
    <row r="10" spans="1:6" ht="18.75" customHeight="1">
      <c r="A10" s="99">
        <v>3</v>
      </c>
      <c r="B10" s="84" t="s">
        <v>374</v>
      </c>
      <c r="C10" s="134" t="s">
        <v>821</v>
      </c>
      <c r="D10" s="737">
        <f>42654146+1-13005804</f>
        <v>29648343</v>
      </c>
      <c r="F10" s="738"/>
    </row>
    <row r="11" spans="1:4" ht="30">
      <c r="A11" s="99">
        <v>4</v>
      </c>
      <c r="B11" s="84" t="s">
        <v>374</v>
      </c>
      <c r="C11" s="134" t="s">
        <v>822</v>
      </c>
      <c r="D11" s="659">
        <v>187978206</v>
      </c>
    </row>
    <row r="12" spans="1:4" ht="18.75" customHeight="1">
      <c r="A12" s="99">
        <v>5</v>
      </c>
      <c r="B12" s="84" t="s">
        <v>374</v>
      </c>
      <c r="C12" s="134" t="s">
        <v>823</v>
      </c>
      <c r="D12" s="659">
        <v>404687022</v>
      </c>
    </row>
    <row r="13" spans="1:4" ht="18.75" customHeight="1">
      <c r="A13" s="99">
        <v>6</v>
      </c>
      <c r="B13" s="84" t="s">
        <v>374</v>
      </c>
      <c r="C13" s="134" t="s">
        <v>940</v>
      </c>
      <c r="D13" s="659">
        <f>25000000-20000000</f>
        <v>5000000</v>
      </c>
    </row>
    <row r="14" spans="1:4" ht="18.75" customHeight="1">
      <c r="A14" s="99">
        <v>7</v>
      </c>
      <c r="B14" s="84" t="s">
        <v>374</v>
      </c>
      <c r="C14" s="134" t="s">
        <v>941</v>
      </c>
      <c r="D14" s="659">
        <v>363120</v>
      </c>
    </row>
    <row r="15" spans="1:4" ht="18.75" customHeight="1">
      <c r="A15" s="99">
        <v>8</v>
      </c>
      <c r="B15" s="84" t="s">
        <v>374</v>
      </c>
      <c r="C15" s="134" t="s">
        <v>942</v>
      </c>
      <c r="D15" s="659">
        <v>5000000</v>
      </c>
    </row>
    <row r="16" spans="1:4" ht="18.75" customHeight="1">
      <c r="A16" s="99">
        <v>9</v>
      </c>
      <c r="B16" s="84" t="s">
        <v>374</v>
      </c>
      <c r="C16" s="134" t="s">
        <v>824</v>
      </c>
      <c r="D16" s="659">
        <f>100932090-3817843</f>
        <v>97114247</v>
      </c>
    </row>
    <row r="17" spans="1:4" ht="18.75" customHeight="1">
      <c r="A17" s="99">
        <v>10</v>
      </c>
      <c r="B17" s="84" t="s">
        <v>374</v>
      </c>
      <c r="C17" s="134" t="s">
        <v>943</v>
      </c>
      <c r="D17" s="659">
        <v>750000</v>
      </c>
    </row>
    <row r="18" spans="1:4" ht="18.75" customHeight="1">
      <c r="A18" s="99">
        <v>11</v>
      </c>
      <c r="B18" s="84" t="s">
        <v>374</v>
      </c>
      <c r="C18" s="134" t="s">
        <v>883</v>
      </c>
      <c r="D18" s="659">
        <v>1940000</v>
      </c>
    </row>
    <row r="19" spans="1:4" ht="18.75" customHeight="1">
      <c r="A19" s="99">
        <v>12</v>
      </c>
      <c r="B19" s="84" t="s">
        <v>374</v>
      </c>
      <c r="C19" s="134" t="s">
        <v>1004</v>
      </c>
      <c r="D19" s="659">
        <f>400000+100000</f>
        <v>500000</v>
      </c>
    </row>
    <row r="20" spans="1:4" ht="18.75" customHeight="1">
      <c r="A20" s="99">
        <v>13</v>
      </c>
      <c r="B20" s="84" t="s">
        <v>374</v>
      </c>
      <c r="C20" s="134" t="s">
        <v>887</v>
      </c>
      <c r="D20" s="659">
        <v>541020</v>
      </c>
    </row>
    <row r="21" spans="1:4" ht="18.75" customHeight="1">
      <c r="A21" s="99">
        <v>14</v>
      </c>
      <c r="B21" s="84" t="s">
        <v>374</v>
      </c>
      <c r="C21" s="134" t="s">
        <v>888</v>
      </c>
      <c r="D21" s="659">
        <v>457200</v>
      </c>
    </row>
    <row r="22" spans="1:4" ht="18.75" customHeight="1">
      <c r="A22" s="99">
        <v>15</v>
      </c>
      <c r="B22" s="84" t="s">
        <v>374</v>
      </c>
      <c r="C22" s="134" t="s">
        <v>944</v>
      </c>
      <c r="D22" s="659">
        <v>600000</v>
      </c>
    </row>
    <row r="23" spans="1:4" ht="18.75" customHeight="1">
      <c r="A23" s="99">
        <v>16</v>
      </c>
      <c r="B23" s="84" t="s">
        <v>374</v>
      </c>
      <c r="C23" s="134" t="s">
        <v>889</v>
      </c>
      <c r="D23" s="659">
        <v>600000</v>
      </c>
    </row>
    <row r="24" spans="1:4" ht="18.75" customHeight="1">
      <c r="A24" s="99">
        <v>17</v>
      </c>
      <c r="B24" s="84" t="s">
        <v>374</v>
      </c>
      <c r="C24" s="134" t="s">
        <v>890</v>
      </c>
      <c r="D24" s="659">
        <v>500000</v>
      </c>
    </row>
    <row r="25" spans="1:4" ht="18.75" customHeight="1">
      <c r="A25" s="99">
        <v>18</v>
      </c>
      <c r="B25" s="84" t="s">
        <v>374</v>
      </c>
      <c r="C25" s="134" t="s">
        <v>891</v>
      </c>
      <c r="D25" s="659">
        <v>650000</v>
      </c>
    </row>
    <row r="26" spans="1:4" ht="18.75" customHeight="1">
      <c r="A26" s="99">
        <v>19</v>
      </c>
      <c r="B26" s="84" t="s">
        <v>374</v>
      </c>
      <c r="C26" s="134" t="s">
        <v>946</v>
      </c>
      <c r="D26" s="659">
        <v>190500</v>
      </c>
    </row>
    <row r="27" spans="1:4" ht="18.75" customHeight="1">
      <c r="A27" s="99">
        <v>20</v>
      </c>
      <c r="B27" s="84" t="s">
        <v>374</v>
      </c>
      <c r="C27" s="134" t="s">
        <v>945</v>
      </c>
      <c r="D27" s="659">
        <v>730250</v>
      </c>
    </row>
    <row r="28" spans="1:4" ht="18.75" customHeight="1">
      <c r="A28" s="99">
        <v>21</v>
      </c>
      <c r="B28" s="84" t="s">
        <v>374</v>
      </c>
      <c r="C28" s="134" t="s">
        <v>947</v>
      </c>
      <c r="D28" s="659">
        <v>74930</v>
      </c>
    </row>
    <row r="29" spans="1:4" ht="18.75" customHeight="1">
      <c r="A29" s="99">
        <v>22</v>
      </c>
      <c r="B29" s="84" t="s">
        <v>374</v>
      </c>
      <c r="C29" s="134" t="s">
        <v>971</v>
      </c>
      <c r="D29" s="659">
        <v>1000000</v>
      </c>
    </row>
    <row r="30" spans="1:4" ht="31.5" customHeight="1">
      <c r="A30" s="99">
        <v>23</v>
      </c>
      <c r="B30" s="84" t="s">
        <v>374</v>
      </c>
      <c r="C30" s="134" t="s">
        <v>948</v>
      </c>
      <c r="D30" s="659">
        <v>2460790</v>
      </c>
    </row>
    <row r="31" spans="1:4" ht="18.75" customHeight="1">
      <c r="A31" s="99">
        <v>24</v>
      </c>
      <c r="B31" s="84" t="s">
        <v>374</v>
      </c>
      <c r="C31" s="134" t="s">
        <v>1005</v>
      </c>
      <c r="D31" s="659">
        <v>6000000</v>
      </c>
    </row>
    <row r="32" spans="1:4" ht="18.75" customHeight="1">
      <c r="A32" s="99">
        <v>25</v>
      </c>
      <c r="B32" s="84" t="s">
        <v>374</v>
      </c>
      <c r="C32" s="134" t="s">
        <v>949</v>
      </c>
      <c r="D32" s="659">
        <v>973100</v>
      </c>
    </row>
    <row r="33" spans="1:4" ht="18.75" customHeight="1">
      <c r="A33" s="99">
        <v>26</v>
      </c>
      <c r="B33" s="84" t="s">
        <v>374</v>
      </c>
      <c r="C33" s="134" t="s">
        <v>1006</v>
      </c>
      <c r="D33" s="659">
        <v>4790554</v>
      </c>
    </row>
    <row r="34" spans="1:4" ht="18.75" customHeight="1">
      <c r="A34" s="99">
        <v>27</v>
      </c>
      <c r="B34" s="84" t="s">
        <v>374</v>
      </c>
      <c r="C34" s="134" t="s">
        <v>980</v>
      </c>
      <c r="D34" s="659">
        <v>74295</v>
      </c>
    </row>
    <row r="35" spans="1:4" ht="18.75" customHeight="1">
      <c r="A35" s="99">
        <v>28</v>
      </c>
      <c r="B35" s="84" t="s">
        <v>374</v>
      </c>
      <c r="C35" s="134" t="s">
        <v>979</v>
      </c>
      <c r="D35" s="659">
        <v>190500</v>
      </c>
    </row>
    <row r="36" spans="1:4" ht="18.75" customHeight="1">
      <c r="A36" s="99">
        <v>29</v>
      </c>
      <c r="B36" s="957" t="s">
        <v>374</v>
      </c>
      <c r="C36" s="956" t="s">
        <v>1077</v>
      </c>
      <c r="D36" s="659">
        <v>810000</v>
      </c>
    </row>
    <row r="37" spans="1:4" s="36" customFormat="1" ht="15">
      <c r="A37" s="99">
        <v>30</v>
      </c>
      <c r="B37" s="84"/>
      <c r="C37" s="15" t="s">
        <v>384</v>
      </c>
      <c r="D37" s="292">
        <f>SUM(D10:D36)</f>
        <v>753624077</v>
      </c>
    </row>
    <row r="38" spans="1:4" s="36" customFormat="1" ht="15">
      <c r="A38" s="99">
        <v>31</v>
      </c>
      <c r="B38" s="1237" t="s">
        <v>371</v>
      </c>
      <c r="C38" s="1238"/>
      <c r="D38" s="1239"/>
    </row>
    <row r="39" spans="1:4" ht="18.75" customHeight="1">
      <c r="A39" s="99">
        <v>32</v>
      </c>
      <c r="B39" s="84" t="s">
        <v>374</v>
      </c>
      <c r="C39" s="134" t="s">
        <v>947</v>
      </c>
      <c r="D39" s="659">
        <v>1101090</v>
      </c>
    </row>
    <row r="40" spans="1:4" ht="18.75" customHeight="1">
      <c r="A40" s="99">
        <v>33</v>
      </c>
      <c r="B40" s="84" t="s">
        <v>374</v>
      </c>
      <c r="C40" s="134" t="s">
        <v>950</v>
      </c>
      <c r="D40" s="659">
        <v>706500</v>
      </c>
    </row>
    <row r="41" spans="1:4" ht="18.75" customHeight="1">
      <c r="A41" s="99">
        <v>34</v>
      </c>
      <c r="B41" s="84" t="s">
        <v>374</v>
      </c>
      <c r="C41" s="134" t="s">
        <v>892</v>
      </c>
      <c r="D41" s="659">
        <v>127000</v>
      </c>
    </row>
    <row r="42" spans="1:4" s="36" customFormat="1" ht="15">
      <c r="A42" s="99">
        <v>35</v>
      </c>
      <c r="B42" s="133"/>
      <c r="C42" s="15" t="s">
        <v>482</v>
      </c>
      <c r="D42" s="292">
        <f>SUM(D39:D41)</f>
        <v>1934590</v>
      </c>
    </row>
    <row r="43" spans="1:4" s="36" customFormat="1" ht="15">
      <c r="A43" s="99">
        <v>36</v>
      </c>
      <c r="B43" s="1237" t="s">
        <v>769</v>
      </c>
      <c r="C43" s="1238"/>
      <c r="D43" s="1239"/>
    </row>
    <row r="44" spans="1:4" ht="15" customHeight="1">
      <c r="A44" s="99">
        <v>37</v>
      </c>
      <c r="B44" s="84" t="s">
        <v>374</v>
      </c>
      <c r="C44" s="134" t="s">
        <v>951</v>
      </c>
      <c r="D44" s="659">
        <v>127000</v>
      </c>
    </row>
    <row r="45" spans="1:4" ht="15" customHeight="1">
      <c r="A45" s="99">
        <v>38</v>
      </c>
      <c r="B45" s="84" t="s">
        <v>374</v>
      </c>
      <c r="C45" s="134" t="s">
        <v>981</v>
      </c>
      <c r="D45" s="659">
        <v>800000</v>
      </c>
    </row>
    <row r="46" spans="1:4" ht="30">
      <c r="A46" s="99">
        <v>39</v>
      </c>
      <c r="B46" s="84" t="s">
        <v>374</v>
      </c>
      <c r="C46" s="134" t="s">
        <v>1007</v>
      </c>
      <c r="D46" s="659">
        <v>700000</v>
      </c>
    </row>
    <row r="47" spans="1:4" s="36" customFormat="1" ht="15">
      <c r="A47" s="99">
        <v>40</v>
      </c>
      <c r="B47" s="133"/>
      <c r="C47" s="15" t="s">
        <v>770</v>
      </c>
      <c r="D47" s="292">
        <f>SUM(D44:D46)</f>
        <v>1627000</v>
      </c>
    </row>
    <row r="48" spans="1:4" s="36" customFormat="1" ht="15">
      <c r="A48" s="99">
        <v>41</v>
      </c>
      <c r="B48" s="1237" t="s">
        <v>732</v>
      </c>
      <c r="C48" s="1238"/>
      <c r="D48" s="1239"/>
    </row>
    <row r="49" spans="1:4" ht="28.5" customHeight="1">
      <c r="A49" s="99">
        <v>42</v>
      </c>
      <c r="B49" s="84" t="s">
        <v>374</v>
      </c>
      <c r="C49" s="134" t="s">
        <v>954</v>
      </c>
      <c r="D49" s="659">
        <v>309245</v>
      </c>
    </row>
    <row r="50" spans="1:4" ht="15" customHeight="1">
      <c r="A50" s="99">
        <v>43</v>
      </c>
      <c r="B50" s="84" t="s">
        <v>374</v>
      </c>
      <c r="C50" s="134" t="s">
        <v>955</v>
      </c>
      <c r="D50" s="659">
        <v>95250</v>
      </c>
    </row>
    <row r="51" spans="1:4" ht="28.5" customHeight="1">
      <c r="A51" s="99">
        <v>44</v>
      </c>
      <c r="B51" s="84" t="s">
        <v>374</v>
      </c>
      <c r="C51" s="134" t="s">
        <v>956</v>
      </c>
      <c r="D51" s="659">
        <v>304800</v>
      </c>
    </row>
    <row r="52" spans="1:4" ht="27.75" customHeight="1">
      <c r="A52" s="99">
        <v>45</v>
      </c>
      <c r="B52" s="84" t="s">
        <v>374</v>
      </c>
      <c r="C52" s="134" t="s">
        <v>957</v>
      </c>
      <c r="D52" s="659">
        <v>401320</v>
      </c>
    </row>
    <row r="53" spans="1:4" ht="28.5" customHeight="1">
      <c r="A53" s="99">
        <v>46</v>
      </c>
      <c r="B53" s="84" t="s">
        <v>374</v>
      </c>
      <c r="C53" s="134" t="s">
        <v>1008</v>
      </c>
      <c r="D53" s="659">
        <f>63500+47925</f>
        <v>111425</v>
      </c>
    </row>
    <row r="54" spans="1:4" s="36" customFormat="1" ht="15">
      <c r="A54" s="99">
        <v>47</v>
      </c>
      <c r="B54" s="133"/>
      <c r="C54" s="15" t="s">
        <v>844</v>
      </c>
      <c r="D54" s="292">
        <f>SUM(D49:D53)</f>
        <v>1222040</v>
      </c>
    </row>
    <row r="55" spans="1:4" s="4" customFormat="1" ht="15" thickBot="1">
      <c r="A55" s="100">
        <v>48</v>
      </c>
      <c r="B55" s="16" t="s">
        <v>364</v>
      </c>
      <c r="C55" s="16"/>
      <c r="D55" s="293">
        <f>SUM(D54+D47+D42+D37)</f>
        <v>758407707</v>
      </c>
    </row>
    <row r="56" spans="1:4" ht="15">
      <c r="A56" s="553">
        <v>49</v>
      </c>
      <c r="B56" s="1231" t="s">
        <v>372</v>
      </c>
      <c r="C56" s="1231"/>
      <c r="D56" s="1232"/>
    </row>
    <row r="57" spans="1:4" s="13" customFormat="1" ht="15">
      <c r="A57" s="99">
        <v>50</v>
      </c>
      <c r="B57" s="112" t="s">
        <v>441</v>
      </c>
      <c r="C57" s="14"/>
      <c r="D57" s="8"/>
    </row>
    <row r="58" spans="1:4" ht="18.75" customHeight="1">
      <c r="A58" s="99">
        <v>51</v>
      </c>
      <c r="B58" s="84" t="s">
        <v>374</v>
      </c>
      <c r="C58" s="134" t="s">
        <v>590</v>
      </c>
      <c r="D58" s="659">
        <v>500000</v>
      </c>
    </row>
    <row r="59" spans="1:4" ht="18.75" customHeight="1">
      <c r="A59" s="99">
        <v>52</v>
      </c>
      <c r="B59" s="84" t="s">
        <v>374</v>
      </c>
      <c r="C59" s="134" t="s">
        <v>958</v>
      </c>
      <c r="D59" s="659">
        <f>8294813-5098639</f>
        <v>3196174</v>
      </c>
    </row>
    <row r="60" spans="1:4" ht="30">
      <c r="A60" s="99">
        <v>53</v>
      </c>
      <c r="B60" s="84" t="s">
        <v>374</v>
      </c>
      <c r="C60" s="134" t="s">
        <v>820</v>
      </c>
      <c r="D60" s="659">
        <v>21830061</v>
      </c>
    </row>
    <row r="61" spans="1:4" ht="18.75" customHeight="1">
      <c r="A61" s="99">
        <v>54</v>
      </c>
      <c r="B61" s="84" t="s">
        <v>374</v>
      </c>
      <c r="C61" s="134" t="s">
        <v>885</v>
      </c>
      <c r="D61" s="659">
        <v>2794000</v>
      </c>
    </row>
    <row r="62" spans="1:4" ht="18.75" customHeight="1">
      <c r="A62" s="99">
        <v>55</v>
      </c>
      <c r="B62" s="84" t="s">
        <v>374</v>
      </c>
      <c r="C62" s="134" t="s">
        <v>886</v>
      </c>
      <c r="D62" s="659">
        <v>2000000</v>
      </c>
    </row>
    <row r="63" spans="1:4" ht="18.75" customHeight="1">
      <c r="A63" s="99">
        <v>56</v>
      </c>
      <c r="B63" s="84" t="s">
        <v>374</v>
      </c>
      <c r="C63" s="134" t="s">
        <v>959</v>
      </c>
      <c r="D63" s="659">
        <f>91442680+863600</f>
        <v>92306280</v>
      </c>
    </row>
    <row r="64" spans="1:4" ht="25.5" customHeight="1">
      <c r="A64" s="99">
        <v>57</v>
      </c>
      <c r="B64" s="84" t="s">
        <v>374</v>
      </c>
      <c r="C64" s="134" t="s">
        <v>825</v>
      </c>
      <c r="D64" s="659">
        <v>523290</v>
      </c>
    </row>
    <row r="65" spans="1:4" ht="30">
      <c r="A65" s="99">
        <v>58</v>
      </c>
      <c r="B65" s="84" t="s">
        <v>374</v>
      </c>
      <c r="C65" s="134" t="s">
        <v>884</v>
      </c>
      <c r="D65" s="659">
        <v>6759599</v>
      </c>
    </row>
    <row r="66" spans="1:4" ht="18.75" customHeight="1">
      <c r="A66" s="99">
        <v>59</v>
      </c>
      <c r="B66" s="84" t="s">
        <v>374</v>
      </c>
      <c r="C66" s="134" t="s">
        <v>953</v>
      </c>
      <c r="D66" s="659">
        <v>31599998</v>
      </c>
    </row>
    <row r="67" spans="1:4" s="13" customFormat="1" ht="15">
      <c r="A67" s="99">
        <v>60</v>
      </c>
      <c r="B67" s="97"/>
      <c r="C67" s="5" t="s">
        <v>384</v>
      </c>
      <c r="D67" s="294">
        <f>SUM(D56:D66)</f>
        <v>161509402</v>
      </c>
    </row>
    <row r="68" spans="1:4" s="36" customFormat="1" ht="15">
      <c r="A68" s="99">
        <v>61</v>
      </c>
      <c r="B68" s="1237" t="s">
        <v>732</v>
      </c>
      <c r="C68" s="1238"/>
      <c r="D68" s="1239"/>
    </row>
    <row r="69" spans="1:4" ht="18.75" customHeight="1">
      <c r="A69" s="99">
        <v>62</v>
      </c>
      <c r="B69" s="84" t="s">
        <v>374</v>
      </c>
      <c r="C69" s="134" t="s">
        <v>952</v>
      </c>
      <c r="D69" s="659">
        <v>508000</v>
      </c>
    </row>
    <row r="70" spans="1:4" s="36" customFormat="1" ht="15">
      <c r="A70" s="99">
        <v>63</v>
      </c>
      <c r="B70" s="133"/>
      <c r="C70" s="15" t="s">
        <v>844</v>
      </c>
      <c r="D70" s="292">
        <f>SUM(D69)</f>
        <v>508000</v>
      </c>
    </row>
    <row r="71" spans="1:4" ht="15.75" thickBot="1">
      <c r="A71" s="100">
        <v>64</v>
      </c>
      <c r="B71" s="96" t="s">
        <v>364</v>
      </c>
      <c r="C71" s="16"/>
      <c r="D71" s="295">
        <f>SUM(D67+D70)</f>
        <v>162017402</v>
      </c>
    </row>
    <row r="72" spans="1:4" ht="15">
      <c r="A72" s="99">
        <v>65</v>
      </c>
      <c r="B72" s="1231" t="s">
        <v>109</v>
      </c>
      <c r="C72" s="1231"/>
      <c r="D72" s="1232"/>
    </row>
    <row r="73" spans="1:4" s="13" customFormat="1" ht="15">
      <c r="A73" s="99">
        <v>66</v>
      </c>
      <c r="B73" s="17" t="s">
        <v>441</v>
      </c>
      <c r="C73" s="14"/>
      <c r="D73" s="9"/>
    </row>
    <row r="74" spans="1:4" s="36" customFormat="1" ht="20.25" customHeight="1">
      <c r="A74" s="99">
        <v>67</v>
      </c>
      <c r="B74" s="84" t="s">
        <v>374</v>
      </c>
      <c r="C74" s="134" t="s">
        <v>422</v>
      </c>
      <c r="D74" s="660">
        <v>449520</v>
      </c>
    </row>
    <row r="75" spans="1:4" ht="18.75" customHeight="1">
      <c r="A75" s="99">
        <v>68</v>
      </c>
      <c r="B75" s="84" t="s">
        <v>374</v>
      </c>
      <c r="C75" s="134" t="s">
        <v>819</v>
      </c>
      <c r="D75" s="659">
        <v>5000000</v>
      </c>
    </row>
    <row r="76" spans="1:4" s="4" customFormat="1" ht="15" thickBot="1">
      <c r="A76" s="100">
        <v>69</v>
      </c>
      <c r="B76" s="18" t="s">
        <v>364</v>
      </c>
      <c r="C76" s="16"/>
      <c r="D76" s="296">
        <f>SUM(D74:D75)</f>
        <v>5449520</v>
      </c>
    </row>
    <row r="77" spans="1:4" ht="21.75" customHeight="1">
      <c r="A77" s="553">
        <v>45</v>
      </c>
      <c r="B77" s="1231" t="s">
        <v>423</v>
      </c>
      <c r="C77" s="1231"/>
      <c r="D77" s="1232"/>
    </row>
    <row r="78" spans="1:4" s="13" customFormat="1" ht="24.75" customHeight="1">
      <c r="A78" s="99">
        <v>46</v>
      </c>
      <c r="B78" s="84"/>
      <c r="C78" s="20"/>
      <c r="D78" s="19"/>
    </row>
    <row r="79" spans="1:4" s="4" customFormat="1" ht="36" customHeight="1" thickBot="1">
      <c r="A79" s="99">
        <v>47</v>
      </c>
      <c r="B79" s="18" t="s">
        <v>364</v>
      </c>
      <c r="C79" s="16"/>
      <c r="D79" s="10">
        <f>SUM(D78:D78)</f>
        <v>0</v>
      </c>
    </row>
    <row r="80" spans="1:4" ht="26.25" customHeight="1">
      <c r="A80" s="99">
        <v>64</v>
      </c>
      <c r="B80" s="1231" t="s">
        <v>424</v>
      </c>
      <c r="C80" s="1231"/>
      <c r="D80" s="1232"/>
    </row>
    <row r="81" spans="1:4" ht="30" customHeight="1">
      <c r="A81" s="99">
        <v>65</v>
      </c>
      <c r="B81" s="17"/>
      <c r="C81" s="91"/>
      <c r="D81" s="90"/>
    </row>
    <row r="82" spans="1:4" s="4" customFormat="1" ht="22.5" customHeight="1" thickBot="1">
      <c r="A82" s="100">
        <v>66</v>
      </c>
      <c r="B82" s="18" t="s">
        <v>364</v>
      </c>
      <c r="C82" s="16"/>
      <c r="D82" s="296">
        <v>0</v>
      </c>
    </row>
    <row r="83" spans="1:4" ht="21" customHeight="1" thickBot="1">
      <c r="A83" s="100">
        <v>70</v>
      </c>
      <c r="B83" s="98" t="s">
        <v>365</v>
      </c>
      <c r="C83" s="18"/>
      <c r="D83" s="296">
        <f>SUM(D82+D76+D71+D55)</f>
        <v>925874629</v>
      </c>
    </row>
    <row r="85" ht="21" customHeight="1"/>
    <row r="87" spans="2:4" ht="15">
      <c r="B87" s="1242"/>
      <c r="C87" s="1242"/>
      <c r="D87" s="1242"/>
    </row>
    <row r="89" ht="15">
      <c r="H89" s="83"/>
    </row>
  </sheetData>
  <sheetProtection/>
  <mergeCells count="14">
    <mergeCell ref="A6:A7"/>
    <mergeCell ref="B77:D77"/>
    <mergeCell ref="B80:D80"/>
    <mergeCell ref="B87:D87"/>
    <mergeCell ref="B48:D48"/>
    <mergeCell ref="C1:D1"/>
    <mergeCell ref="B72:D72"/>
    <mergeCell ref="B3:D3"/>
    <mergeCell ref="B6:C6"/>
    <mergeCell ref="B56:D56"/>
    <mergeCell ref="B7:C7"/>
    <mergeCell ref="B38:D38"/>
    <mergeCell ref="B43:D43"/>
    <mergeCell ref="B68:D6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2020-06-26T10:24:23Z</cp:lastPrinted>
  <dcterms:created xsi:type="dcterms:W3CDTF">2001-11-30T10:27:10Z</dcterms:created>
  <dcterms:modified xsi:type="dcterms:W3CDTF">2020-06-30T14:02:34Z</dcterms:modified>
  <cp:category/>
  <cp:version/>
  <cp:contentType/>
  <cp:contentStatus/>
</cp:coreProperties>
</file>