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620" firstSheet="2" activeTab="9"/>
  </bookViews>
  <sheets>
    <sheet name="1 . melléklet" sheetId="17" r:id="rId1"/>
    <sheet name="2 melléklet" sheetId="18" r:id="rId2"/>
    <sheet name="3 melléklet" sheetId="1" r:id="rId3"/>
    <sheet name="4 melléklet" sheetId="2" r:id="rId4"/>
    <sheet name="5 melléklet" sheetId="3" r:id="rId5"/>
    <sheet name="6 melléklet" sheetId="5" r:id="rId6"/>
    <sheet name="7 melléklet" sheetId="20" r:id="rId7"/>
    <sheet name="8 melléklet" sheetId="6" r:id="rId8"/>
    <sheet name="9 melléklet" sheetId="9" r:id="rId9"/>
    <sheet name="10 melléklet" sheetId="10" r:id="rId10"/>
    <sheet name="11_ melléklet" sheetId="21" r:id="rId11"/>
    <sheet name="12_melléklet" sheetId="22" r:id="rId12"/>
    <sheet name="13_ melléklet" sheetId="15" r:id="rId13"/>
    <sheet name="14 melléklet" sheetId="16" r:id="rId14"/>
    <sheet name="15 melléklet" sheetId="14" r:id="rId15"/>
  </sheets>
  <definedNames>
    <definedName name="_xlnm.Print_Area" localSheetId="0">'1 . melléklet'!$A$1:$B$55</definedName>
    <definedName name="_xlnm.Print_Area" localSheetId="9">'10 melléklet'!$A$1:$P$27</definedName>
    <definedName name="_xlnm.Print_Area" localSheetId="10">'11_ melléklet'!$A$1:$D$62</definedName>
    <definedName name="_xlnm.Print_Area" localSheetId="14">'15 melléklet'!$A$1:$Q$54</definedName>
    <definedName name="_xlnm.Print_Area" localSheetId="1">'2 melléklet'!$A$1:$D$51</definedName>
    <definedName name="_xlnm.Print_Area" localSheetId="2">'3 melléklet'!$A$1:$D$89</definedName>
    <definedName name="_xlnm.Print_Area" localSheetId="3">'4 melléklet'!$A$1:$D$68</definedName>
    <definedName name="_xlnm.Print_Area" localSheetId="8">'9 melléklet'!$A$1:$D$60</definedName>
  </definedNames>
  <calcPr calcId="124519"/>
</workbook>
</file>

<file path=xl/calcChain.xml><?xml version="1.0" encoding="utf-8"?>
<calcChain xmlns="http://schemas.openxmlformats.org/spreadsheetml/2006/main">
  <c r="G25" i="14"/>
  <c r="H29"/>
  <c r="K13"/>
  <c r="I29"/>
  <c r="H24"/>
  <c r="I8"/>
  <c r="H8"/>
  <c r="G7"/>
  <c r="G24"/>
  <c r="G33"/>
  <c r="G8"/>
  <c r="G27"/>
  <c r="E8"/>
  <c r="F8"/>
  <c r="D8"/>
  <c r="D21"/>
  <c r="D38"/>
  <c r="D52" s="1"/>
  <c r="C29"/>
  <c r="C27"/>
  <c r="C25"/>
  <c r="C24"/>
  <c r="C20"/>
  <c r="C45"/>
  <c r="C7"/>
  <c r="C13"/>
  <c r="B19" i="16"/>
  <c r="B24"/>
  <c r="N58"/>
  <c r="B55"/>
  <c r="B52"/>
  <c r="B53"/>
  <c r="B51"/>
  <c r="C21" i="22"/>
  <c r="C27" s="1"/>
  <c r="L22"/>
  <c r="L23"/>
  <c r="L24"/>
  <c r="L25"/>
  <c r="L26"/>
  <c r="I22"/>
  <c r="I25"/>
  <c r="I23"/>
  <c r="I24"/>
  <c r="I26"/>
  <c r="I21"/>
  <c r="F21"/>
  <c r="L21" s="1"/>
  <c r="L27" s="1"/>
  <c r="C27" i="6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I30"/>
  <c r="I28"/>
  <c r="I27"/>
  <c r="I11"/>
  <c r="F27"/>
  <c r="F23"/>
  <c r="F20"/>
  <c r="F12"/>
  <c r="F11"/>
  <c r="L38"/>
  <c r="L36"/>
  <c r="I13"/>
  <c r="C23"/>
  <c r="C20"/>
  <c r="C11"/>
  <c r="C55" i="2"/>
  <c r="C52"/>
  <c r="C31" i="20"/>
  <c r="C16"/>
  <c r="C13"/>
  <c r="C20"/>
  <c r="C44" i="5"/>
  <c r="C43" s="1"/>
  <c r="C34"/>
  <c r="C27"/>
  <c r="C16"/>
  <c r="B16"/>
  <c r="C15"/>
  <c r="C15" i="3"/>
  <c r="B15"/>
  <c r="C53" i="2"/>
  <c r="C54"/>
  <c r="C13"/>
  <c r="C12"/>
  <c r="C11"/>
  <c r="C16"/>
  <c r="C35"/>
  <c r="C32" s="1"/>
  <c r="C31" s="1"/>
  <c r="C47"/>
  <c r="D47"/>
  <c r="C45"/>
  <c r="C44"/>
  <c r="C43" s="1"/>
  <c r="C38"/>
  <c r="C27"/>
  <c r="C20"/>
  <c r="C23"/>
  <c r="C17"/>
  <c r="C46" i="21"/>
  <c r="C48"/>
  <c r="C47"/>
  <c r="C25"/>
  <c r="C21"/>
  <c r="C18" s="1"/>
  <c r="C28" s="1"/>
  <c r="F23" i="10"/>
  <c r="O23" s="1"/>
  <c r="F22"/>
  <c r="F21"/>
  <c r="C23"/>
  <c r="C22"/>
  <c r="O22" s="1"/>
  <c r="C21"/>
  <c r="O21" s="1"/>
  <c r="O24" s="1"/>
  <c r="C46" i="9"/>
  <c r="C45"/>
  <c r="C44" s="1"/>
  <c r="C53" s="1"/>
  <c r="C23"/>
  <c r="C27" s="1"/>
  <c r="C24"/>
  <c r="C71" i="1"/>
  <c r="C67"/>
  <c r="C53"/>
  <c r="C52" s="1"/>
  <c r="C51"/>
  <c r="C50"/>
  <c r="C49" s="1"/>
  <c r="C48"/>
  <c r="C44"/>
  <c r="C30"/>
  <c r="C27" s="1"/>
  <c r="C25"/>
  <c r="C24"/>
  <c r="C21"/>
  <c r="C20"/>
  <c r="C19" s="1"/>
  <c r="C18"/>
  <c r="C16"/>
  <c r="C14"/>
  <c r="C12"/>
  <c r="C11"/>
  <c r="D10" i="18"/>
  <c r="D11"/>
  <c r="D12"/>
  <c r="D13"/>
  <c r="D14"/>
  <c r="D15"/>
  <c r="D16"/>
  <c r="D17"/>
  <c r="D19"/>
  <c r="D20"/>
  <c r="D21"/>
  <c r="D22"/>
  <c r="D23"/>
  <c r="D24"/>
  <c r="D25"/>
  <c r="D26"/>
  <c r="D27"/>
  <c r="D28"/>
  <c r="D29"/>
  <c r="D30"/>
  <c r="D31"/>
  <c r="D33"/>
  <c r="D34"/>
  <c r="D35"/>
  <c r="D36"/>
  <c r="D37"/>
  <c r="D38"/>
  <c r="D39"/>
  <c r="D40"/>
  <c r="D41"/>
  <c r="D42"/>
  <c r="D43"/>
  <c r="D44"/>
  <c r="D45"/>
  <c r="D46"/>
  <c r="D48"/>
  <c r="D49"/>
  <c r="D50"/>
  <c r="D9"/>
  <c r="C47"/>
  <c r="C51" s="1"/>
  <c r="C32"/>
  <c r="K50" i="14"/>
  <c r="L50"/>
  <c r="O31"/>
  <c r="K38"/>
  <c r="K52" s="1"/>
  <c r="B32" i="2"/>
  <c r="D50" i="14"/>
  <c r="E50"/>
  <c r="F50"/>
  <c r="C50"/>
  <c r="F38"/>
  <c r="F52" s="1"/>
  <c r="E31"/>
  <c r="E38" s="1"/>
  <c r="B10" i="2"/>
  <c r="B10" i="20"/>
  <c r="B43" i="5"/>
  <c r="B87" i="1"/>
  <c r="K22" i="22"/>
  <c r="K23"/>
  <c r="K24"/>
  <c r="K25"/>
  <c r="K26"/>
  <c r="K21"/>
  <c r="M27"/>
  <c r="D27"/>
  <c r="E27"/>
  <c r="F27"/>
  <c r="G27"/>
  <c r="H27"/>
  <c r="I27"/>
  <c r="J27"/>
  <c r="B27"/>
  <c r="D28" i="21"/>
  <c r="B20"/>
  <c r="B18"/>
  <c r="D45"/>
  <c r="B45"/>
  <c r="B54" s="1"/>
  <c r="C24"/>
  <c r="B24"/>
  <c r="D20"/>
  <c r="P24" i="10"/>
  <c r="J24"/>
  <c r="I24"/>
  <c r="G24"/>
  <c r="E24"/>
  <c r="D24"/>
  <c r="B24"/>
  <c r="N23"/>
  <c r="N22"/>
  <c r="H21"/>
  <c r="H24" s="1"/>
  <c r="D44" i="9"/>
  <c r="B44"/>
  <c r="B53" s="1"/>
  <c r="B23"/>
  <c r="C21"/>
  <c r="B21"/>
  <c r="B27" s="1"/>
  <c r="D19"/>
  <c r="K12" i="6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C31"/>
  <c r="D31"/>
  <c r="E31"/>
  <c r="F31"/>
  <c r="G31"/>
  <c r="H31"/>
  <c r="I31"/>
  <c r="J31"/>
  <c r="B31"/>
  <c r="B54" i="2"/>
  <c r="D11" i="3"/>
  <c r="D29" s="1"/>
  <c r="C11"/>
  <c r="B11"/>
  <c r="B25" i="2"/>
  <c r="B24" s="1"/>
  <c r="B15" i="1"/>
  <c r="C15" s="1"/>
  <c r="C10" s="1"/>
  <c r="C9" s="1"/>
  <c r="B43" i="2"/>
  <c r="Q21" i="14"/>
  <c r="Q22"/>
  <c r="Q23"/>
  <c r="Q24"/>
  <c r="Q46"/>
  <c r="Q47"/>
  <c r="Q48"/>
  <c r="Q49"/>
  <c r="D44" i="1"/>
  <c r="D42" s="1"/>
  <c r="B44"/>
  <c r="Q7" i="14"/>
  <c r="Q8"/>
  <c r="Q12"/>
  <c r="Q13"/>
  <c r="Q14"/>
  <c r="Q15"/>
  <c r="Q16"/>
  <c r="Q17"/>
  <c r="G18"/>
  <c r="Q18" s="1"/>
  <c r="Q19"/>
  <c r="Q20"/>
  <c r="Q25"/>
  <c r="Q26"/>
  <c r="Q27"/>
  <c r="Q28"/>
  <c r="Q29"/>
  <c r="Q30"/>
  <c r="Q31"/>
  <c r="Q32"/>
  <c r="Q33"/>
  <c r="Q34"/>
  <c r="Q35"/>
  <c r="Q36"/>
  <c r="Q37"/>
  <c r="C38"/>
  <c r="C52" s="1"/>
  <c r="G38"/>
  <c r="G52" s="1"/>
  <c r="H38"/>
  <c r="I38"/>
  <c r="I52" s="1"/>
  <c r="J38"/>
  <c r="J52" s="1"/>
  <c r="L38"/>
  <c r="L52" s="1"/>
  <c r="M38"/>
  <c r="N38"/>
  <c r="O38"/>
  <c r="O52" s="1"/>
  <c r="P38"/>
  <c r="P52" s="1"/>
  <c r="Q45"/>
  <c r="G50"/>
  <c r="Q50" s="1"/>
  <c r="H50"/>
  <c r="I50"/>
  <c r="J50"/>
  <c r="M50"/>
  <c r="N50"/>
  <c r="N52"/>
  <c r="O50"/>
  <c r="P50"/>
  <c r="M52"/>
  <c r="B14" i="16"/>
  <c r="C15"/>
  <c r="D15"/>
  <c r="E15"/>
  <c r="F15"/>
  <c r="G15"/>
  <c r="J15"/>
  <c r="K15"/>
  <c r="L15"/>
  <c r="M15"/>
  <c r="N15"/>
  <c r="C16"/>
  <c r="C14"/>
  <c r="D16"/>
  <c r="D14"/>
  <c r="E16"/>
  <c r="E14" s="1"/>
  <c r="E13" s="1"/>
  <c r="F16"/>
  <c r="F14" s="1"/>
  <c r="G16"/>
  <c r="G14" s="1"/>
  <c r="H16"/>
  <c r="H14"/>
  <c r="H13" s="1"/>
  <c r="I16"/>
  <c r="I14" s="1"/>
  <c r="J16"/>
  <c r="J14" s="1"/>
  <c r="K16"/>
  <c r="K14" s="1"/>
  <c r="L16"/>
  <c r="L14"/>
  <c r="M16"/>
  <c r="M14" s="1"/>
  <c r="N16"/>
  <c r="N14" s="1"/>
  <c r="B17"/>
  <c r="B13" s="1"/>
  <c r="C17"/>
  <c r="D17"/>
  <c r="E17"/>
  <c r="G17"/>
  <c r="H17"/>
  <c r="J17"/>
  <c r="K17"/>
  <c r="M17"/>
  <c r="N17"/>
  <c r="D18"/>
  <c r="F18"/>
  <c r="F17" s="1"/>
  <c r="I18"/>
  <c r="I17" s="1"/>
  <c r="L18"/>
  <c r="L17" s="1"/>
  <c r="B20"/>
  <c r="C21"/>
  <c r="C20" s="1"/>
  <c r="D21"/>
  <c r="D20" s="1"/>
  <c r="E21"/>
  <c r="E20" s="1"/>
  <c r="F21"/>
  <c r="F20" s="1"/>
  <c r="G21"/>
  <c r="G20" s="1"/>
  <c r="H21"/>
  <c r="H20" s="1"/>
  <c r="I21"/>
  <c r="I20" s="1"/>
  <c r="J21"/>
  <c r="J20" s="1"/>
  <c r="K21"/>
  <c r="K20" s="1"/>
  <c r="L21"/>
  <c r="L20" s="1"/>
  <c r="M21"/>
  <c r="M20" s="1"/>
  <c r="N21"/>
  <c r="N20" s="1"/>
  <c r="B22"/>
  <c r="C23"/>
  <c r="C22"/>
  <c r="D23"/>
  <c r="D22"/>
  <c r="E23"/>
  <c r="E22"/>
  <c r="F23"/>
  <c r="F22"/>
  <c r="G23"/>
  <c r="G22"/>
  <c r="H23"/>
  <c r="H22"/>
  <c r="I23"/>
  <c r="I22"/>
  <c r="J23"/>
  <c r="J22"/>
  <c r="K23"/>
  <c r="K22"/>
  <c r="L23"/>
  <c r="L22"/>
  <c r="M23"/>
  <c r="M22"/>
  <c r="N23"/>
  <c r="N22"/>
  <c r="C25"/>
  <c r="D25"/>
  <c r="E25"/>
  <c r="F25"/>
  <c r="G25"/>
  <c r="H25"/>
  <c r="I25"/>
  <c r="J25"/>
  <c r="K25"/>
  <c r="L25"/>
  <c r="M25"/>
  <c r="N25"/>
  <c r="C29"/>
  <c r="D29"/>
  <c r="E29"/>
  <c r="F29"/>
  <c r="G29"/>
  <c r="H29"/>
  <c r="I29"/>
  <c r="J29"/>
  <c r="K29"/>
  <c r="M29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B50"/>
  <c r="C50"/>
  <c r="D50"/>
  <c r="E50"/>
  <c r="F50"/>
  <c r="G50"/>
  <c r="H50"/>
  <c r="I50"/>
  <c r="J50"/>
  <c r="K50"/>
  <c r="L50"/>
  <c r="M50"/>
  <c r="N50"/>
  <c r="C55"/>
  <c r="D55"/>
  <c r="E55"/>
  <c r="F55"/>
  <c r="G55"/>
  <c r="H55"/>
  <c r="I55"/>
  <c r="I54" s="1"/>
  <c r="J55"/>
  <c r="K55"/>
  <c r="L55"/>
  <c r="M55"/>
  <c r="M54" s="1"/>
  <c r="N55"/>
  <c r="C56"/>
  <c r="D56"/>
  <c r="D54" s="1"/>
  <c r="E56"/>
  <c r="F56"/>
  <c r="G56"/>
  <c r="H56"/>
  <c r="I56"/>
  <c r="J56"/>
  <c r="J54" s="1"/>
  <c r="K56"/>
  <c r="L56"/>
  <c r="M56"/>
  <c r="N56"/>
  <c r="C58"/>
  <c r="D58"/>
  <c r="E58"/>
  <c r="F58"/>
  <c r="G58"/>
  <c r="H58"/>
  <c r="I58"/>
  <c r="J58"/>
  <c r="K58"/>
  <c r="L58"/>
  <c r="M58"/>
  <c r="B60"/>
  <c r="E25" i="15"/>
  <c r="E32" s="1"/>
  <c r="F25"/>
  <c r="F32" s="1"/>
  <c r="K11" i="6"/>
  <c r="L11"/>
  <c r="M11"/>
  <c r="M12"/>
  <c r="M13"/>
  <c r="M14"/>
  <c r="M15"/>
  <c r="M16"/>
  <c r="M18"/>
  <c r="M19"/>
  <c r="M20"/>
  <c r="M21"/>
  <c r="M23"/>
  <c r="M25"/>
  <c r="M26"/>
  <c r="M27"/>
  <c r="M28"/>
  <c r="M29"/>
  <c r="M31"/>
  <c r="K32"/>
  <c r="L32"/>
  <c r="M32"/>
  <c r="K33"/>
  <c r="L33"/>
  <c r="M33"/>
  <c r="K34"/>
  <c r="L34"/>
  <c r="M34"/>
  <c r="K35"/>
  <c r="L35"/>
  <c r="M35"/>
  <c r="K37"/>
  <c r="L37"/>
  <c r="K38"/>
  <c r="B39"/>
  <c r="C39"/>
  <c r="C41" s="1"/>
  <c r="D39"/>
  <c r="D41" s="1"/>
  <c r="E39"/>
  <c r="F39"/>
  <c r="G39"/>
  <c r="H39"/>
  <c r="I39"/>
  <c r="J39"/>
  <c r="E41"/>
  <c r="G41"/>
  <c r="J41"/>
  <c r="B13" i="20"/>
  <c r="B16"/>
  <c r="D16"/>
  <c r="B20"/>
  <c r="D20"/>
  <c r="B31"/>
  <c r="B34"/>
  <c r="D31"/>
  <c r="D34"/>
  <c r="D16" i="5"/>
  <c r="C20"/>
  <c r="D20"/>
  <c r="B22"/>
  <c r="C22"/>
  <c r="B27"/>
  <c r="B34"/>
  <c r="B41"/>
  <c r="D43"/>
  <c r="D47"/>
  <c r="B14" i="3"/>
  <c r="B29" s="1"/>
  <c r="D15"/>
  <c r="B22"/>
  <c r="C22"/>
  <c r="D22"/>
  <c r="D14" s="1"/>
  <c r="C10" i="2"/>
  <c r="D10"/>
  <c r="B20"/>
  <c r="B19" s="1"/>
  <c r="B60" s="1"/>
  <c r="B67" s="1"/>
  <c r="D20"/>
  <c r="D19" s="1"/>
  <c r="D24"/>
  <c r="B31"/>
  <c r="D32"/>
  <c r="B38"/>
  <c r="D39"/>
  <c r="D31" s="1"/>
  <c r="D43"/>
  <c r="B47"/>
  <c r="B51"/>
  <c r="B50" s="1"/>
  <c r="D10" i="1"/>
  <c r="B10"/>
  <c r="B19"/>
  <c r="B9"/>
  <c r="D19"/>
  <c r="B33"/>
  <c r="B32" s="1"/>
  <c r="B75" s="1"/>
  <c r="B82" s="1"/>
  <c r="B89" s="1"/>
  <c r="C33"/>
  <c r="D33"/>
  <c r="C38"/>
  <c r="D38"/>
  <c r="D32" s="1"/>
  <c r="B49"/>
  <c r="B52"/>
  <c r="D52"/>
  <c r="B55"/>
  <c r="C55"/>
  <c r="D55"/>
  <c r="B57"/>
  <c r="C57"/>
  <c r="D57"/>
  <c r="B63"/>
  <c r="C63"/>
  <c r="D63"/>
  <c r="B71"/>
  <c r="D71"/>
  <c r="B77"/>
  <c r="C77"/>
  <c r="D77"/>
  <c r="B18" i="18"/>
  <c r="D18" s="1"/>
  <c r="B32"/>
  <c r="D32" s="1"/>
  <c r="B47"/>
  <c r="D47" s="1"/>
  <c r="B42" i="1"/>
  <c r="K54" i="16"/>
  <c r="K61" s="1"/>
  <c r="G54"/>
  <c r="E54"/>
  <c r="C54"/>
  <c r="N54"/>
  <c r="F54"/>
  <c r="L45"/>
  <c r="J45"/>
  <c r="H45"/>
  <c r="F45"/>
  <c r="D45"/>
  <c r="M45"/>
  <c r="K45"/>
  <c r="I45"/>
  <c r="G45"/>
  <c r="E45"/>
  <c r="C45"/>
  <c r="K27" i="22"/>
  <c r="B28" i="21"/>
  <c r="N21" i="10"/>
  <c r="N24"/>
  <c r="K31" i="6"/>
  <c r="K39"/>
  <c r="K41" s="1"/>
  <c r="M39"/>
  <c r="M41" s="1"/>
  <c r="H41"/>
  <c r="B41"/>
  <c r="C45" i="21"/>
  <c r="C54" s="1"/>
  <c r="F24" i="10"/>
  <c r="C24"/>
  <c r="C32" i="1"/>
  <c r="J40" i="14" l="1"/>
  <c r="H52"/>
  <c r="J54" s="1"/>
  <c r="N13" i="16"/>
  <c r="L13"/>
  <c r="K13"/>
  <c r="D13"/>
  <c r="M13"/>
  <c r="J13"/>
  <c r="J31" s="1"/>
  <c r="G13"/>
  <c r="B27"/>
  <c r="B31" s="1"/>
  <c r="G31"/>
  <c r="K31"/>
  <c r="C13"/>
  <c r="C61"/>
  <c r="G61"/>
  <c r="D61"/>
  <c r="L54"/>
  <c r="L61" s="1"/>
  <c r="H54"/>
  <c r="H61"/>
  <c r="E61"/>
  <c r="I61"/>
  <c r="M61"/>
  <c r="F61"/>
  <c r="J61"/>
  <c r="N45"/>
  <c r="N61"/>
  <c r="B45"/>
  <c r="K64"/>
  <c r="G64"/>
  <c r="F41" i="6"/>
  <c r="I41"/>
  <c r="L39"/>
  <c r="C34" i="20"/>
  <c r="C47" i="5"/>
  <c r="B47"/>
  <c r="C14" i="3"/>
  <c r="C29" s="1"/>
  <c r="C51" i="2"/>
  <c r="C50" s="1"/>
  <c r="L31" i="16"/>
  <c r="H31"/>
  <c r="D31"/>
  <c r="D64" s="1"/>
  <c r="D75" i="1"/>
  <c r="D82" s="1"/>
  <c r="D89" s="1"/>
  <c r="D60" i="2"/>
  <c r="D67" s="1"/>
  <c r="C31" i="16"/>
  <c r="C64" s="1"/>
  <c r="N31"/>
  <c r="M31"/>
  <c r="M64" s="1"/>
  <c r="I13"/>
  <c r="I31" s="1"/>
  <c r="F13"/>
  <c r="F31" s="1"/>
  <c r="F64" s="1"/>
  <c r="E31"/>
  <c r="E64" s="1"/>
  <c r="C42" i="1"/>
  <c r="C75"/>
  <c r="C82" s="1"/>
  <c r="C89" s="1"/>
  <c r="Q38" i="14"/>
  <c r="Q52" s="1"/>
  <c r="E52"/>
  <c r="E40"/>
  <c r="E54"/>
  <c r="C25" i="2"/>
  <c r="C24" s="1"/>
  <c r="C19" s="1"/>
  <c r="C60" s="1"/>
  <c r="C67" s="1"/>
  <c r="B51" i="18"/>
  <c r="D51" s="1"/>
  <c r="L64" i="16" l="1"/>
  <c r="J64"/>
  <c r="H64"/>
  <c r="B54"/>
  <c r="B61" s="1"/>
  <c r="B64" s="1"/>
  <c r="I64"/>
  <c r="N64"/>
  <c r="L41" i="6"/>
</calcChain>
</file>

<file path=xl/sharedStrings.xml><?xml version="1.0" encoding="utf-8"?>
<sst xmlns="http://schemas.openxmlformats.org/spreadsheetml/2006/main" count="843" uniqueCount="636">
  <si>
    <t>5. Gyermekétkeztetés támogatása</t>
  </si>
  <si>
    <t xml:space="preserve">    b)Gyerm. Étk. Üzemeltetésének támogatása </t>
  </si>
  <si>
    <t xml:space="preserve">Összesen                                                           </t>
  </si>
  <si>
    <t>Bejáró gyerekek utaztatásának támogatása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</si>
  <si>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</si>
  <si>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</si>
  <si>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</si>
  <si>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</si>
  <si>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</si>
  <si>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</si>
  <si>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</si>
  <si>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</si>
  <si>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</si>
  <si>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Mezőőri őrszolgálat</t>
  </si>
  <si>
    <t>védőnői szolgálat</t>
  </si>
  <si>
    <t>Sport támogatása</t>
  </si>
  <si>
    <t>Könyváti állomány gyarapítása</t>
  </si>
  <si>
    <t>Óvoda</t>
  </si>
  <si>
    <t>Általános iskola</t>
  </si>
  <si>
    <t>III. Irányitó (felügyeleti) szervtől kapott támogatás</t>
  </si>
  <si>
    <t>Önkormányzat igazgatás Türje</t>
  </si>
  <si>
    <t>Önkormányzati igazgatás Batyk</t>
  </si>
  <si>
    <t>Önkormányzati igazgatás Zlaszló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</si>
  <si>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</si>
  <si>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</si>
  <si>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</si>
  <si>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</si>
  <si>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</si>
  <si>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</si>
  <si>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</si>
  <si>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</si>
  <si>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</si>
  <si>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</si>
  <si>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</si>
  <si>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</si>
  <si>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</si>
  <si>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- lakosságnak az önk. Lakásrend.sz. lakásvás, -építési kölcs.</t>
  </si>
  <si>
    <t>1./ Működési tartalék</t>
  </si>
  <si>
    <t xml:space="preserve">     - Általános</t>
  </si>
  <si>
    <t>2./ Fejlesztési</t>
  </si>
  <si>
    <t xml:space="preserve">     Jogcímek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</si>
  <si>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</si>
  <si>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</si>
  <si>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</si>
  <si>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</si>
  <si>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</si>
  <si>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</si>
  <si>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</si>
  <si>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</si>
  <si>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</si>
  <si>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</si>
  <si>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 xml:space="preserve">   Juttatások,  segélyek  összesen ( I + II )</t>
  </si>
  <si>
    <t>IV. Működési célú támogatásértékű pénzátadás</t>
  </si>
  <si>
    <t>1./ Önkormányzatoknak és költságvetési szerveinek</t>
  </si>
  <si>
    <t>V. Működési pénzátadás ÁHT. Kívülre</t>
  </si>
  <si>
    <t>I. Rászorultságtól függő pénzbeni szociális ellátások</t>
  </si>
  <si>
    <t>7./ Tárgyi eszköz vásárlás</t>
  </si>
  <si>
    <t>TÜRJE   KÖZSÉG  ÖNKORMÁNYZATA</t>
  </si>
  <si>
    <t>Juttatások, segélyek</t>
  </si>
  <si>
    <t>Fejlesztési    pénzeszközök</t>
  </si>
  <si>
    <t>1. Hitel visszafizetés + kamat</t>
  </si>
  <si>
    <t>TÜRJE   KÖZSÉG    ÖNKORMÁNYZATA</t>
  </si>
  <si>
    <t>VII. Felhalmozási pénzátadás</t>
  </si>
  <si>
    <t>XII. Türje Község Önkormányzata  összesen ( I+….+XI)</t>
  </si>
  <si>
    <t xml:space="preserve">                                                             </t>
  </si>
  <si>
    <t xml:space="preserve">              Ebből:           - Sportegyesület</t>
  </si>
  <si>
    <t xml:space="preserve">                                  - Közelebb Európához Alapítvány</t>
  </si>
  <si>
    <t xml:space="preserve">                                  - Polgárőrség</t>
  </si>
  <si>
    <t xml:space="preserve">Ebből: 1.) Vállalkozások részére  </t>
  </si>
  <si>
    <t xml:space="preserve">3./ Felhalmozási célú pénzátadás: 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</si>
  <si>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</si>
  <si>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</si>
  <si>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</si>
  <si>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</si>
  <si>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</si>
  <si>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</si>
  <si>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XIII. Levonás az intézmények finanszírozási összege:</t>
  </si>
  <si>
    <t>XIV. Türje község Önkormányzatának összevont kiadásai</t>
  </si>
  <si>
    <t>….sz. melléklet</t>
  </si>
  <si>
    <t xml:space="preserve">    - Türjei Közös Önkormányzati hivatal</t>
  </si>
  <si>
    <t xml:space="preserve">           - Óvodai Társulás részére állami tám. Átadás</t>
  </si>
  <si>
    <t xml:space="preserve">           - Szociélis társulás részére állami tám.átadás</t>
  </si>
  <si>
    <t xml:space="preserve">           - Szoc.társ.részére feladat ell.tám. Türje önk.</t>
  </si>
  <si>
    <t>II. Önkormányzati segélyek</t>
  </si>
  <si>
    <t xml:space="preserve">    - szociális tüzifa támogatás</t>
  </si>
  <si>
    <t>1./ Különféle pénzbeli ellátások</t>
  </si>
  <si>
    <t xml:space="preserve">    - természetbeni átmeneti Pl. étkezés</t>
  </si>
  <si>
    <t xml:space="preserve">    - köztemetés</t>
  </si>
  <si>
    <t xml:space="preserve">           - Csatorna hálózat felújítás</t>
  </si>
  <si>
    <t xml:space="preserve">            - Háziorvos(készenlét, ügyelet)</t>
  </si>
  <si>
    <t xml:space="preserve">            - Fogorvosi ügyeletre</t>
  </si>
  <si>
    <t xml:space="preserve">            - iskola eü. ellátás</t>
  </si>
  <si>
    <t xml:space="preserve"> Ebből: - </t>
  </si>
  <si>
    <t xml:space="preserve">4./ Részvényvásárlás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</si>
  <si>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</si>
  <si>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</si>
  <si>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</si>
  <si>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</si>
  <si>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</si>
  <si>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</si>
  <si>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</si>
  <si>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</si>
  <si>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</si>
  <si>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</si>
  <si>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</si>
  <si>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</si>
  <si>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</si>
  <si>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</si>
  <si>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</si>
  <si>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</si>
  <si>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Türjei Közös Önkormányzati Hivatal</t>
  </si>
  <si>
    <t>I. Intézményi működési bevételek összesen:</t>
  </si>
  <si>
    <t>III. Előző évi pénzmaradvány</t>
  </si>
  <si>
    <t>III. Intézményi bevételek összesen: (I+II+III)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</si>
  <si>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</si>
  <si>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</si>
  <si>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</si>
  <si>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</si>
  <si>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III.Intézményi kiadások összesen: (I+II.)</t>
  </si>
  <si>
    <t>II. ÁHT belülről műk pénzátvétel kp-i ktgvetési előirányzat</t>
  </si>
  <si>
    <t xml:space="preserve">           - Belső Ellenőrzési Társulás</t>
  </si>
  <si>
    <t>Közfoglalkoztatás kertészet</t>
  </si>
  <si>
    <t>Kisértékű eszköz beszerzés</t>
  </si>
  <si>
    <t>Előirányzat</t>
  </si>
  <si>
    <t>Kamatbevételek</t>
  </si>
  <si>
    <t>1.7.1.Költségvetési és adószámlák kamata</t>
  </si>
  <si>
    <t>III. Felhalmozási és tőke jellegű bevételek</t>
  </si>
  <si>
    <t>1.2. Helyi adók</t>
  </si>
  <si>
    <t>1.2.1. Építmény adó</t>
  </si>
  <si>
    <t>1.2.2. Magánszemélyek kommunális adója</t>
  </si>
  <si>
    <t>1.2.3. Iparűzési adó</t>
  </si>
  <si>
    <t>1.2.4. Pótlékok, bírságok</t>
  </si>
  <si>
    <t>1.3. Átengedett központi adók</t>
  </si>
  <si>
    <t>1.4. Különféle bírságok</t>
  </si>
  <si>
    <t xml:space="preserve">1.2.Csatornahálózat bérleti díja </t>
  </si>
  <si>
    <t>1.3.Vízműhálózat bérleti díj ( koncessziós)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</si>
  <si>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</si>
  <si>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</si>
  <si>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</si>
  <si>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</si>
  <si>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1.6. Működési célú központosított előirányzatok</t>
  </si>
  <si>
    <t>1.7. Helyi önkormányzatok kiegészítő támogatásai</t>
  </si>
  <si>
    <t>VIII. Felhalmozásra átvett pénz</t>
  </si>
  <si>
    <t>X. Bevételek Összesen ( I+…..+XV)</t>
  </si>
  <si>
    <t>XI. Előző évi korrigált pénzmaradvány</t>
  </si>
  <si>
    <t>XIII. Türje Község Önkormányzata összesen ( XVI +….+XIX.)</t>
  </si>
  <si>
    <t>1.2. Lakásépítési, -vásárlási kölcsön visszatérülése</t>
  </si>
  <si>
    <t>2./ Társulások és költségvetési szerveik</t>
  </si>
  <si>
    <t>1.1. Személyi juttatások</t>
  </si>
  <si>
    <t>1.2. Munkaadókat terhelő járulékok</t>
  </si>
  <si>
    <t xml:space="preserve">1.3. Dologi kiadások </t>
  </si>
  <si>
    <t xml:space="preserve">           - Óvodai társ. Részére Feladat ellátás tám.a Türje önk. </t>
  </si>
  <si>
    <t>3./ Fejezeti kezelésű előirányzat részére BURSA</t>
  </si>
  <si>
    <t>Teljesítés %</t>
  </si>
  <si>
    <t xml:space="preserve">    - vetőburgonya vásárlás</t>
  </si>
  <si>
    <t>2./Önkormányzat által nyújtott természetbeni ellátások</t>
  </si>
  <si>
    <t>Igazgatási szolgáltatási díj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</si>
  <si>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</si>
  <si>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</si>
  <si>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</si>
  <si>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</si>
  <si>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</si>
  <si>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</si>
  <si>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VIII. Tartalékok</t>
  </si>
  <si>
    <t xml:space="preserve">Módosított ei  </t>
  </si>
  <si>
    <t>Közművelődés</t>
  </si>
  <si>
    <t>14.sz. melléklet</t>
  </si>
  <si>
    <t>Létszámkeret, személyi juttatás és munkáltató által fizetendő járulékok</t>
  </si>
  <si>
    <t xml:space="preserve">    Szakfeladatok</t>
  </si>
  <si>
    <t>Járulékok</t>
  </si>
  <si>
    <t>1.CÍM Türje Község Önkormányzata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</si>
  <si>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</si>
  <si>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</si>
  <si>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</si>
  <si>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</si>
  <si>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</si>
  <si>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</si>
  <si>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Összesen:(1+……+6)</t>
  </si>
  <si>
    <t>COFOG száma</t>
  </si>
  <si>
    <t>COFOG elnevezése</t>
  </si>
  <si>
    <t>Türje Község Önkormányzata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</si>
  <si>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</si>
  <si>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</si>
  <si>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</si>
  <si>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</si>
  <si>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</si>
  <si>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</si>
  <si>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</si>
  <si>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</si>
  <si>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016010</t>
  </si>
  <si>
    <t>Országgyűlési, önkormányzati és európai parlamenti  képviselőválasztásokhoz kapcsolódó tevékenységek</t>
  </si>
  <si>
    <t>011140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</si>
  <si>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</si>
  <si>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</si>
  <si>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</si>
  <si>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</si>
  <si>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</si>
  <si>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</si>
  <si>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</si>
  <si>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</si>
  <si>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</si>
  <si>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</si>
  <si>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</si>
  <si>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</si>
  <si>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</si>
  <si>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</si>
  <si>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074032</t>
  </si>
  <si>
    <t>Ifjúság-egészségügyi gondozás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</si>
  <si>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</si>
  <si>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</si>
  <si>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</si>
  <si>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</si>
  <si>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</si>
  <si>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041233</t>
  </si>
  <si>
    <t>Hosszabb időtartamú közfoglalkoztatás</t>
  </si>
  <si>
    <t>041237</t>
  </si>
  <si>
    <t>082042</t>
  </si>
  <si>
    <t>082092</t>
  </si>
  <si>
    <t>081030</t>
  </si>
  <si>
    <t>Köztemető-fenntartás és működtetés</t>
  </si>
  <si>
    <t>011130</t>
  </si>
  <si>
    <t>Önkormányzatok és önkormányzati hivatalok jogalkotó és általános igazgatási tevékenysége</t>
  </si>
  <si>
    <t>016020</t>
  </si>
  <si>
    <t>Országos és helyi népszavazáshoz kapcsolódó tevékenységek</t>
  </si>
  <si>
    <t>Országos és helyi nemzetiségi önkormányzatok igazgatási tevékenysége</t>
  </si>
  <si>
    <t>011220</t>
  </si>
  <si>
    <t>Adó, vám és jövedéki igazgatás</t>
  </si>
  <si>
    <t>013210</t>
  </si>
  <si>
    <t>Statisztikai tevékenység</t>
  </si>
  <si>
    <t>ÁLLAMI TÁMOGATÁS</t>
  </si>
  <si>
    <t>I. Helyi önkormányzatok működésének általános támogatása</t>
  </si>
  <si>
    <t>1./ A települési önkormányzatok működésének támogatása</t>
  </si>
  <si>
    <t>1/a. Önkormányzati hivatal működésének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</si>
  <si>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</si>
  <si>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</si>
  <si>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</si>
  <si>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 xml:space="preserve">           c. Szociális étkezés társulási formában</t>
  </si>
  <si>
    <t xml:space="preserve">           d. Házi segítségnyújtás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</si>
  <si>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</si>
  <si>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</si>
  <si>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</si>
  <si>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</si>
  <si>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</si>
  <si>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</si>
  <si>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</si>
  <si>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</si>
  <si>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</si>
  <si>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</si>
  <si>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</si>
  <si>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</si>
  <si>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</si>
  <si>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</si>
  <si>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</si>
  <si>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</si>
  <si>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</si>
  <si>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</si>
  <si>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</si>
  <si>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</si>
  <si>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</si>
  <si>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</si>
  <si>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</si>
  <si>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</si>
  <si>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</si>
  <si>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</si>
  <si>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</si>
  <si>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</si>
  <si>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</si>
  <si>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</si>
  <si>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</si>
  <si>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</si>
  <si>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</si>
  <si>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</si>
  <si>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</si>
  <si>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</si>
  <si>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</si>
  <si>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</si>
  <si>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</si>
  <si>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</si>
  <si>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</si>
  <si>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</si>
  <si>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</si>
  <si>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4. Kölcsönnyújtás</t>
  </si>
  <si>
    <t>II. Gazdálkodási kiadás össz.</t>
  </si>
  <si>
    <t>( 1+2+3+4+5)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</si>
  <si>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</si>
  <si>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</si>
  <si>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</si>
  <si>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</si>
  <si>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>IV. Értékpapír müveletek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</si>
  <si>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</si>
  <si>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</si>
  <si>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</si>
  <si>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</si>
  <si>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</si>
  <si>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</si>
  <si>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</si>
  <si>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</si>
  <si>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</si>
  <si>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</si>
  <si>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</si>
  <si>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</si>
  <si>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</si>
  <si>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</si>
  <si>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</si>
  <si>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</si>
  <si>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</si>
  <si>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</si>
  <si>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</si>
  <si>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</si>
  <si>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</si>
  <si>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</si>
  <si>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</si>
  <si>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</si>
  <si>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</si>
  <si>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</si>
  <si>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</si>
  <si>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</si>
  <si>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</si>
  <si>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</si>
  <si>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</si>
  <si>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szociális étkezés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</si>
  <si>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</si>
  <si>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</si>
  <si>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</si>
  <si>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</si>
  <si>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</si>
  <si>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</si>
  <si>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</si>
  <si>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</si>
  <si>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</si>
  <si>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</si>
  <si>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</si>
  <si>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mezőőri tevékenység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</si>
  <si>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</si>
  <si>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</si>
  <si>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</si>
  <si>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</si>
  <si>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</si>
  <si>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</si>
  <si>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</si>
  <si>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</si>
  <si>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</si>
  <si>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</si>
  <si>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</si>
  <si>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</si>
  <si>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</si>
  <si>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</si>
  <si>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</si>
  <si>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</si>
  <si>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iskola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</si>
  <si>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</si>
  <si>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</si>
  <si>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</si>
  <si>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</si>
  <si>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</si>
  <si>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</si>
  <si>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háziorvosi ügyeleti ellátás</t>
  </si>
  <si>
    <t>pénzeszközátadás lakosságnak</t>
  </si>
  <si>
    <t>TARTALÉK</t>
  </si>
  <si>
    <t>pénzeszközátadás, befizetések, finanszírozás</t>
  </si>
  <si>
    <t>kamatbevételek</t>
  </si>
  <si>
    <t>továbbszámlázott szolgáltatás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</si>
  <si>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</si>
  <si>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</si>
  <si>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</si>
  <si>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</si>
  <si>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</si>
  <si>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</si>
  <si>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</si>
  <si>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</si>
  <si>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</si>
  <si>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</si>
  <si>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</si>
  <si>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</si>
  <si>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</si>
  <si>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</si>
  <si>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</si>
  <si>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</si>
  <si>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</si>
  <si>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II. Felhalmozási célú támogatások államháztartáson belülről</t>
  </si>
  <si>
    <t>III. Közhatalmi bevételek</t>
  </si>
  <si>
    <t>2.4. Támogatásértékű mük. bevétel központi ktgv.szervtől</t>
  </si>
  <si>
    <t>2.5. Támogatásért.bev. fejezeti előirányzatból</t>
  </si>
  <si>
    <t>2.6. Támogatásértékű bevétel önkormányzatoktól</t>
  </si>
  <si>
    <t>1.1. Készletértékesítés (kertészet)</t>
  </si>
  <si>
    <t>IV. Intézményi működési bevételek</t>
  </si>
  <si>
    <t>1.2. Szolgáltatások ellenértéke</t>
  </si>
  <si>
    <t>1.2.2. Szociális ebéd kiszállítási díja</t>
  </si>
  <si>
    <t xml:space="preserve">1.3.Továbbszámlázott szolgáltatások </t>
  </si>
  <si>
    <t>1.4. Tulajdonosi bevételek</t>
  </si>
  <si>
    <t>1.4.1.1. Művelődési Ház, raktárak</t>
  </si>
  <si>
    <t>1.4.1.2. Lakbérbevétel</t>
  </si>
  <si>
    <t>1.6. ÁFA bevételek, visszatérülések</t>
  </si>
  <si>
    <t>1.6.1.kiszámlázott Áfa bevétel</t>
  </si>
  <si>
    <t>1.7. Kamatbevételek</t>
  </si>
  <si>
    <t>1.8. Egyéb bevételek</t>
  </si>
  <si>
    <t>1.8.2 Közterülethasználat</t>
  </si>
  <si>
    <t>1.8.3. Egyéb sajátos bevételek</t>
  </si>
  <si>
    <t>1.8.1. Mezőőri járulék</t>
  </si>
  <si>
    <t>1.9. Biztosító Által fizetett kártérítés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</si>
  <si>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</si>
  <si>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</si>
  <si>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</si>
  <si>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</si>
  <si>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</si>
  <si>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</si>
  <si>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</si>
  <si>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</si>
  <si>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</si>
  <si>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</si>
  <si>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</si>
  <si>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</si>
  <si>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</si>
  <si>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</si>
  <si>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</si>
  <si>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</si>
  <si>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072311</t>
  </si>
  <si>
    <t>Fogorvosi alapellátás</t>
  </si>
  <si>
    <t>072312</t>
  </si>
  <si>
    <t>Fogorvosi ügyeleti ellátás</t>
  </si>
  <si>
    <t>család és nővédelmi egészségügyi gondozás</t>
  </si>
  <si>
    <t>081021</t>
  </si>
  <si>
    <t>Sportszövetségek és szabályozó testületek működésének támogatása</t>
  </si>
  <si>
    <t>Sportlétesítmények, edzőtáborok működtetése és fejlesztése</t>
  </si>
  <si>
    <t>Könyvtári állomány gyarapítása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</si>
  <si>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</si>
  <si>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</si>
  <si>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</si>
  <si>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</si>
  <si>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</si>
  <si>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</si>
  <si>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</si>
  <si>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</si>
  <si>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</si>
  <si>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</si>
  <si>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</si>
  <si>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</si>
  <si>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</si>
  <si>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</si>
  <si>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</si>
  <si>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Ágazati pótlék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</si>
  <si>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</si>
  <si>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</si>
  <si>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</si>
  <si>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</si>
  <si>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</si>
  <si>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</si>
  <si>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</si>
  <si>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</si>
  <si>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 xml:space="preserve">   c)Gyermek étkeztetés szünidei támogatása                         --          </t>
  </si>
  <si>
    <t xml:space="preserve">Fajlagos összeg: 1.140 Ft x 1655 fő   =            </t>
  </si>
  <si>
    <t>2016. évben állami ktgv.-ből származó bevételek összesen: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</si>
  <si>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</si>
  <si>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</si>
  <si>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</si>
  <si>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</si>
  <si>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</si>
  <si>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</si>
  <si>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</si>
  <si>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 xml:space="preserve">    - gyermek étkeztetés támogatása (20, 30 %)</t>
  </si>
  <si>
    <t>5. melléklete</t>
  </si>
  <si>
    <t xml:space="preserve">     Ebből: - Önkormányzati lakhatási támogatás    </t>
  </si>
  <si>
    <t xml:space="preserve">               - Beiskolázási támogatás   </t>
  </si>
  <si>
    <t xml:space="preserve">              -  Temetési támogatás     </t>
  </si>
  <si>
    <t xml:space="preserve">             - egyszeri támogatás</t>
  </si>
  <si>
    <t>7. melléklete</t>
  </si>
  <si>
    <t>1./ Csatorna hálózat bérleti díja</t>
  </si>
  <si>
    <t xml:space="preserve">2./ Vízműhálózat :   - bérleti díj, koncessziós díj </t>
  </si>
  <si>
    <t xml:space="preserve">  Fejlesztési bevételek összesen: ( 1+….+7)</t>
  </si>
  <si>
    <t>5./ Pénzmaradvány    (Környezetvédelmi alap szla.)</t>
  </si>
  <si>
    <t xml:space="preserve">           - Hivatal felújítás</t>
  </si>
  <si>
    <t xml:space="preserve">            - közvilágítás fejlesztés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</si>
  <si>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</si>
  <si>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</si>
  <si>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</si>
  <si>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</si>
  <si>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</si>
  <si>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</si>
  <si>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</si>
  <si>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</si>
  <si>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</si>
  <si>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</si>
  <si>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</si>
  <si>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</si>
  <si>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</si>
  <si>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</si>
  <si>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</si>
  <si>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8. mellékelete</t>
  </si>
  <si>
    <t>Szünidei étkeztetés</t>
  </si>
  <si>
    <t>Közfoglalkoztatás utas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</si>
  <si>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</si>
  <si>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</si>
  <si>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</si>
  <si>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</si>
  <si>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</si>
  <si>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</si>
  <si>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</si>
  <si>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</si>
  <si>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Önkormányzati ig. tev(Türje,Batyk,Zalaszentlászló)</t>
  </si>
  <si>
    <t>12. melléklete</t>
  </si>
  <si>
    <t>e Ft</t>
  </si>
  <si>
    <t>felhalmozási célú kiadás</t>
  </si>
  <si>
    <t>egyéb pl adóbev</t>
  </si>
  <si>
    <t>IX. Megelőlegezés visszafizetése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</si>
  <si>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</si>
  <si>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</si>
  <si>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</si>
  <si>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</si>
  <si>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</si>
  <si>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 xml:space="preserve">              - gyógyszer támogatás</t>
  </si>
  <si>
    <t>XIV. Türjei Közös Önkormányzati Hivatal 8. melléklet sz.</t>
  </si>
  <si>
    <t>XIII. Türjei Közös Önkormányzati Hivatal 8. melléklet sz.</t>
  </si>
  <si>
    <t>Türje Község Önkormányzata  feladatainak bemutatása 2017. évre vonatkozóan</t>
  </si>
  <si>
    <t>Szociális társulás</t>
  </si>
  <si>
    <t>konyha</t>
  </si>
  <si>
    <t>fogorvos</t>
  </si>
  <si>
    <t>ifjúság eü ellátás</t>
  </si>
  <si>
    <t>egyéb civil szervezetek támogatása</t>
  </si>
  <si>
    <t>1.4. Szociális feladatok egyéb támogatása</t>
  </si>
  <si>
    <t xml:space="preserve">            - gyerekorvos</t>
  </si>
  <si>
    <t>gyerekorvos</t>
  </si>
  <si>
    <t>belső ellenőrzés</t>
  </si>
  <si>
    <t>gyerekjólét</t>
  </si>
  <si>
    <t>BURSA</t>
  </si>
  <si>
    <t>állami megelőlegezés</t>
  </si>
  <si>
    <t>Bérelti díj</t>
  </si>
  <si>
    <t xml:space="preserve">    - Türje Község Önkormányzat Főzőkonyhája</t>
  </si>
  <si>
    <t>1.2.3. Egyéb szolgáltatások bevételei (MAZSIHISZ)</t>
  </si>
  <si>
    <t xml:space="preserve">1.2. Fejlesztési: környezetvédel: 11000 + 839 + 1628) </t>
  </si>
  <si>
    <t>1.1. Működési (közf. 14274   + tüzifa 2863 +  talajterhelés: 1292 + állami támogatás megelőlegezése 6243, gépjárműadó 60 % 26, idegenadó: 71)</t>
  </si>
  <si>
    <t>Jogcímek és fajlagos összegek a 2016. éviX C számú Magyarország 2017. évi költségvetéséről szóló törvény  2. sz. melléklete alapján</t>
  </si>
  <si>
    <t xml:space="preserve">       4.580.000 Ft x 8,68 fő          =                               </t>
  </si>
  <si>
    <t xml:space="preserve">beszámítás után         6.000.000.- - 904 769.-                                                </t>
  </si>
  <si>
    <t xml:space="preserve">    - 2017. 8 hónapra óvoda pedagógusok elismert létszáma (8,2 fő)  </t>
  </si>
  <si>
    <t xml:space="preserve">    - 2017. 4 hónapra óvoda pedagógusok elismert létszáma (7,1 fő)  </t>
  </si>
  <si>
    <t xml:space="preserve">    - 2017. 8 hónapra óvoda ped. munkáját segítők létszáma 6 fő</t>
  </si>
  <si>
    <t xml:space="preserve">    - 2017. 4 hónapra óvoda ped. munkáját segítők létszáma 6 fő</t>
  </si>
  <si>
    <t xml:space="preserve">    - Pedagógusi bérfejlesztés pótlólagos összeg: 7,1 fő                               </t>
  </si>
  <si>
    <t>2. Óvodaműködési támogatás 81.700 Ft/ fő / év</t>
  </si>
  <si>
    <t xml:space="preserve"> 8 hónapra    81.700,- x 76 fő x 8/12       =                                  </t>
  </si>
  <si>
    <t xml:space="preserve"> 4 hónapra    81.700,- x 69 fő x 4/12       =                                    </t>
  </si>
  <si>
    <t xml:space="preserve">8 hónapra 11 fő után                                   =                 </t>
  </si>
  <si>
    <t xml:space="preserve">4 hónapra 10 fő után                                   =                 </t>
  </si>
  <si>
    <t xml:space="preserve">               fajlagos összeg: 55.360,-X110% x 84 fő       </t>
  </si>
  <si>
    <t xml:space="preserve">                szociális segítés 33 x 25 000 Ft</t>
  </si>
  <si>
    <t xml:space="preserve">               személyi gondozás: 273.000,- x 34 fő    </t>
  </si>
  <si>
    <t>3. Minibölcsőde támogatás 4 hónapra</t>
  </si>
  <si>
    <t xml:space="preserve">    a)Elismert dolgozók bértámogatása: 6,38 fő        </t>
  </si>
  <si>
    <t xml:space="preserve">     - célhoz kötött (szennyvíz hálózat bérleti díja)</t>
  </si>
  <si>
    <t>XV. Türje Község Önkormányzat Főzőkonyhája</t>
  </si>
  <si>
    <t>XVI. Levonva az intézmények Finanszírozása</t>
  </si>
  <si>
    <t>XVII. Türje Község Önkormányzatának összevont bevételei</t>
  </si>
  <si>
    <t>1./ Óvodáztatási támogatás</t>
  </si>
  <si>
    <t>2./ gyeremekvédelmi támogatás</t>
  </si>
  <si>
    <t xml:space="preserve">             - újszülöttek támogatása</t>
  </si>
  <si>
    <t>7./ Kötött felhasználású támogatás</t>
  </si>
  <si>
    <t>6./  Iparüzési adó bevételből (30%)</t>
  </si>
  <si>
    <t>Fogorvosi szolgálat</t>
  </si>
  <si>
    <t>Ifjúság eü</t>
  </si>
  <si>
    <t>közfoglalkoztatás hosszú távú</t>
  </si>
  <si>
    <t>Közfoglalkoztatás térkő</t>
  </si>
  <si>
    <t>2017. évi  Működési kiadások részletezése kormányzati funkciónként és kiemelt előirányzatonként</t>
  </si>
  <si>
    <t>2017. évi költségvetés</t>
  </si>
  <si>
    <t>Továbbszámlázott szolgáltatások bevétele</t>
  </si>
  <si>
    <t>2017. évi költségvetése</t>
  </si>
  <si>
    <t xml:space="preserve">     4.) Közvetített szolgáltatások</t>
  </si>
  <si>
    <t>2017. évi  Működési kiadások részletezése szakfeladatonként és kiemelt előirányzatonként</t>
  </si>
  <si>
    <t>Türje Község Önkormányzat konyhája</t>
  </si>
  <si>
    <t>Felügyelet alá tartozó költségvetési szervek összesen</t>
  </si>
  <si>
    <t>Türje Község Önkormányzata Főzőkonyhája</t>
  </si>
  <si>
    <t>Intézményen kívüli gyermekétkeztetés</t>
  </si>
  <si>
    <t>Türje Község Önkormányzat Főzőkonyhája</t>
  </si>
  <si>
    <t>13. melléklet</t>
  </si>
  <si>
    <t xml:space="preserve">       2017. évi</t>
  </si>
  <si>
    <t>14. melléklete</t>
  </si>
  <si>
    <t>Szolgáltatás ellenértéke</t>
  </si>
  <si>
    <t>Ellátási díj bevétel</t>
  </si>
  <si>
    <t>Óvodai gyerekétkzetetés</t>
  </si>
  <si>
    <t>Iskolai gyerekétkeztetés</t>
  </si>
  <si>
    <t>Szociális étkzetetés</t>
  </si>
  <si>
    <t>egyéb étkeztetés</t>
  </si>
  <si>
    <t>Bölcsődei étkeztetés</t>
  </si>
  <si>
    <t xml:space="preserve">5./ Pénzmaradvány   </t>
  </si>
  <si>
    <t>XIV. Türje Község Önkormányzat Főzőkonyhája</t>
  </si>
  <si>
    <t xml:space="preserve">          -  finanszírozása</t>
  </si>
  <si>
    <t>2016 évi  Pénzmaradv.</t>
  </si>
  <si>
    <t>módosítás</t>
  </si>
  <si>
    <t>Alapfelmérés</t>
  </si>
  <si>
    <t>összesen</t>
  </si>
  <si>
    <t xml:space="preserve">2.7 Támogatás értékű bevétel EU_S </t>
  </si>
  <si>
    <t>EU-s ASP rendszer kiépítése</t>
  </si>
  <si>
    <t>Hivatal felújítás</t>
  </si>
  <si>
    <t>Közfoglalkoztatási programok</t>
  </si>
  <si>
    <t>1.2.4. 2016. évi étkezési díjak</t>
  </si>
  <si>
    <t>1.6.2 Áfavisszatérítés</t>
  </si>
  <si>
    <t>IV. Működésre átvett pénz ÁHT kívülről</t>
  </si>
  <si>
    <t>Vállalkozásoktól</t>
  </si>
  <si>
    <t>Egyéb szervezetektől</t>
  </si>
  <si>
    <t>1.3. Alapítványtól (56-os emlékmű)</t>
  </si>
  <si>
    <t>Kiszámlázott áfa, áfa visszatérítések</t>
  </si>
  <si>
    <t xml:space="preserve">            - Batyk 2016. évi elszámolás, zalabér rendelő fenntartás</t>
  </si>
  <si>
    <t xml:space="preserve">            - Fogorvos részére OEP. finansz. 3 kiegészítés</t>
  </si>
  <si>
    <t xml:space="preserve">     - Cél 1292+26+71 + közfoglalkoztatás 2018. évi bérelőleg + ASP projekt 2018. évikifizetése 3300 + hivatal energetika 2018. évi kif: 906,0</t>
  </si>
  <si>
    <t xml:space="preserve">         - hivatal energetika</t>
  </si>
  <si>
    <t>3./ Közfoglalkoztatás programok</t>
  </si>
  <si>
    <t>8/ EU-s támogatások fejlesztési része</t>
  </si>
  <si>
    <t>4/ lakásvásárlási, -építési kölcsön visszafiz.</t>
  </si>
  <si>
    <t xml:space="preserve">           - Hivatal energetika</t>
  </si>
  <si>
    <t xml:space="preserve">    - hivatal energetika</t>
  </si>
  <si>
    <t>Ebből:  - 56-os emlékmű</t>
  </si>
  <si>
    <t xml:space="preserve">          - start kertészet</t>
  </si>
  <si>
    <t xml:space="preserve">         - start helyi sajátos</t>
  </si>
  <si>
    <t xml:space="preserve">          - start utas</t>
  </si>
  <si>
    <t xml:space="preserve">          - ASP eszközbeszerzés</t>
  </si>
  <si>
    <t xml:space="preserve">            - start egyéb beszerzés</t>
  </si>
  <si>
    <t>start program egyéb üzemeltetése</t>
  </si>
  <si>
    <t xml:space="preserve"> Működésre átvett pénz AHT kívülről</t>
  </si>
  <si>
    <t>közfolglalkoztatás kertészet 2018</t>
  </si>
  <si>
    <t>Közfoglalkoztatás helyi sajátos 18</t>
  </si>
  <si>
    <t>Közfoglalkoztatás utas 2018</t>
  </si>
  <si>
    <t>Közfoglalkoztatás           (79 fő 3 hónap) ( 9 hónap 74)</t>
  </si>
  <si>
    <t>2017. év</t>
  </si>
  <si>
    <t xml:space="preserve">          - támogatások</t>
  </si>
  <si>
    <t>fogászati ügyeleti ellátás</t>
  </si>
  <si>
    <t>Türje Község Önkormányzat …12../2017.(…VII.18...) rendelete a 2017. évi költségvetésről szóló 6/2017. (III.01.) rendelet módosításáról                                                  15. Melléklet</t>
  </si>
  <si>
    <t>Türje Község Önkormányzat …12../2017.(VII.18…..) rendelete a 2017. évi költségvetésről szóló 6/2017. (III.01.) rendelet módosításáról</t>
  </si>
  <si>
    <t>Türje Község Önkormányzat 12…../2017.(…VII.18..) rendelete a 2017. évi költségvetésről szóló 6/2017. (III.01.) rendelet módosításáról</t>
  </si>
  <si>
    <t xml:space="preserve">Türje Község Önkormányzat …12../2017.(VII.18…..) rendelete a 2017. évi költségvetésről szóló 6/2017. (III.01.) rendelet módosításáról </t>
  </si>
  <si>
    <t xml:space="preserve">Türje Község Önkormányzat …12../2017.(…VII.18..) rendelete a 2017. évi költségvetésről szóló 6/2017. (III.01.) rendelet módosításáról   </t>
  </si>
  <si>
    <t xml:space="preserve">Türje Község Önkormányzat …12../2017.(…VII.18...) rendelete a 2017. évi költségvetésről szóló 6/2017. (III.01.) rendelet módosításáról   </t>
  </si>
  <si>
    <t xml:space="preserve">Türje Község Önkormányzat …12../2017.(…VII18..) rendelete a 2017. évi költségvetésről szóló 6/2017. (III.01.) rendelet módosításáról   </t>
  </si>
  <si>
    <t xml:space="preserve">Türje Község Önkormányzat 12…../2017.(…VII.18..) rendelete a 2017. évi költségvetésről szóló 6/2017. (III.01.) rendelet módosításáról   </t>
  </si>
  <si>
    <t xml:space="preserve">Türje Község Önkormányzat …12../2017.(VII.18.…..) rendelete a 2017. évi költségvetésről szóló 6/2017. (III.01.) rendelet módosításáról   </t>
  </si>
  <si>
    <t xml:space="preserve">Türje Község Önkormányzat …12../2017.(…VII.18..) rendelete a 2017. évi költségvetésről szóló 6/2017. (III.01.) rendelet módosításáról </t>
  </si>
  <si>
    <t xml:space="preserve">Türje Község Önkormányzat 12…../2017.(…VII18..) rendelete a 2017. évi költségvetésről szóló 6/2017. (III.01.) rendelet módosításáról </t>
  </si>
  <si>
    <t>Türje Község Önkormányzat …12../2017.(…VII.18...) rendelete a 2017. évi költségvetésről szóló 6/2017. (III.01.) rendelet módosításáról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</si>
</sst>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2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3" fontId="2" fillId="0" borderId="15" xfId="0" applyNumberFormat="1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3" xfId="0" applyNumberFormat="1" applyFont="1" applyBorder="1"/>
    <xf numFmtId="0" fontId="1" fillId="0" borderId="13" xfId="0" applyFont="1" applyBorder="1"/>
    <xf numFmtId="3" fontId="1" fillId="0" borderId="16" xfId="0" applyNumberFormat="1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3" fontId="1" fillId="0" borderId="15" xfId="0" applyNumberFormat="1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9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0" fontId="4" fillId="0" borderId="25" xfId="0" applyFont="1" applyBorder="1"/>
    <xf numFmtId="3" fontId="2" fillId="0" borderId="13" xfId="0" applyNumberFormat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3" fillId="0" borderId="21" xfId="0" applyNumberFormat="1" applyFont="1" applyBorder="1"/>
    <xf numFmtId="0" fontId="3" fillId="0" borderId="28" xfId="0" applyFont="1" applyBorder="1"/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/>
    <xf numFmtId="0" fontId="2" fillId="0" borderId="20" xfId="0" applyFont="1" applyBorder="1"/>
    <xf numFmtId="3" fontId="2" fillId="0" borderId="31" xfId="0" applyNumberFormat="1" applyFont="1" applyBorder="1" applyAlignment="1">
      <alignment horizontal="right"/>
    </xf>
    <xf numFmtId="0" fontId="3" fillId="0" borderId="27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4" fillId="0" borderId="33" xfId="0" applyNumberFormat="1" applyFont="1" applyBorder="1"/>
    <xf numFmtId="0" fontId="1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2" fillId="0" borderId="16" xfId="0" applyNumberFormat="1" applyFont="1" applyBorder="1"/>
    <xf numFmtId="3" fontId="3" fillId="0" borderId="35" xfId="0" applyNumberFormat="1" applyFont="1" applyBorder="1"/>
    <xf numFmtId="0" fontId="4" fillId="0" borderId="36" xfId="0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38" xfId="0" applyNumberFormat="1" applyFont="1" applyBorder="1"/>
    <xf numFmtId="3" fontId="1" fillId="0" borderId="39" xfId="0" applyNumberFormat="1" applyFont="1" applyBorder="1"/>
    <xf numFmtId="3" fontId="1" fillId="0" borderId="38" xfId="0" applyNumberFormat="1" applyFont="1" applyBorder="1"/>
    <xf numFmtId="3" fontId="4" fillId="0" borderId="32" xfId="0" applyNumberFormat="1" applyFont="1" applyBorder="1"/>
    <xf numFmtId="0" fontId="0" fillId="0" borderId="12" xfId="0" applyFont="1" applyBorder="1"/>
    <xf numFmtId="0" fontId="7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35" xfId="0" applyNumberFormat="1" applyFont="1" applyBorder="1" applyAlignment="1">
      <alignment horizontal="right"/>
    </xf>
    <xf numFmtId="3" fontId="4" fillId="0" borderId="18" xfId="0" applyNumberFormat="1" applyFont="1" applyBorder="1"/>
    <xf numFmtId="3" fontId="2" fillId="0" borderId="35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14" fontId="3" fillId="0" borderId="28" xfId="0" applyNumberFormat="1" applyFont="1" applyBorder="1"/>
    <xf numFmtId="0" fontId="2" fillId="2" borderId="44" xfId="0" applyFont="1" applyFill="1" applyBorder="1"/>
    <xf numFmtId="0" fontId="2" fillId="2" borderId="28" xfId="0" applyFont="1" applyFill="1" applyBorder="1"/>
    <xf numFmtId="0" fontId="3" fillId="0" borderId="2" xfId="0" applyFont="1" applyBorder="1" applyAlignment="1">
      <alignment horizontal="center"/>
    </xf>
    <xf numFmtId="14" fontId="3" fillId="0" borderId="4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35" xfId="0" applyNumberFormat="1" applyFont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0" fontId="4" fillId="2" borderId="15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8" fillId="2" borderId="12" xfId="0" applyFont="1" applyFill="1" applyBorder="1"/>
    <xf numFmtId="10" fontId="0" fillId="0" borderId="12" xfId="0" applyNumberFormat="1" applyBorder="1"/>
    <xf numFmtId="0" fontId="1" fillId="2" borderId="13" xfId="0" applyFont="1" applyFill="1" applyBorder="1"/>
    <xf numFmtId="0" fontId="1" fillId="2" borderId="22" xfId="0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6" xfId="0" applyFont="1" applyBorder="1"/>
    <xf numFmtId="3" fontId="3" fillId="0" borderId="30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2" fillId="2" borderId="48" xfId="0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4" fillId="0" borderId="4" xfId="0" applyFont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3" fillId="0" borderId="40" xfId="0" applyFont="1" applyFill="1" applyBorder="1"/>
    <xf numFmtId="0" fontId="2" fillId="3" borderId="42" xfId="0" applyFont="1" applyFill="1" applyBorder="1"/>
    <xf numFmtId="10" fontId="0" fillId="3" borderId="40" xfId="0" applyNumberFormat="1" applyFill="1" applyBorder="1"/>
    <xf numFmtId="10" fontId="0" fillId="0" borderId="13" xfId="0" applyNumberFormat="1" applyFill="1" applyBorder="1"/>
    <xf numFmtId="0" fontId="4" fillId="0" borderId="40" xfId="0" applyFont="1" applyFill="1" applyBorder="1"/>
    <xf numFmtId="10" fontId="4" fillId="0" borderId="12" xfId="0" applyNumberFormat="1" applyFont="1" applyBorder="1"/>
    <xf numFmtId="0" fontId="4" fillId="3" borderId="12" xfId="0" applyFont="1" applyFill="1" applyBorder="1"/>
    <xf numFmtId="3" fontId="4" fillId="3" borderId="12" xfId="0" applyNumberFormat="1" applyFont="1" applyFill="1" applyBorder="1"/>
    <xf numFmtId="10" fontId="4" fillId="3" borderId="12" xfId="0" applyNumberFormat="1" applyFont="1" applyFill="1" applyBorder="1"/>
    <xf numFmtId="6" fontId="1" fillId="0" borderId="40" xfId="0" applyNumberFormat="1" applyFont="1" applyBorder="1"/>
    <xf numFmtId="10" fontId="0" fillId="0" borderId="40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9" xfId="0" applyBorder="1"/>
    <xf numFmtId="0" fontId="0" fillId="0" borderId="50" xfId="0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46" xfId="0" applyBorder="1"/>
    <xf numFmtId="0" fontId="4" fillId="0" borderId="44" xfId="0" applyFont="1" applyBorder="1"/>
    <xf numFmtId="0" fontId="13" fillId="0" borderId="9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14" fillId="0" borderId="46" xfId="0" applyFont="1" applyBorder="1" applyAlignment="1">
      <alignment vertical="top" wrapText="1"/>
    </xf>
    <xf numFmtId="0" fontId="13" fillId="0" borderId="46" xfId="0" applyFont="1" applyBorder="1" applyAlignment="1">
      <alignment horizontal="left" vertical="top" wrapText="1" indent="4"/>
    </xf>
    <xf numFmtId="0" fontId="13" fillId="0" borderId="9" xfId="0" applyFont="1" applyBorder="1" applyAlignment="1">
      <alignment horizontal="left" vertical="top" wrapText="1" indent="4"/>
    </xf>
    <xf numFmtId="0" fontId="15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7" fillId="0" borderId="42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wrapText="1"/>
    </xf>
    <xf numFmtId="0" fontId="17" fillId="0" borderId="55" xfId="0" applyFont="1" applyBorder="1" applyAlignment="1">
      <alignment wrapText="1"/>
    </xf>
    <xf numFmtId="0" fontId="17" fillId="0" borderId="56" xfId="0" applyFont="1" applyBorder="1" applyAlignment="1">
      <alignment wrapText="1"/>
    </xf>
    <xf numFmtId="0" fontId="17" fillId="0" borderId="57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2" xfId="0" applyFont="1" applyFill="1" applyBorder="1" applyAlignment="1">
      <alignment wrapText="1"/>
    </xf>
    <xf numFmtId="0" fontId="13" fillId="0" borderId="46" xfId="0" applyFont="1" applyBorder="1" applyAlignment="1">
      <alignment horizontal="left" vertical="top" wrapText="1" indent="2"/>
    </xf>
    <xf numFmtId="4" fontId="4" fillId="0" borderId="63" xfId="0" applyNumberFormat="1" applyFont="1" applyBorder="1"/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1" fontId="17" fillId="0" borderId="12" xfId="0" applyNumberFormat="1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65" xfId="0" applyFont="1" applyBorder="1" applyAlignment="1">
      <alignment wrapText="1"/>
    </xf>
    <xf numFmtId="0" fontId="17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2" borderId="67" xfId="0" applyNumberFormat="1" applyFont="1" applyFill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2" borderId="68" xfId="0" applyNumberFormat="1" applyFont="1" applyFill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3" borderId="41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7" fillId="0" borderId="0" xfId="0" applyNumberFormat="1" applyFont="1"/>
    <xf numFmtId="3" fontId="13" fillId="0" borderId="5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3" fontId="13" fillId="0" borderId="5" xfId="0" applyNumberFormat="1" applyFont="1" applyBorder="1" applyAlignment="1">
      <alignment vertical="top" wrapText="1"/>
    </xf>
    <xf numFmtId="3" fontId="15" fillId="0" borderId="5" xfId="0" applyNumberFormat="1" applyFont="1" applyBorder="1" applyAlignment="1">
      <alignment horizontal="right" vertical="top" wrapText="1"/>
    </xf>
    <xf numFmtId="3" fontId="0" fillId="0" borderId="0" xfId="0" applyNumberFormat="1"/>
    <xf numFmtId="3" fontId="14" fillId="0" borderId="5" xfId="0" applyNumberFormat="1" applyFont="1" applyBorder="1" applyAlignment="1">
      <alignment vertical="top" wrapText="1"/>
    </xf>
    <xf numFmtId="3" fontId="15" fillId="0" borderId="5" xfId="0" applyNumberFormat="1" applyFont="1" applyBorder="1" applyAlignment="1">
      <alignment vertical="top" wrapText="1"/>
    </xf>
    <xf numFmtId="3" fontId="13" fillId="0" borderId="5" xfId="0" applyNumberFormat="1" applyFont="1" applyBorder="1" applyAlignment="1">
      <alignment horizontal="left" vertical="top" wrapText="1" indent="4"/>
    </xf>
    <xf numFmtId="3" fontId="15" fillId="0" borderId="11" xfId="0" applyNumberFormat="1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3" fontId="15" fillId="0" borderId="3" xfId="0" applyNumberFormat="1" applyFont="1" applyBorder="1" applyAlignment="1">
      <alignment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9" fillId="0" borderId="0" xfId="0" applyFont="1"/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3" fillId="0" borderId="70" xfId="0" applyNumberFormat="1" applyFont="1" applyBorder="1" applyAlignment="1">
      <alignment horizontal="right"/>
    </xf>
    <xf numFmtId="3" fontId="4" fillId="0" borderId="17" xfId="0" applyNumberFormat="1" applyFont="1" applyBorder="1"/>
    <xf numFmtId="2" fontId="4" fillId="0" borderId="71" xfId="0" applyNumberFormat="1" applyFont="1" applyBorder="1"/>
    <xf numFmtId="2" fontId="4" fillId="0" borderId="0" xfId="0" applyNumberFormat="1" applyFont="1" applyBorder="1"/>
    <xf numFmtId="2" fontId="4" fillId="4" borderId="71" xfId="0" applyNumberFormat="1" applyFont="1" applyFill="1" applyBorder="1" applyAlignment="1">
      <alignment horizontal="center" wrapText="1"/>
    </xf>
    <xf numFmtId="3" fontId="4" fillId="0" borderId="10" xfId="0" applyNumberFormat="1" applyFont="1" applyBorder="1"/>
    <xf numFmtId="0" fontId="4" fillId="4" borderId="72" xfId="0" applyFont="1" applyFill="1" applyBorder="1"/>
    <xf numFmtId="3" fontId="4" fillId="4" borderId="41" xfId="0" applyNumberFormat="1" applyFont="1" applyFill="1" applyBorder="1" applyAlignment="1">
      <alignment horizontal="right"/>
    </xf>
    <xf numFmtId="14" fontId="4" fillId="4" borderId="41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right"/>
    </xf>
    <xf numFmtId="3" fontId="13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2" fillId="0" borderId="27" xfId="0" applyNumberFormat="1" applyFont="1" applyBorder="1"/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43" xfId="0" applyBorder="1"/>
    <xf numFmtId="0" fontId="0" fillId="0" borderId="43" xfId="0" applyFill="1" applyBorder="1"/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0" fontId="1" fillId="0" borderId="67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73" xfId="0" applyFont="1" applyBorder="1"/>
    <xf numFmtId="3" fontId="4" fillId="0" borderId="74" xfId="0" applyNumberFormat="1" applyFont="1" applyBorder="1" applyAlignment="1">
      <alignment horizontal="right"/>
    </xf>
    <xf numFmtId="0" fontId="4" fillId="0" borderId="73" xfId="0" applyFont="1" applyBorder="1"/>
    <xf numFmtId="0" fontId="0" fillId="0" borderId="24" xfId="0" applyBorder="1"/>
    <xf numFmtId="0" fontId="9" fillId="0" borderId="28" xfId="0" applyFont="1" applyBorder="1"/>
    <xf numFmtId="0" fontId="10" fillId="0" borderId="28" xfId="0" applyFont="1" applyBorder="1"/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7" fillId="0" borderId="48" xfId="0" applyFont="1" applyBorder="1" applyAlignment="1">
      <alignment wrapText="1"/>
    </xf>
    <xf numFmtId="0" fontId="17" fillId="0" borderId="75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7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" fillId="0" borderId="47" xfId="0" applyNumberFormat="1" applyFont="1" applyBorder="1"/>
    <xf numFmtId="0" fontId="4" fillId="0" borderId="4" xfId="0" applyFont="1" applyFill="1" applyBorder="1"/>
    <xf numFmtId="0" fontId="4" fillId="0" borderId="30" xfId="0" applyFont="1" applyFill="1" applyBorder="1"/>
    <xf numFmtId="0" fontId="2" fillId="5" borderId="12" xfId="0" applyFont="1" applyFill="1" applyBorder="1"/>
    <xf numFmtId="3" fontId="2" fillId="5" borderId="12" xfId="0" applyNumberFormat="1" applyFont="1" applyFill="1" applyBorder="1"/>
    <xf numFmtId="0" fontId="2" fillId="3" borderId="0" xfId="0" applyFont="1" applyFill="1" applyBorder="1"/>
    <xf numFmtId="3" fontId="2" fillId="3" borderId="42" xfId="0" applyNumberFormat="1" applyFont="1" applyFill="1" applyBorder="1"/>
    <xf numFmtId="3" fontId="2" fillId="3" borderId="0" xfId="0" applyNumberFormat="1" applyFont="1" applyFill="1" applyBorder="1"/>
    <xf numFmtId="10" fontId="0" fillId="3" borderId="42" xfId="0" applyNumberFormat="1" applyFill="1" applyBorder="1"/>
    <xf numFmtId="0" fontId="4" fillId="5" borderId="12" xfId="0" applyFont="1" applyFill="1" applyBorder="1"/>
    <xf numFmtId="3" fontId="3" fillId="5" borderId="12" xfId="0" applyNumberFormat="1" applyFont="1" applyFill="1" applyBorder="1"/>
    <xf numFmtId="16" fontId="3" fillId="0" borderId="28" xfId="0" applyNumberFormat="1" applyFont="1" applyBorder="1"/>
    <xf numFmtId="3" fontId="1" fillId="6" borderId="12" xfId="0" applyNumberFormat="1" applyFont="1" applyFill="1" applyBorder="1"/>
    <xf numFmtId="0" fontId="17" fillId="0" borderId="35" xfId="0" applyFont="1" applyBorder="1" applyAlignment="1">
      <alignment wrapText="1"/>
    </xf>
    <xf numFmtId="0" fontId="0" fillId="0" borderId="0" xfId="0" applyBorder="1" applyAlignment="1">
      <alignment horizontal="right"/>
    </xf>
    <xf numFmtId="3" fontId="1" fillId="0" borderId="12" xfId="0" applyNumberFormat="1" applyFont="1" applyFill="1" applyBorder="1"/>
    <xf numFmtId="3" fontId="6" fillId="0" borderId="24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4" fillId="0" borderId="46" xfId="0" applyFont="1" applyBorder="1"/>
    <xf numFmtId="0" fontId="4" fillId="0" borderId="6" xfId="0" applyFont="1" applyBorder="1"/>
    <xf numFmtId="0" fontId="4" fillId="0" borderId="1" xfId="0" applyFont="1" applyBorder="1"/>
    <xf numFmtId="49" fontId="19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49" fontId="0" fillId="0" borderId="12" xfId="0" applyNumberFormat="1" applyBorder="1" applyAlignment="1">
      <alignment horizontal="right"/>
    </xf>
    <xf numFmtId="49" fontId="11" fillId="0" borderId="12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vertical="top" wrapText="1"/>
    </xf>
    <xf numFmtId="49" fontId="12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2" fillId="0" borderId="27" xfId="0" applyFont="1" applyBorder="1"/>
    <xf numFmtId="3" fontId="13" fillId="0" borderId="4" xfId="0" applyNumberFormat="1" applyFont="1" applyBorder="1" applyAlignment="1">
      <alignment vertical="top" wrapText="1"/>
    </xf>
    <xf numFmtId="3" fontId="15" fillId="0" borderId="4" xfId="0" applyNumberFormat="1" applyFont="1" applyBorder="1" applyAlignment="1">
      <alignment vertical="top" wrapText="1"/>
    </xf>
    <xf numFmtId="3" fontId="13" fillId="0" borderId="36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3" fontId="0" fillId="0" borderId="23" xfId="0" applyNumberFormat="1" applyBorder="1"/>
    <xf numFmtId="0" fontId="0" fillId="0" borderId="12" xfId="0" applyFont="1" applyFill="1" applyBorder="1"/>
    <xf numFmtId="2" fontId="3" fillId="4" borderId="3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4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4" fillId="4" borderId="31" xfId="0" applyFont="1" applyFill="1" applyBorder="1"/>
    <xf numFmtId="3" fontId="4" fillId="4" borderId="31" xfId="0" applyNumberFormat="1" applyFont="1" applyFill="1" applyBorder="1" applyAlignment="1">
      <alignment horizontal="right"/>
    </xf>
    <xf numFmtId="0" fontId="4" fillId="4" borderId="31" xfId="0" applyFont="1" applyFill="1" applyBorder="1" applyAlignment="1">
      <alignment horizontal="right"/>
    </xf>
    <xf numFmtId="14" fontId="4" fillId="4" borderId="31" xfId="0" applyNumberFormat="1" applyFont="1" applyFill="1" applyBorder="1" applyAlignment="1">
      <alignment horizontal="center"/>
    </xf>
    <xf numFmtId="14" fontId="3" fillId="0" borderId="30" xfId="0" applyNumberFormat="1" applyFont="1" applyBorder="1"/>
    <xf numFmtId="2" fontId="3" fillId="0" borderId="12" xfId="0" applyNumberFormat="1" applyFont="1" applyBorder="1"/>
    <xf numFmtId="0" fontId="2" fillId="7" borderId="12" xfId="0" applyFont="1" applyFill="1" applyBorder="1"/>
    <xf numFmtId="3" fontId="2" fillId="7" borderId="12" xfId="0" applyNumberFormat="1" applyFont="1" applyFill="1" applyBorder="1"/>
    <xf numFmtId="0" fontId="0" fillId="0" borderId="52" xfId="0" applyFill="1" applyBorder="1"/>
    <xf numFmtId="0" fontId="0" fillId="0" borderId="27" xfId="0" applyFill="1" applyBorder="1"/>
    <xf numFmtId="0" fontId="1" fillId="2" borderId="45" xfId="0" applyFont="1" applyFill="1" applyBorder="1"/>
    <xf numFmtId="3" fontId="0" fillId="0" borderId="13" xfId="0" applyNumberFormat="1" applyFont="1" applyBorder="1"/>
    <xf numFmtId="3" fontId="1" fillId="0" borderId="52" xfId="0" applyNumberFormat="1" applyFont="1" applyBorder="1"/>
    <xf numFmtId="0" fontId="0" fillId="0" borderId="44" xfId="0" applyFill="1" applyBorder="1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right"/>
    </xf>
    <xf numFmtId="3" fontId="13" fillId="0" borderId="4" xfId="0" applyNumberFormat="1" applyFont="1" applyBorder="1" applyAlignment="1">
      <alignment horizontal="right" vertical="top" wrapText="1"/>
    </xf>
    <xf numFmtId="3" fontId="13" fillId="0" borderId="36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0" fillId="0" borderId="47" xfId="0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4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3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35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view="pageBreakPreview" zoomScaleSheetLayoutView="100" workbookViewId="0">
      <selection sqref="A1:B1"/>
    </sheetView>
  </sheetViews>
  <sheetFormatPr defaultRowHeight="12.75"/>
  <cols>
    <col min="1" max="1" width="15.42578125" style="349" customWidth="1"/>
    <col min="2" max="2" width="81.28515625" style="350" customWidth="1"/>
    <col min="3" max="16384" width="9.140625" style="330"/>
  </cols>
  <sheetData>
    <row r="1" spans="1:2" s="33" customFormat="1" ht="26.25" customHeight="1">
      <c r="A1" s="468" t="s">
        <v>628</v>
      </c>
      <c r="B1" s="468"/>
    </row>
    <row r="2" spans="1:2" s="33" customFormat="1">
      <c r="A2" s="348"/>
      <c r="B2" s="355" t="s">
        <v>456</v>
      </c>
    </row>
    <row r="3" spans="1:2" ht="18.75" customHeight="1">
      <c r="A3" s="427" t="s">
        <v>178</v>
      </c>
      <c r="B3" s="428" t="s">
        <v>179</v>
      </c>
    </row>
    <row r="4" spans="1:2" ht="13.5" customHeight="1">
      <c r="A4" s="432" t="s">
        <v>242</v>
      </c>
      <c r="B4" s="429" t="s">
        <v>180</v>
      </c>
    </row>
    <row r="5" spans="1:2" ht="18.75" customHeight="1">
      <c r="A5" s="427" t="s">
        <v>220</v>
      </c>
      <c r="B5" s="428" t="s">
        <v>221</v>
      </c>
    </row>
    <row r="6" spans="1:2" ht="18.75" customHeight="1">
      <c r="A6" s="427" t="s">
        <v>402</v>
      </c>
      <c r="B6" s="428" t="s">
        <v>219</v>
      </c>
    </row>
    <row r="7" spans="1:2" ht="29.25" customHeight="1">
      <c r="A7" s="427" t="s">
        <v>185</v>
      </c>
      <c r="B7" s="428" t="s">
        <v>186</v>
      </c>
    </row>
    <row r="8" spans="1:2" ht="18.75" customHeight="1">
      <c r="A8" s="427" t="s">
        <v>196</v>
      </c>
      <c r="B8" s="428" t="s">
        <v>403</v>
      </c>
    </row>
    <row r="9" spans="1:2" ht="18.75" customHeight="1">
      <c r="A9" s="427" t="s">
        <v>197</v>
      </c>
      <c r="B9" s="428" t="s">
        <v>198</v>
      </c>
    </row>
    <row r="10" spans="1:2" ht="18.75" customHeight="1">
      <c r="A10" s="427" t="s">
        <v>213</v>
      </c>
      <c r="B10" s="428" t="s">
        <v>214</v>
      </c>
    </row>
    <row r="11" spans="1:2" ht="18.75" customHeight="1">
      <c r="A11" s="427" t="s">
        <v>215</v>
      </c>
      <c r="B11" s="428" t="s">
        <v>404</v>
      </c>
    </row>
    <row r="12" spans="1:2" ht="18.75" customHeight="1">
      <c r="A12" s="427" t="s">
        <v>187</v>
      </c>
      <c r="B12" s="428" t="s">
        <v>188</v>
      </c>
    </row>
    <row r="13" spans="1:2" ht="18.75" customHeight="1">
      <c r="A13" s="427" t="s">
        <v>183</v>
      </c>
      <c r="B13" s="428" t="s">
        <v>184</v>
      </c>
    </row>
    <row r="14" spans="1:2" ht="18.75" customHeight="1">
      <c r="A14" s="427" t="s">
        <v>405</v>
      </c>
      <c r="B14" s="428" t="s">
        <v>406</v>
      </c>
    </row>
    <row r="15" spans="1:2" ht="18.75" customHeight="1">
      <c r="A15" s="427" t="s">
        <v>442</v>
      </c>
      <c r="B15" s="428" t="s">
        <v>443</v>
      </c>
    </row>
    <row r="16" spans="1:2" ht="18.75" customHeight="1">
      <c r="A16" s="427" t="s">
        <v>407</v>
      </c>
      <c r="B16" s="428" t="s">
        <v>408</v>
      </c>
    </row>
    <row r="17" spans="1:2" ht="15" customHeight="1">
      <c r="A17" s="427" t="s">
        <v>181</v>
      </c>
      <c r="B17" s="428" t="s">
        <v>182</v>
      </c>
    </row>
    <row r="18" spans="1:2" ht="20.25" customHeight="1">
      <c r="A18" s="427" t="s">
        <v>192</v>
      </c>
      <c r="B18" s="428" t="s">
        <v>193</v>
      </c>
    </row>
    <row r="19" spans="1:2" ht="18.75" customHeight="1">
      <c r="A19" s="427" t="s">
        <v>414</v>
      </c>
      <c r="B19" s="428" t="s">
        <v>415</v>
      </c>
    </row>
    <row r="20" spans="1:2" ht="17.25" customHeight="1">
      <c r="A20" s="427" t="s">
        <v>194</v>
      </c>
      <c r="B20" s="428" t="s">
        <v>195</v>
      </c>
    </row>
    <row r="21" spans="1:2" ht="18" customHeight="1">
      <c r="A21" s="427" t="s">
        <v>201</v>
      </c>
      <c r="B21" s="428" t="s">
        <v>202</v>
      </c>
    </row>
    <row r="22" spans="1:2" ht="18" customHeight="1">
      <c r="A22" s="427" t="s">
        <v>203</v>
      </c>
      <c r="B22" s="428" t="s">
        <v>204</v>
      </c>
    </row>
    <row r="23" spans="1:2" ht="18" customHeight="1">
      <c r="A23" s="427" t="s">
        <v>416</v>
      </c>
      <c r="B23" s="428" t="s">
        <v>417</v>
      </c>
    </row>
    <row r="24" spans="1:2" ht="18" customHeight="1">
      <c r="A24" s="427" t="s">
        <v>418</v>
      </c>
      <c r="B24" s="428" t="s">
        <v>419</v>
      </c>
    </row>
    <row r="25" spans="1:2" ht="18" customHeight="1">
      <c r="A25" s="427" t="s">
        <v>205</v>
      </c>
      <c r="B25" s="428" t="s">
        <v>420</v>
      </c>
    </row>
    <row r="26" spans="1:2" ht="18" customHeight="1">
      <c r="A26" s="427" t="s">
        <v>206</v>
      </c>
      <c r="B26" s="428" t="s">
        <v>207</v>
      </c>
    </row>
    <row r="27" spans="1:2" ht="18" customHeight="1">
      <c r="A27" s="427" t="s">
        <v>421</v>
      </c>
      <c r="B27" s="428" t="s">
        <v>422</v>
      </c>
    </row>
    <row r="28" spans="1:2" ht="18" customHeight="1">
      <c r="A28" s="427" t="s">
        <v>218</v>
      </c>
      <c r="B28" s="428" t="s">
        <v>423</v>
      </c>
    </row>
    <row r="29" spans="1:2" ht="18" customHeight="1">
      <c r="A29" s="427" t="s">
        <v>216</v>
      </c>
      <c r="B29" s="431" t="s">
        <v>424</v>
      </c>
    </row>
    <row r="30" spans="1:2" ht="16.5" customHeight="1">
      <c r="A30" s="427" t="s">
        <v>217</v>
      </c>
      <c r="B30" s="428" t="s">
        <v>425</v>
      </c>
    </row>
    <row r="31" spans="1:2" ht="16.5" customHeight="1">
      <c r="A31" s="427" t="s">
        <v>199</v>
      </c>
      <c r="B31" s="428" t="s">
        <v>200</v>
      </c>
    </row>
    <row r="32" spans="1:2" ht="15" customHeight="1">
      <c r="A32" s="427" t="s">
        <v>444</v>
      </c>
      <c r="B32" s="428" t="s">
        <v>426</v>
      </c>
    </row>
    <row r="33" spans="1:2" ht="30.75" customHeight="1">
      <c r="A33" s="427" t="s">
        <v>427</v>
      </c>
      <c r="B33" s="428" t="s">
        <v>428</v>
      </c>
    </row>
    <row r="34" spans="1:2" ht="21.75" customHeight="1">
      <c r="A34" s="427" t="s">
        <v>445</v>
      </c>
      <c r="B34" s="428" t="s">
        <v>446</v>
      </c>
    </row>
    <row r="35" spans="1:2" ht="18" customHeight="1">
      <c r="A35" s="427" t="s">
        <v>447</v>
      </c>
      <c r="B35" s="428" t="s">
        <v>448</v>
      </c>
    </row>
    <row r="36" spans="1:2" ht="18" customHeight="1">
      <c r="A36" s="427" t="s">
        <v>429</v>
      </c>
      <c r="B36" s="428" t="s">
        <v>211</v>
      </c>
    </row>
    <row r="37" spans="1:2" ht="19.5" customHeight="1">
      <c r="A37" s="427" t="s">
        <v>430</v>
      </c>
      <c r="B37" s="428" t="s">
        <v>210</v>
      </c>
    </row>
    <row r="38" spans="1:2" ht="15.75" customHeight="1">
      <c r="A38" s="427" t="s">
        <v>431</v>
      </c>
      <c r="B38" s="428" t="s">
        <v>209</v>
      </c>
    </row>
    <row r="39" spans="1:2" ht="15" customHeight="1">
      <c r="A39" s="427" t="s">
        <v>432</v>
      </c>
      <c r="B39" s="428" t="s">
        <v>208</v>
      </c>
    </row>
    <row r="40" spans="1:2" ht="15.75" customHeight="1">
      <c r="A40" s="427" t="s">
        <v>433</v>
      </c>
      <c r="B40" s="428" t="s">
        <v>212</v>
      </c>
    </row>
    <row r="41" spans="1:2" ht="15.75" customHeight="1">
      <c r="A41" s="427" t="s">
        <v>434</v>
      </c>
      <c r="B41" s="428" t="s">
        <v>435</v>
      </c>
    </row>
    <row r="42" spans="1:2" ht="18.75" customHeight="1">
      <c r="A42" s="427" t="s">
        <v>436</v>
      </c>
      <c r="B42" s="428" t="s">
        <v>437</v>
      </c>
    </row>
    <row r="43" spans="1:2" ht="15.75" customHeight="1">
      <c r="A43" s="427" t="s">
        <v>438</v>
      </c>
      <c r="B43" s="428" t="s">
        <v>439</v>
      </c>
    </row>
    <row r="44" spans="1:2" s="104" customFormat="1" ht="16.5" customHeight="1">
      <c r="A44" s="432" t="s">
        <v>243</v>
      </c>
      <c r="B44" s="429" t="s">
        <v>110</v>
      </c>
    </row>
    <row r="45" spans="1:2" ht="19.5" customHeight="1">
      <c r="A45" s="427" t="s">
        <v>220</v>
      </c>
      <c r="B45" s="428" t="s">
        <v>221</v>
      </c>
    </row>
    <row r="46" spans="1:2" ht="27.75" customHeight="1">
      <c r="A46" s="427" t="s">
        <v>189</v>
      </c>
      <c r="B46" s="428" t="s">
        <v>190</v>
      </c>
    </row>
    <row r="47" spans="1:2" ht="15" customHeight="1">
      <c r="A47" s="427" t="s">
        <v>222</v>
      </c>
      <c r="B47" s="428" t="s">
        <v>223</v>
      </c>
    </row>
    <row r="48" spans="1:2" ht="13.5" customHeight="1">
      <c r="A48" s="427" t="s">
        <v>191</v>
      </c>
      <c r="B48" s="428" t="s">
        <v>224</v>
      </c>
    </row>
    <row r="49" spans="1:2" ht="13.5" customHeight="1">
      <c r="A49" s="427" t="s">
        <v>225</v>
      </c>
      <c r="B49" s="428" t="s">
        <v>226</v>
      </c>
    </row>
    <row r="50" spans="1:2" ht="17.25" customHeight="1">
      <c r="A50" s="427" t="s">
        <v>227</v>
      </c>
      <c r="B50" s="428" t="s">
        <v>228</v>
      </c>
    </row>
    <row r="51" spans="1:2">
      <c r="A51" s="433" t="s">
        <v>244</v>
      </c>
      <c r="B51" s="430" t="s">
        <v>569</v>
      </c>
    </row>
    <row r="52" spans="1:2">
      <c r="A52" s="426" t="s">
        <v>445</v>
      </c>
      <c r="B52" s="425" t="s">
        <v>446</v>
      </c>
    </row>
    <row r="53" spans="1:2">
      <c r="A53" s="426" t="s">
        <v>447</v>
      </c>
      <c r="B53" s="425" t="s">
        <v>448</v>
      </c>
    </row>
    <row r="54" spans="1:2">
      <c r="A54" s="426" t="s">
        <v>433</v>
      </c>
      <c r="B54" s="425" t="s">
        <v>212</v>
      </c>
    </row>
    <row r="55" spans="1:2">
      <c r="A55" s="424"/>
      <c r="B55" s="425" t="s">
        <v>570</v>
      </c>
    </row>
  </sheetData>
  <mergeCells count="1">
    <mergeCell ref="A1:B1"/>
  </mergeCells>
  <phoneticPr fontId="5" type="noConversion"/>
  <pageMargins left="0.75" right="0.75" top="1" bottom="1" header="0.5" footer="0.5"/>
  <pageSetup paperSize="9" scale="73" orientation="portrait" r:id="rId1"/>
  <headerFooter alignWithMargins="0"/>
  <rowBreaks count="1" manualBreakCount="1">
    <brk id="55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7:P263"/>
  <sheetViews>
    <sheetView tabSelected="1" view="pageBreakPreview" zoomScaleSheetLayoutView="100" workbookViewId="0">
      <selection activeCell="A15" sqref="A15:P15"/>
    </sheetView>
  </sheetViews>
  <sheetFormatPr defaultRowHeight="12.75"/>
  <cols>
    <col min="1" max="1" width="28.28515625" customWidth="1"/>
    <col min="9" max="9" width="10.140625" customWidth="1"/>
  </cols>
  <sheetData>
    <row r="7" spans="1:16" ht="15">
      <c r="A7" s="499" t="s">
        <v>566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1:16">
      <c r="A8" s="491" t="s">
        <v>110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</row>
    <row r="9" spans="1:16" ht="15"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6">
      <c r="A10" s="487"/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</row>
    <row r="12" spans="1:16">
      <c r="A12" s="104"/>
      <c r="B12" s="104"/>
      <c r="C12" s="104"/>
      <c r="D12" s="104"/>
      <c r="E12" s="104"/>
      <c r="F12" s="104"/>
    </row>
    <row r="13" spans="1:16">
      <c r="A13" s="104"/>
      <c r="B13" s="104"/>
      <c r="C13" s="104"/>
      <c r="D13" s="104"/>
      <c r="E13" s="104"/>
      <c r="F13" s="104"/>
    </row>
    <row r="15" spans="1:16">
      <c r="A15" s="473" t="s">
        <v>625</v>
      </c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</row>
    <row r="16" spans="1:16">
      <c r="O16" t="s">
        <v>491</v>
      </c>
    </row>
    <row r="17" spans="1:16">
      <c r="P17" t="s">
        <v>455</v>
      </c>
    </row>
    <row r="18" spans="1:16">
      <c r="A18" s="106" t="s">
        <v>95</v>
      </c>
      <c r="B18" s="107"/>
      <c r="C18" s="108" t="s">
        <v>96</v>
      </c>
      <c r="D18" s="109"/>
      <c r="E18" s="110" t="s">
        <v>97</v>
      </c>
      <c r="F18" s="111"/>
      <c r="G18" s="112"/>
      <c r="H18" s="113" t="s">
        <v>98</v>
      </c>
      <c r="I18" s="114"/>
      <c r="J18" s="112"/>
      <c r="K18" s="504" t="s">
        <v>122</v>
      </c>
      <c r="L18" s="505"/>
      <c r="M18" s="506"/>
      <c r="N18" s="110"/>
      <c r="O18" s="108" t="s">
        <v>99</v>
      </c>
      <c r="P18" s="112"/>
    </row>
    <row r="19" spans="1:16">
      <c r="A19" s="115" t="s">
        <v>100</v>
      </c>
      <c r="B19" s="110" t="s">
        <v>101</v>
      </c>
      <c r="C19" s="112"/>
      <c r="D19" s="116" t="s">
        <v>29</v>
      </c>
      <c r="E19" s="110" t="s">
        <v>102</v>
      </c>
      <c r="F19" s="112"/>
      <c r="G19" s="110" t="s">
        <v>29</v>
      </c>
      <c r="H19" s="110" t="s">
        <v>103</v>
      </c>
      <c r="I19" s="112"/>
      <c r="J19" s="116" t="s">
        <v>29</v>
      </c>
      <c r="K19" s="507" t="s">
        <v>123</v>
      </c>
      <c r="L19" s="508"/>
      <c r="M19" s="110" t="s">
        <v>29</v>
      </c>
      <c r="N19" s="110" t="s">
        <v>104</v>
      </c>
      <c r="O19" s="112"/>
      <c r="P19" s="116" t="s">
        <v>29</v>
      </c>
    </row>
    <row r="20" spans="1:16">
      <c r="A20" s="117"/>
      <c r="B20" s="115" t="s">
        <v>71</v>
      </c>
      <c r="C20" s="116" t="s">
        <v>30</v>
      </c>
      <c r="D20" s="116"/>
      <c r="E20" s="116" t="s">
        <v>71</v>
      </c>
      <c r="F20" s="116" t="s">
        <v>30</v>
      </c>
      <c r="G20" s="116"/>
      <c r="H20" s="116" t="s">
        <v>105</v>
      </c>
      <c r="I20" s="116" t="s">
        <v>30</v>
      </c>
      <c r="J20" s="116"/>
      <c r="K20" s="116" t="s">
        <v>71</v>
      </c>
      <c r="L20" s="116" t="s">
        <v>30</v>
      </c>
      <c r="M20" s="116"/>
      <c r="N20" s="116" t="s">
        <v>71</v>
      </c>
      <c r="O20" s="116" t="s">
        <v>30</v>
      </c>
      <c r="P20" s="116"/>
    </row>
    <row r="21" spans="1:16" ht="18" customHeight="1">
      <c r="A21" s="112" t="s">
        <v>20</v>
      </c>
      <c r="B21" s="413">
        <v>21225</v>
      </c>
      <c r="C21" s="118">
        <f>B21+289</f>
        <v>21514</v>
      </c>
      <c r="D21" s="118"/>
      <c r="E21" s="118">
        <v>4724</v>
      </c>
      <c r="F21" s="118">
        <f>E21+64</f>
        <v>4788</v>
      </c>
      <c r="G21" s="118"/>
      <c r="H21" s="118">
        <f>7236+144</f>
        <v>7380</v>
      </c>
      <c r="I21" s="118">
        <v>7380</v>
      </c>
      <c r="J21" s="118"/>
      <c r="K21" s="118">
        <v>150</v>
      </c>
      <c r="L21" s="118">
        <v>150</v>
      </c>
      <c r="M21" s="118"/>
      <c r="N21" s="118">
        <f>SUM(B21+E21+H21+K21)</f>
        <v>33479</v>
      </c>
      <c r="O21" s="118">
        <f>C21+F21+I21+L21</f>
        <v>33832</v>
      </c>
      <c r="P21" s="118"/>
    </row>
    <row r="22" spans="1:16" ht="18" customHeight="1">
      <c r="A22" s="112" t="s">
        <v>21</v>
      </c>
      <c r="B22" s="413">
        <v>7187</v>
      </c>
      <c r="C22" s="118">
        <f>B22+270</f>
        <v>7457</v>
      </c>
      <c r="D22" s="118"/>
      <c r="E22" s="118">
        <v>1613</v>
      </c>
      <c r="F22" s="118">
        <f>E22+59</f>
        <v>1672</v>
      </c>
      <c r="G22" s="118"/>
      <c r="H22" s="118">
        <v>1618</v>
      </c>
      <c r="I22" s="118">
        <v>1618</v>
      </c>
      <c r="J22" s="118"/>
      <c r="K22" s="118"/>
      <c r="L22" s="118"/>
      <c r="M22" s="118"/>
      <c r="N22" s="118">
        <f>SUM(B22+E22+H22)</f>
        <v>10418</v>
      </c>
      <c r="O22" s="118">
        <f>C22+F22+I22+L22</f>
        <v>10747</v>
      </c>
      <c r="P22" s="118"/>
    </row>
    <row r="23" spans="1:16" ht="18" customHeight="1" thickBot="1">
      <c r="A23" s="112" t="s">
        <v>22</v>
      </c>
      <c r="B23" s="413">
        <v>11979</v>
      </c>
      <c r="C23" s="118">
        <f>B23+284</f>
        <v>12263</v>
      </c>
      <c r="D23" s="118"/>
      <c r="E23" s="118">
        <v>2600</v>
      </c>
      <c r="F23" s="118">
        <f>E23+63</f>
        <v>2663</v>
      </c>
      <c r="G23" s="118"/>
      <c r="H23" s="118">
        <v>3291</v>
      </c>
      <c r="I23" s="118">
        <v>3291</v>
      </c>
      <c r="J23" s="118"/>
      <c r="K23" s="118"/>
      <c r="L23" s="118"/>
      <c r="M23" s="118"/>
      <c r="N23" s="379">
        <f>SUM(B23+E23+H23)</f>
        <v>17870</v>
      </c>
      <c r="O23" s="118">
        <f>C23+F23+I23+L23</f>
        <v>18217</v>
      </c>
      <c r="P23" s="379"/>
    </row>
    <row r="24" spans="1:16" ht="18" customHeight="1" thickBot="1">
      <c r="A24" s="124" t="s">
        <v>109</v>
      </c>
      <c r="B24" s="123">
        <f t="shared" ref="B24:J24" si="0">SUM(B21:B23)</f>
        <v>40391</v>
      </c>
      <c r="C24" s="123">
        <f t="shared" si="0"/>
        <v>41234</v>
      </c>
      <c r="D24" s="123">
        <f t="shared" si="0"/>
        <v>0</v>
      </c>
      <c r="E24" s="123">
        <f t="shared" si="0"/>
        <v>8937</v>
      </c>
      <c r="F24" s="123">
        <f t="shared" si="0"/>
        <v>9123</v>
      </c>
      <c r="G24" s="123">
        <f t="shared" si="0"/>
        <v>0</v>
      </c>
      <c r="H24" s="123">
        <f t="shared" si="0"/>
        <v>12289</v>
      </c>
      <c r="I24" s="123">
        <f t="shared" si="0"/>
        <v>12289</v>
      </c>
      <c r="J24" s="123">
        <f t="shared" si="0"/>
        <v>0</v>
      </c>
      <c r="K24" s="123">
        <v>0</v>
      </c>
      <c r="L24" s="123">
        <v>0</v>
      </c>
      <c r="M24" s="123">
        <v>0</v>
      </c>
      <c r="N24" s="123">
        <f>SUM(N21:N23)</f>
        <v>61767</v>
      </c>
      <c r="O24" s="123">
        <f>SUM(O21:O23)</f>
        <v>62796</v>
      </c>
      <c r="P24" s="125">
        <f>SUM(P21:P23)</f>
        <v>0</v>
      </c>
    </row>
    <row r="25" spans="1:16" ht="18" customHeight="1">
      <c r="A25" s="213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</row>
    <row r="26" spans="1:16" ht="18" customHeight="1">
      <c r="A26" s="35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</row>
    <row r="27" spans="1:16" ht="18" customHeight="1">
      <c r="A27" s="35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16" ht="18" customHeight="1">
      <c r="A28" s="129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</row>
    <row r="29" spans="1:16" ht="18" customHeight="1">
      <c r="A29" s="35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</row>
    <row r="30" spans="1:16" ht="18" customHeight="1">
      <c r="A30" s="35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</row>
    <row r="31" spans="1:16" ht="18" customHeight="1">
      <c r="A31" s="35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</row>
    <row r="32" spans="1:16" ht="18" customHeight="1">
      <c r="A32" s="35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</row>
    <row r="33" spans="1:16">
      <c r="A33" s="35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</row>
    <row r="34" spans="1:16">
      <c r="A34" s="35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</row>
    <row r="35" spans="1:16">
      <c r="A35" s="35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</row>
    <row r="36" spans="1:16">
      <c r="A36" s="35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6">
      <c r="A37" s="35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</row>
    <row r="38" spans="1:16">
      <c r="A38" s="35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</row>
    <row r="39" spans="1:16">
      <c r="A39" s="35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</row>
    <row r="40" spans="1:16">
      <c r="A40" s="35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</row>
    <row r="41" spans="1:16">
      <c r="A41" s="35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</row>
    <row r="42" spans="1:16">
      <c r="A42" s="35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</row>
    <row r="43" spans="1:16">
      <c r="A43" s="35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16">
      <c r="A44" s="35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</row>
    <row r="45" spans="1:16">
      <c r="A45" s="35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  <row r="46" spans="1:16">
      <c r="A46" s="35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</row>
    <row r="47" spans="1:16">
      <c r="A47" s="35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</row>
    <row r="48" spans="1:16">
      <c r="A48" s="35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</row>
    <row r="49" spans="1:16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2" spans="1:16">
      <c r="A52" s="35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</row>
    <row r="53" spans="1:16">
      <c r="A53" s="35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</row>
    <row r="54" spans="1:16">
      <c r="A54" s="35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</row>
    <row r="55" spans="1:16">
      <c r="A55" s="35"/>
      <c r="B55" s="127"/>
      <c r="C55" s="127"/>
      <c r="D55" s="127"/>
      <c r="E55" s="127"/>
      <c r="F55" s="128"/>
      <c r="G55" s="127"/>
      <c r="H55" s="127"/>
      <c r="I55" s="127"/>
      <c r="J55" s="127"/>
      <c r="K55" s="127"/>
      <c r="L55" s="127"/>
      <c r="M55" s="127"/>
      <c r="N55" s="127"/>
      <c r="O55" s="127"/>
      <c r="P55" s="127"/>
    </row>
    <row r="56" spans="1:16">
      <c r="A56" s="35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</row>
    <row r="57" spans="1:16">
      <c r="A57" s="35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</row>
    <row r="58" spans="1:16">
      <c r="A58" s="35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</row>
    <row r="59" spans="1:16">
      <c r="A59" s="35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</row>
    <row r="60" spans="1:16">
      <c r="A60" s="35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</row>
    <row r="61" spans="1:16">
      <c r="A61" s="35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</row>
    <row r="62" spans="1:16">
      <c r="A62" s="35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</row>
    <row r="63" spans="1:16">
      <c r="A63" s="35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</row>
    <row r="64" spans="1:16">
      <c r="A64" s="35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1:16">
      <c r="A65" s="35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</row>
    <row r="66" spans="1:16">
      <c r="A66" s="35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</row>
    <row r="67" spans="1:16">
      <c r="A67" s="35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</row>
    <row r="68" spans="1:16">
      <c r="A68" s="35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</row>
    <row r="69" spans="1:16">
      <c r="A69" s="129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</row>
    <row r="70" spans="1:16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</row>
    <row r="71" spans="1:16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</row>
    <row r="72" spans="1:16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</row>
    <row r="73" spans="1:16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</row>
    <row r="74" spans="1:16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</row>
    <row r="75" spans="1:16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</row>
    <row r="76" spans="1:16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</row>
    <row r="77" spans="1:16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</row>
    <row r="78" spans="1:16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</row>
    <row r="79" spans="1:16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</row>
    <row r="80" spans="1:16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</row>
    <row r="81" spans="2:16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</row>
    <row r="82" spans="2:16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</row>
    <row r="83" spans="2:16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</row>
    <row r="84" spans="2:16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</row>
    <row r="85" spans="2:16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</row>
    <row r="86" spans="2:16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</row>
    <row r="87" spans="2:16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</row>
    <row r="88" spans="2:16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</row>
    <row r="89" spans="2:16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</row>
    <row r="90" spans="2:16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</row>
    <row r="91" spans="2:16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</row>
    <row r="92" spans="2:16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</row>
    <row r="93" spans="2:16"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</row>
    <row r="94" spans="2:16"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</row>
    <row r="95" spans="2:16"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</row>
    <row r="96" spans="2:16"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</row>
    <row r="97" spans="2:16"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</row>
    <row r="98" spans="2:16"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</row>
    <row r="99" spans="2:16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</row>
    <row r="100" spans="2:16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</row>
    <row r="101" spans="2:16"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</row>
    <row r="102" spans="2:16"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</row>
    <row r="103" spans="2:16"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</row>
    <row r="104" spans="2:16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</row>
    <row r="105" spans="2:16"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</row>
    <row r="106" spans="2:16"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</row>
    <row r="107" spans="2:16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</row>
    <row r="108" spans="2:16"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</row>
    <row r="109" spans="2:16"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</row>
    <row r="110" spans="2:16"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</row>
    <row r="111" spans="2:16"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</row>
    <row r="112" spans="2:16"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</row>
    <row r="113" spans="2:16"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</row>
    <row r="114" spans="2:16"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</row>
    <row r="115" spans="2:16"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</row>
    <row r="116" spans="2:16"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</row>
    <row r="117" spans="2:16"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</row>
    <row r="118" spans="2:16"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</row>
    <row r="119" spans="2:16"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</row>
    <row r="120" spans="2:16"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</row>
    <row r="121" spans="2:16"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</row>
    <row r="122" spans="2:16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</row>
    <row r="123" spans="2:16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</row>
    <row r="124" spans="2:16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</row>
    <row r="125" spans="2:16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</row>
    <row r="126" spans="2:16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</row>
    <row r="127" spans="2:16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</row>
    <row r="128" spans="2:16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</row>
    <row r="129" spans="2:16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</row>
    <row r="130" spans="2:16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</row>
    <row r="131" spans="2:16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</row>
    <row r="132" spans="2:16"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</row>
    <row r="133" spans="2:16"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</row>
    <row r="134" spans="2:16"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</row>
    <row r="135" spans="2:16"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</row>
    <row r="136" spans="2:16"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</row>
    <row r="137" spans="2:16"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</row>
    <row r="138" spans="2:16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</row>
    <row r="139" spans="2:16"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</row>
    <row r="140" spans="2:16"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</row>
    <row r="141" spans="2:16"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</row>
    <row r="142" spans="2:16"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</row>
    <row r="143" spans="2:16"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</row>
    <row r="144" spans="2:16"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</row>
    <row r="145" spans="2:16"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</row>
    <row r="146" spans="2:16"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</row>
    <row r="147" spans="2:16"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</row>
    <row r="148" spans="2:16"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</row>
    <row r="149" spans="2:16"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</row>
    <row r="150" spans="2:16"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</row>
    <row r="151" spans="2:16"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</row>
    <row r="152" spans="2:16"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</row>
    <row r="153" spans="2:16"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</row>
    <row r="154" spans="2:16"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</row>
    <row r="155" spans="2:16"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</row>
    <row r="156" spans="2:16"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</row>
    <row r="157" spans="2:16"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</row>
    <row r="158" spans="2:16"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</row>
    <row r="159" spans="2:16"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</row>
    <row r="160" spans="2:16">
      <c r="B160" s="121"/>
      <c r="C160" s="121"/>
      <c r="D160" s="121"/>
      <c r="N160" s="121"/>
    </row>
    <row r="161" spans="2:14">
      <c r="B161" s="121"/>
      <c r="C161" s="121"/>
      <c r="D161" s="121"/>
      <c r="N161" s="121"/>
    </row>
    <row r="162" spans="2:14">
      <c r="B162" s="121"/>
      <c r="C162" s="121"/>
      <c r="D162" s="121"/>
      <c r="N162" s="121"/>
    </row>
    <row r="163" spans="2:14">
      <c r="B163" s="121"/>
      <c r="C163" s="121"/>
      <c r="D163" s="121"/>
      <c r="N163" s="121"/>
    </row>
    <row r="164" spans="2:14">
      <c r="B164" s="121"/>
      <c r="C164" s="121"/>
      <c r="D164" s="121"/>
      <c r="N164" s="121"/>
    </row>
    <row r="165" spans="2:14">
      <c r="B165" s="121"/>
      <c r="C165" s="121"/>
      <c r="D165" s="121"/>
      <c r="N165" s="121"/>
    </row>
    <row r="166" spans="2:14">
      <c r="B166" s="121"/>
      <c r="C166" s="121"/>
      <c r="D166" s="121"/>
      <c r="N166" s="121"/>
    </row>
    <row r="167" spans="2:14">
      <c r="B167" s="121"/>
      <c r="C167" s="121"/>
      <c r="D167" s="121"/>
      <c r="N167" s="121"/>
    </row>
    <row r="168" spans="2:14">
      <c r="B168" s="121"/>
      <c r="C168" s="121"/>
      <c r="D168" s="121"/>
      <c r="N168" s="121"/>
    </row>
    <row r="169" spans="2:14">
      <c r="B169" s="121"/>
      <c r="C169" s="121"/>
      <c r="D169" s="121"/>
      <c r="N169" s="121"/>
    </row>
    <row r="170" spans="2:14">
      <c r="B170" s="121"/>
      <c r="C170" s="121"/>
      <c r="D170" s="121"/>
      <c r="N170" s="121"/>
    </row>
    <row r="171" spans="2:14">
      <c r="B171" s="121"/>
      <c r="C171" s="121"/>
      <c r="D171" s="121"/>
      <c r="N171" s="121"/>
    </row>
    <row r="172" spans="2:14">
      <c r="B172" s="121"/>
      <c r="C172" s="121"/>
      <c r="D172" s="121"/>
      <c r="N172" s="121"/>
    </row>
    <row r="173" spans="2:14">
      <c r="B173" s="121"/>
      <c r="C173" s="121"/>
      <c r="D173" s="121"/>
      <c r="N173" s="121"/>
    </row>
    <row r="174" spans="2:14">
      <c r="B174" s="121"/>
      <c r="C174" s="121"/>
      <c r="D174" s="121"/>
      <c r="N174" s="121"/>
    </row>
    <row r="175" spans="2:14">
      <c r="B175" s="121"/>
      <c r="C175" s="121"/>
      <c r="D175" s="121"/>
      <c r="N175" s="121"/>
    </row>
    <row r="176" spans="2:14">
      <c r="B176" s="121"/>
      <c r="C176" s="121"/>
      <c r="D176" s="121"/>
      <c r="N176" s="121"/>
    </row>
    <row r="177" spans="2:14">
      <c r="B177" s="121"/>
      <c r="C177" s="121"/>
      <c r="D177" s="121"/>
      <c r="N177" s="121"/>
    </row>
    <row r="178" spans="2:14">
      <c r="B178" s="121"/>
      <c r="C178" s="121"/>
      <c r="D178" s="121"/>
      <c r="N178" s="121"/>
    </row>
    <row r="179" spans="2:14">
      <c r="B179" s="121"/>
      <c r="C179" s="121"/>
      <c r="D179" s="121"/>
      <c r="N179" s="121"/>
    </row>
    <row r="180" spans="2:14">
      <c r="B180" s="121"/>
      <c r="C180" s="121"/>
      <c r="D180" s="121"/>
      <c r="N180" s="121"/>
    </row>
    <row r="181" spans="2:14">
      <c r="B181" s="121"/>
      <c r="C181" s="121"/>
      <c r="D181" s="121"/>
      <c r="N181" s="121"/>
    </row>
    <row r="182" spans="2:14">
      <c r="B182" s="121"/>
      <c r="C182" s="121"/>
      <c r="D182" s="121"/>
      <c r="N182" s="121"/>
    </row>
    <row r="183" spans="2:14">
      <c r="B183" s="121"/>
      <c r="C183" s="121"/>
      <c r="D183" s="121"/>
      <c r="N183" s="121"/>
    </row>
    <row r="184" spans="2:14">
      <c r="B184" s="121"/>
      <c r="C184" s="121"/>
      <c r="D184" s="121"/>
      <c r="N184" s="121"/>
    </row>
    <row r="185" spans="2:14">
      <c r="B185" s="121"/>
      <c r="C185" s="121"/>
      <c r="D185" s="121"/>
      <c r="N185" s="121"/>
    </row>
    <row r="186" spans="2:14">
      <c r="B186" s="121"/>
      <c r="C186" s="121"/>
      <c r="D186" s="121"/>
      <c r="N186" s="121"/>
    </row>
    <row r="187" spans="2:14">
      <c r="B187" s="121"/>
      <c r="C187" s="121"/>
      <c r="D187" s="121"/>
      <c r="N187" s="121"/>
    </row>
    <row r="188" spans="2:14">
      <c r="B188" s="121"/>
      <c r="C188" s="121"/>
      <c r="D188" s="121"/>
      <c r="N188" s="121"/>
    </row>
    <row r="189" spans="2:14">
      <c r="B189" s="121"/>
      <c r="C189" s="121"/>
      <c r="D189" s="121"/>
      <c r="N189" s="121"/>
    </row>
    <row r="190" spans="2:14">
      <c r="B190" s="121"/>
      <c r="C190" s="121"/>
      <c r="D190" s="121"/>
      <c r="N190" s="121"/>
    </row>
    <row r="191" spans="2:14">
      <c r="B191" s="121"/>
      <c r="C191" s="121"/>
      <c r="D191" s="121"/>
      <c r="N191" s="121"/>
    </row>
    <row r="192" spans="2:14">
      <c r="B192" s="121"/>
      <c r="C192" s="121"/>
      <c r="D192" s="121"/>
      <c r="N192" s="121"/>
    </row>
    <row r="193" spans="2:14">
      <c r="B193" s="121"/>
      <c r="C193" s="121"/>
      <c r="D193" s="121"/>
      <c r="N193" s="121"/>
    </row>
    <row r="194" spans="2:14">
      <c r="B194" s="121"/>
      <c r="C194" s="121"/>
      <c r="D194" s="121"/>
      <c r="N194" s="121"/>
    </row>
    <row r="195" spans="2:14">
      <c r="B195" s="121"/>
      <c r="C195" s="121"/>
      <c r="D195" s="121"/>
      <c r="N195" s="121"/>
    </row>
    <row r="196" spans="2:14">
      <c r="B196" s="121"/>
      <c r="C196" s="121"/>
      <c r="D196" s="121"/>
      <c r="N196" s="121"/>
    </row>
    <row r="197" spans="2:14">
      <c r="B197" s="121"/>
      <c r="C197" s="121"/>
      <c r="D197" s="121"/>
      <c r="N197" s="121"/>
    </row>
    <row r="198" spans="2:14">
      <c r="B198" s="121"/>
      <c r="C198" s="121"/>
      <c r="D198" s="121"/>
      <c r="N198" s="121"/>
    </row>
    <row r="199" spans="2:14">
      <c r="B199" s="121"/>
      <c r="C199" s="121"/>
      <c r="D199" s="121"/>
      <c r="N199" s="121"/>
    </row>
    <row r="200" spans="2:14">
      <c r="B200" s="121"/>
      <c r="C200" s="121"/>
      <c r="D200" s="121"/>
      <c r="N200" s="121"/>
    </row>
    <row r="201" spans="2:14">
      <c r="B201" s="121"/>
      <c r="C201" s="121"/>
      <c r="D201" s="121"/>
      <c r="N201" s="121"/>
    </row>
    <row r="202" spans="2:14">
      <c r="B202" s="121"/>
      <c r="C202" s="121"/>
      <c r="D202" s="121"/>
      <c r="N202" s="121"/>
    </row>
    <row r="203" spans="2:14">
      <c r="B203" s="121"/>
      <c r="C203" s="121"/>
      <c r="D203" s="121"/>
      <c r="N203" s="121"/>
    </row>
    <row r="204" spans="2:14">
      <c r="B204" s="121"/>
      <c r="C204" s="121"/>
      <c r="D204" s="121"/>
      <c r="N204" s="121"/>
    </row>
    <row r="205" spans="2:14">
      <c r="B205" s="121"/>
      <c r="C205" s="121"/>
      <c r="D205" s="121"/>
      <c r="N205" s="121"/>
    </row>
    <row r="206" spans="2:14">
      <c r="B206" s="121"/>
      <c r="C206" s="121"/>
      <c r="D206" s="121"/>
      <c r="N206" s="121"/>
    </row>
    <row r="207" spans="2:14">
      <c r="B207" s="121"/>
      <c r="C207" s="121"/>
      <c r="D207" s="121"/>
      <c r="N207" s="121"/>
    </row>
    <row r="208" spans="2:14">
      <c r="B208" s="121"/>
      <c r="C208" s="121"/>
      <c r="D208" s="121"/>
      <c r="N208" s="121"/>
    </row>
    <row r="209" spans="2:14">
      <c r="B209" s="121"/>
      <c r="C209" s="121"/>
      <c r="D209" s="121"/>
      <c r="N209" s="121"/>
    </row>
    <row r="210" spans="2:14">
      <c r="B210" s="121"/>
      <c r="C210" s="121"/>
      <c r="D210" s="121"/>
      <c r="N210" s="121"/>
    </row>
    <row r="211" spans="2:14">
      <c r="B211" s="121"/>
      <c r="C211" s="121"/>
      <c r="D211" s="121"/>
      <c r="N211" s="121"/>
    </row>
    <row r="212" spans="2:14">
      <c r="B212" s="121"/>
      <c r="C212" s="121"/>
      <c r="D212" s="121"/>
      <c r="N212" s="121"/>
    </row>
    <row r="213" spans="2:14">
      <c r="B213" s="121"/>
      <c r="C213" s="121"/>
      <c r="D213" s="121"/>
      <c r="N213" s="121"/>
    </row>
    <row r="214" spans="2:14">
      <c r="B214" s="121"/>
      <c r="C214" s="121"/>
      <c r="D214" s="121"/>
      <c r="N214" s="121"/>
    </row>
    <row r="215" spans="2:14">
      <c r="B215" s="121"/>
      <c r="C215" s="121"/>
      <c r="D215" s="121"/>
      <c r="N215" s="121"/>
    </row>
    <row r="216" spans="2:14">
      <c r="B216" s="121"/>
      <c r="C216" s="121"/>
      <c r="D216" s="121"/>
      <c r="N216" s="121"/>
    </row>
    <row r="217" spans="2:14">
      <c r="B217" s="121"/>
      <c r="C217" s="121"/>
      <c r="D217" s="121"/>
      <c r="N217" s="121"/>
    </row>
    <row r="218" spans="2:14">
      <c r="B218" s="121"/>
      <c r="C218" s="121"/>
      <c r="D218" s="121"/>
      <c r="N218" s="121"/>
    </row>
    <row r="219" spans="2:14">
      <c r="B219" s="121"/>
      <c r="C219" s="121"/>
      <c r="D219" s="121"/>
      <c r="N219" s="121"/>
    </row>
    <row r="220" spans="2:14">
      <c r="B220" s="121"/>
      <c r="C220" s="121"/>
      <c r="D220" s="121"/>
      <c r="N220" s="121"/>
    </row>
    <row r="221" spans="2:14">
      <c r="B221" s="121"/>
      <c r="C221" s="121"/>
      <c r="D221" s="121"/>
      <c r="N221" s="121"/>
    </row>
    <row r="222" spans="2:14">
      <c r="B222" s="121"/>
      <c r="C222" s="121"/>
      <c r="D222" s="121"/>
      <c r="N222" s="121"/>
    </row>
    <row r="223" spans="2:14">
      <c r="B223" s="121"/>
      <c r="C223" s="121"/>
      <c r="D223" s="121"/>
      <c r="N223" s="121"/>
    </row>
    <row r="224" spans="2:14">
      <c r="B224" s="121"/>
      <c r="C224" s="121"/>
      <c r="D224" s="121"/>
      <c r="N224" s="121"/>
    </row>
    <row r="225" spans="2:14">
      <c r="B225" s="121"/>
      <c r="C225" s="121"/>
      <c r="D225" s="121"/>
      <c r="N225" s="121"/>
    </row>
    <row r="226" spans="2:14">
      <c r="B226" s="121"/>
      <c r="C226" s="121"/>
      <c r="D226" s="121"/>
      <c r="N226" s="121"/>
    </row>
    <row r="227" spans="2:14">
      <c r="B227" s="121"/>
      <c r="C227" s="121"/>
      <c r="D227" s="121"/>
      <c r="N227" s="121"/>
    </row>
    <row r="228" spans="2:14">
      <c r="B228" s="121"/>
      <c r="C228" s="121"/>
      <c r="D228" s="121"/>
      <c r="N228" s="121"/>
    </row>
    <row r="229" spans="2:14">
      <c r="C229" s="121"/>
      <c r="D229" s="121"/>
      <c r="N229" s="121"/>
    </row>
    <row r="230" spans="2:14">
      <c r="C230" s="121"/>
      <c r="D230" s="121"/>
      <c r="N230" s="121"/>
    </row>
    <row r="231" spans="2:14">
      <c r="C231" s="121"/>
      <c r="D231" s="121"/>
      <c r="N231" s="121"/>
    </row>
    <row r="232" spans="2:14">
      <c r="C232" s="121"/>
      <c r="D232" s="121"/>
      <c r="N232" s="121"/>
    </row>
    <row r="233" spans="2:14">
      <c r="C233" s="121"/>
      <c r="D233" s="121"/>
      <c r="N233" s="121"/>
    </row>
    <row r="234" spans="2:14">
      <c r="C234" s="121"/>
      <c r="D234" s="121"/>
      <c r="N234" s="121"/>
    </row>
    <row r="235" spans="2:14">
      <c r="C235" s="121"/>
      <c r="D235" s="121"/>
      <c r="N235" s="121"/>
    </row>
    <row r="236" spans="2:14">
      <c r="C236" s="121"/>
      <c r="D236" s="121"/>
      <c r="N236" s="121"/>
    </row>
    <row r="237" spans="2:14">
      <c r="C237" s="121"/>
      <c r="D237" s="121"/>
      <c r="N237" s="121"/>
    </row>
    <row r="238" spans="2:14">
      <c r="C238" s="121"/>
      <c r="D238" s="121"/>
      <c r="N238" s="121"/>
    </row>
    <row r="239" spans="2:14">
      <c r="C239" s="121"/>
      <c r="D239" s="121"/>
      <c r="N239" s="121"/>
    </row>
    <row r="240" spans="2:14">
      <c r="C240" s="121"/>
      <c r="D240" s="121"/>
      <c r="N240" s="121"/>
    </row>
    <row r="241" spans="3:14">
      <c r="C241" s="121"/>
      <c r="D241" s="121"/>
      <c r="N241" s="121"/>
    </row>
    <row r="242" spans="3:14">
      <c r="C242" s="121"/>
      <c r="D242" s="121"/>
      <c r="N242" s="121"/>
    </row>
    <row r="243" spans="3:14">
      <c r="N243" s="121"/>
    </row>
    <row r="244" spans="3:14">
      <c r="N244" s="121"/>
    </row>
    <row r="245" spans="3:14">
      <c r="N245" s="121"/>
    </row>
    <row r="246" spans="3:14">
      <c r="N246" s="121"/>
    </row>
    <row r="247" spans="3:14">
      <c r="N247" s="121"/>
    </row>
    <row r="248" spans="3:14">
      <c r="N248" s="121"/>
    </row>
    <row r="249" spans="3:14">
      <c r="N249" s="121"/>
    </row>
    <row r="250" spans="3:14">
      <c r="N250" s="121"/>
    </row>
    <row r="251" spans="3:14">
      <c r="N251" s="121"/>
    </row>
    <row r="252" spans="3:14">
      <c r="N252" s="121"/>
    </row>
    <row r="253" spans="3:14">
      <c r="N253" s="121"/>
    </row>
    <row r="254" spans="3:14">
      <c r="N254" s="121"/>
    </row>
    <row r="255" spans="3:14">
      <c r="N255" s="121"/>
    </row>
    <row r="256" spans="3:14">
      <c r="N256" s="121"/>
    </row>
    <row r="257" spans="14:14">
      <c r="N257" s="121"/>
    </row>
    <row r="258" spans="14:14">
      <c r="N258" s="121"/>
    </row>
    <row r="259" spans="14:14">
      <c r="N259" s="121"/>
    </row>
    <row r="260" spans="14:14">
      <c r="N260" s="121"/>
    </row>
    <row r="261" spans="14:14">
      <c r="N261" s="121"/>
    </row>
    <row r="262" spans="14:14">
      <c r="N262" s="121"/>
    </row>
    <row r="263" spans="14:14">
      <c r="N263" s="121"/>
    </row>
  </sheetData>
  <mergeCells count="6">
    <mergeCell ref="A7:P7"/>
    <mergeCell ref="A10:P10"/>
    <mergeCell ref="K18:M18"/>
    <mergeCell ref="K19:L19"/>
    <mergeCell ref="A15:P15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7:M197"/>
  <sheetViews>
    <sheetView view="pageBreakPreview" topLeftCell="A10" zoomScaleSheetLayoutView="100" workbookViewId="0">
      <selection activeCell="A10" sqref="A10:D10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13">
      <c r="A7" s="476" t="s">
        <v>571</v>
      </c>
      <c r="B7" s="477"/>
      <c r="C7" s="477"/>
      <c r="D7" s="477"/>
    </row>
    <row r="8" spans="1:13">
      <c r="A8" s="476" t="s">
        <v>562</v>
      </c>
      <c r="B8" s="477"/>
      <c r="C8" s="477"/>
      <c r="D8" s="477"/>
    </row>
    <row r="9" spans="1:13">
      <c r="A9" s="473"/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</row>
    <row r="10" spans="1:13" ht="24" customHeight="1">
      <c r="A10" s="501" t="s">
        <v>626</v>
      </c>
      <c r="B10" s="501"/>
      <c r="C10" s="501"/>
      <c r="D10" s="501"/>
    </row>
    <row r="11" spans="1:13">
      <c r="A11" s="480"/>
      <c r="B11" s="500"/>
      <c r="C11" s="480"/>
      <c r="D11" s="480"/>
    </row>
    <row r="12" spans="1:13">
      <c r="C12" s="480" t="s">
        <v>494</v>
      </c>
      <c r="D12" s="480"/>
    </row>
    <row r="13" spans="1:13" ht="13.5" thickBot="1">
      <c r="D13" s="1" t="s">
        <v>455</v>
      </c>
    </row>
    <row r="14" spans="1:13">
      <c r="A14" s="3" t="s">
        <v>25</v>
      </c>
      <c r="B14" s="4"/>
      <c r="C14" s="5"/>
      <c r="D14" s="6"/>
    </row>
    <row r="15" spans="1:13" ht="13.5" thickBot="1">
      <c r="A15" s="7" t="s">
        <v>26</v>
      </c>
      <c r="B15" s="8"/>
      <c r="C15" s="9"/>
      <c r="D15" s="10"/>
    </row>
    <row r="16" spans="1:13">
      <c r="A16" s="11" t="s">
        <v>27</v>
      </c>
      <c r="B16" s="12" t="s">
        <v>28</v>
      </c>
      <c r="C16" s="13"/>
      <c r="D16" s="14" t="s">
        <v>29</v>
      </c>
    </row>
    <row r="17" spans="1:4" ht="13.5" thickBot="1">
      <c r="A17" s="15"/>
      <c r="B17" s="25" t="s">
        <v>71</v>
      </c>
      <c r="C17" s="16" t="s">
        <v>30</v>
      </c>
      <c r="D17" s="17"/>
    </row>
    <row r="18" spans="1:4" s="104" customFormat="1" ht="13.5" thickBot="1">
      <c r="A18" s="191" t="s">
        <v>111</v>
      </c>
      <c r="B18" s="240">
        <f>SUM(B19:B22)</f>
        <v>19190</v>
      </c>
      <c r="C18" s="240">
        <f>SUM(C19:C22)</f>
        <v>20390</v>
      </c>
      <c r="D18" s="434"/>
    </row>
    <row r="19" spans="1:4">
      <c r="A19" s="380" t="s">
        <v>575</v>
      </c>
      <c r="B19" s="411">
        <v>12080</v>
      </c>
      <c r="C19" s="411">
        <v>12080</v>
      </c>
      <c r="D19" s="381">
        <v>0</v>
      </c>
    </row>
    <row r="20" spans="1:4">
      <c r="A20" s="71" t="s">
        <v>576</v>
      </c>
      <c r="B20" s="412">
        <f>2045+1112</f>
        <v>3157</v>
      </c>
      <c r="C20" s="412">
        <v>3157</v>
      </c>
      <c r="D20" s="333">
        <f>SUM(D22:D22)</f>
        <v>0</v>
      </c>
    </row>
    <row r="21" spans="1:4">
      <c r="A21" s="71" t="s">
        <v>599</v>
      </c>
      <c r="B21" s="412">
        <v>3948</v>
      </c>
      <c r="C21" s="412">
        <f>B21+1200</f>
        <v>5148</v>
      </c>
      <c r="D21" s="333"/>
    </row>
    <row r="22" spans="1:4">
      <c r="A22" s="71" t="s">
        <v>124</v>
      </c>
      <c r="B22" s="20">
        <v>5</v>
      </c>
      <c r="C22" s="20">
        <v>5</v>
      </c>
      <c r="D22" s="72"/>
    </row>
    <row r="23" spans="1:4">
      <c r="A23" s="71"/>
      <c r="B23" s="20"/>
      <c r="C23" s="20"/>
      <c r="D23" s="72"/>
    </row>
    <row r="24" spans="1:4">
      <c r="A24" s="81" t="s">
        <v>19</v>
      </c>
      <c r="B24" s="97">
        <f>B25+B26</f>
        <v>22822</v>
      </c>
      <c r="C24" s="97">
        <f>C25</f>
        <v>23367</v>
      </c>
      <c r="D24" s="72"/>
    </row>
    <row r="25" spans="1:4">
      <c r="A25" s="71" t="s">
        <v>492</v>
      </c>
      <c r="B25" s="413">
        <v>22822</v>
      </c>
      <c r="C25" s="413">
        <f>B25+545</f>
        <v>23367</v>
      </c>
      <c r="D25" s="72"/>
    </row>
    <row r="26" spans="1:4" ht="13.5" thickBot="1">
      <c r="A26" s="71" t="s">
        <v>493</v>
      </c>
      <c r="B26" s="413"/>
      <c r="C26" s="413"/>
      <c r="D26" s="72"/>
    </row>
    <row r="27" spans="1:4" ht="13.5" thickBot="1">
      <c r="A27" s="96" t="s">
        <v>112</v>
      </c>
      <c r="B27" s="135">
        <v>0</v>
      </c>
      <c r="C27" s="135"/>
      <c r="D27" s="134"/>
    </row>
    <row r="28" spans="1:4">
      <c r="A28" s="74" t="s">
        <v>113</v>
      </c>
      <c r="B28" s="75">
        <f>B18+B24</f>
        <v>42012</v>
      </c>
      <c r="C28" s="75">
        <f>C18+C24</f>
        <v>43757</v>
      </c>
      <c r="D28" s="75">
        <f>D18+D24</f>
        <v>0</v>
      </c>
    </row>
    <row r="29" spans="1:4" ht="13.5" thickBot="1">
      <c r="A29" s="76"/>
      <c r="B29" s="77"/>
      <c r="C29" s="77"/>
      <c r="D29" s="78"/>
    </row>
    <row r="30" spans="1:4">
      <c r="A30" s="9"/>
      <c r="B30" s="24"/>
      <c r="C30" s="24"/>
      <c r="D30" s="24"/>
    </row>
    <row r="31" spans="1:4">
      <c r="A31" s="9"/>
      <c r="B31" s="24"/>
      <c r="C31" s="24"/>
      <c r="D31" s="24"/>
    </row>
    <row r="32" spans="1:4">
      <c r="C32" s="2"/>
      <c r="D32" s="2"/>
    </row>
    <row r="33" spans="1:4">
      <c r="C33" s="2"/>
      <c r="D33" s="2"/>
    </row>
    <row r="34" spans="1:4">
      <c r="A34" s="476" t="s">
        <v>571</v>
      </c>
      <c r="B34" s="477"/>
      <c r="C34" s="477"/>
      <c r="D34" s="477"/>
    </row>
    <row r="35" spans="1:4">
      <c r="A35" s="487" t="s">
        <v>564</v>
      </c>
      <c r="B35" s="472"/>
      <c r="C35" s="472"/>
      <c r="D35" s="472"/>
    </row>
    <row r="36" spans="1:4">
      <c r="A36" s="492"/>
      <c r="B36" s="477"/>
      <c r="C36" s="492"/>
      <c r="D36" s="492"/>
    </row>
    <row r="39" spans="1:4">
      <c r="C39" s="480"/>
      <c r="D39" s="480"/>
    </row>
    <row r="40" spans="1:4" ht="13.5" thickBot="1">
      <c r="C40" s="502" t="s">
        <v>455</v>
      </c>
      <c r="D40" s="502"/>
    </row>
    <row r="41" spans="1:4">
      <c r="A41" s="3" t="s">
        <v>31</v>
      </c>
      <c r="B41" s="4"/>
      <c r="C41" s="5"/>
      <c r="D41" s="6"/>
    </row>
    <row r="42" spans="1:4" ht="13.5" thickBot="1">
      <c r="A42" s="7" t="s">
        <v>26</v>
      </c>
      <c r="B42" s="8"/>
      <c r="C42" s="9"/>
      <c r="D42" s="10"/>
    </row>
    <row r="43" spans="1:4">
      <c r="A43" s="11" t="s">
        <v>32</v>
      </c>
      <c r="B43" s="12" t="s">
        <v>28</v>
      </c>
      <c r="C43" s="13"/>
      <c r="D43" s="14" t="s">
        <v>29</v>
      </c>
    </row>
    <row r="44" spans="1:4" ht="13.5" thickBot="1">
      <c r="A44" s="15"/>
      <c r="B44" s="25" t="s">
        <v>71</v>
      </c>
      <c r="C44" s="16" t="s">
        <v>30</v>
      </c>
      <c r="D44" s="17"/>
    </row>
    <row r="45" spans="1:4">
      <c r="A45" s="30" t="s">
        <v>33</v>
      </c>
      <c r="B45" s="31">
        <f>SUM(B46:B49)</f>
        <v>40107</v>
      </c>
      <c r="C45" s="31">
        <f>SUM(C46:C49)</f>
        <v>41852</v>
      </c>
      <c r="D45" s="31">
        <f>SUM(D46:D48)</f>
        <v>0</v>
      </c>
    </row>
    <row r="46" spans="1:4">
      <c r="A46" s="18" t="s">
        <v>114</v>
      </c>
      <c r="B46" s="26">
        <v>10608</v>
      </c>
      <c r="C46" s="26">
        <f>B46+362</f>
        <v>10970</v>
      </c>
      <c r="D46" s="26"/>
    </row>
    <row r="47" spans="1:4">
      <c r="A47" s="18" t="s">
        <v>115</v>
      </c>
      <c r="B47" s="26">
        <v>2294</v>
      </c>
      <c r="C47" s="26">
        <f>B47+93</f>
        <v>2387</v>
      </c>
      <c r="D47" s="26"/>
    </row>
    <row r="48" spans="1:4">
      <c r="A48" s="18" t="s">
        <v>116</v>
      </c>
      <c r="B48" s="26">
        <v>27205</v>
      </c>
      <c r="C48" s="26">
        <f>B48+90+1200</f>
        <v>28495</v>
      </c>
      <c r="D48" s="26"/>
    </row>
    <row r="49" spans="1:4">
      <c r="A49" s="18" t="s">
        <v>565</v>
      </c>
      <c r="B49" s="26"/>
      <c r="C49" s="26"/>
      <c r="D49" s="26"/>
    </row>
    <row r="50" spans="1:4">
      <c r="A50" s="83" t="s">
        <v>157</v>
      </c>
      <c r="B50" s="82">
        <v>1905</v>
      </c>
      <c r="C50" s="26">
        <v>1905</v>
      </c>
      <c r="D50" s="26"/>
    </row>
    <row r="51" spans="1:4">
      <c r="A51" s="27" t="s">
        <v>117</v>
      </c>
      <c r="B51" s="19"/>
      <c r="C51" s="19"/>
      <c r="D51" s="19"/>
    </row>
    <row r="52" spans="1:4">
      <c r="A52" s="27"/>
      <c r="B52" s="19"/>
      <c r="C52" s="19">
        <v>0</v>
      </c>
      <c r="D52" s="19"/>
    </row>
    <row r="53" spans="1:4">
      <c r="A53" s="18"/>
      <c r="B53" s="26"/>
      <c r="C53" s="26"/>
      <c r="D53" s="26"/>
    </row>
    <row r="54" spans="1:4">
      <c r="A54" s="83" t="s">
        <v>118</v>
      </c>
      <c r="B54" s="82">
        <f>SUM(B45+B50+B51+B52)</f>
        <v>42012</v>
      </c>
      <c r="C54" s="82">
        <f>C50+C45</f>
        <v>43757</v>
      </c>
      <c r="D54" s="26"/>
    </row>
    <row r="55" spans="1:4">
      <c r="D55" s="2"/>
    </row>
    <row r="56" spans="1:4">
      <c r="D56" s="2"/>
    </row>
    <row r="61" spans="1:4">
      <c r="A61" s="414"/>
      <c r="B61" s="415"/>
      <c r="C61" s="503"/>
      <c r="D61" s="503"/>
    </row>
    <row r="62" spans="1:4">
      <c r="A62" s="487"/>
      <c r="B62" s="472"/>
      <c r="C62" s="472"/>
      <c r="D62" s="472"/>
    </row>
    <row r="63" spans="1:4">
      <c r="A63" s="487"/>
      <c r="B63" s="472"/>
      <c r="C63" s="472"/>
      <c r="D63" s="472"/>
    </row>
    <row r="64" spans="1:4">
      <c r="A64" s="492"/>
      <c r="B64" s="477"/>
      <c r="C64" s="492"/>
      <c r="D64" s="492"/>
    </row>
    <row r="65" spans="1:4">
      <c r="A65" s="414"/>
      <c r="B65" s="415"/>
      <c r="C65" s="414"/>
      <c r="D65" s="414"/>
    </row>
    <row r="66" spans="1:4">
      <c r="A66" s="491"/>
      <c r="B66" s="472"/>
      <c r="C66" s="472"/>
      <c r="D66" s="472"/>
    </row>
    <row r="67" spans="1:4">
      <c r="A67" s="414"/>
      <c r="B67" s="415"/>
      <c r="C67" s="414"/>
      <c r="D67" s="414"/>
    </row>
    <row r="68" spans="1:4">
      <c r="A68" s="414"/>
      <c r="B68" s="415"/>
      <c r="C68" s="414"/>
      <c r="D68" s="414"/>
    </row>
    <row r="69" spans="1:4">
      <c r="A69" s="416"/>
      <c r="B69" s="66"/>
      <c r="C69" s="65"/>
      <c r="D69" s="65"/>
    </row>
    <row r="70" spans="1:4">
      <c r="A70" s="416"/>
      <c r="B70" s="417"/>
      <c r="C70" s="416"/>
      <c r="D70" s="416"/>
    </row>
    <row r="71" spans="1:4">
      <c r="A71" s="418"/>
      <c r="B71" s="417"/>
      <c r="C71" s="417"/>
      <c r="D71" s="416"/>
    </row>
    <row r="72" spans="1:4">
      <c r="A72" s="418"/>
      <c r="B72" s="417"/>
      <c r="C72" s="416"/>
      <c r="D72" s="416"/>
    </row>
    <row r="73" spans="1:4">
      <c r="A73" s="418"/>
      <c r="B73" s="417"/>
      <c r="C73" s="416"/>
      <c r="D73" s="416"/>
    </row>
    <row r="74" spans="1:4">
      <c r="A74" s="418"/>
      <c r="B74" s="417"/>
      <c r="C74" s="416"/>
      <c r="D74" s="416"/>
    </row>
    <row r="75" spans="1:4">
      <c r="A75" s="418"/>
      <c r="B75" s="417"/>
      <c r="C75" s="417"/>
      <c r="D75" s="416"/>
    </row>
    <row r="76" spans="1:4">
      <c r="A76" s="418"/>
      <c r="B76" s="417"/>
      <c r="C76" s="416"/>
      <c r="D76" s="416"/>
    </row>
    <row r="77" spans="1:4">
      <c r="A77" s="418"/>
      <c r="B77" s="417"/>
      <c r="C77" s="416"/>
      <c r="D77" s="416"/>
    </row>
    <row r="78" spans="1:4">
      <c r="A78" s="416"/>
      <c r="B78" s="417"/>
      <c r="C78" s="416"/>
      <c r="D78" s="416"/>
    </row>
    <row r="79" spans="1:4">
      <c r="A79" s="418"/>
      <c r="B79" s="417"/>
      <c r="C79" s="416"/>
      <c r="D79" s="416"/>
    </row>
    <row r="80" spans="1:4">
      <c r="A80" s="416"/>
      <c r="B80" s="417"/>
      <c r="C80" s="417"/>
      <c r="D80" s="416"/>
    </row>
    <row r="81" spans="1:4">
      <c r="A81" s="416"/>
      <c r="B81" s="417"/>
      <c r="C81" s="416"/>
      <c r="D81" s="416"/>
    </row>
    <row r="82" spans="1:4">
      <c r="A82" s="416"/>
      <c r="B82" s="417"/>
      <c r="C82" s="417"/>
      <c r="D82" s="416"/>
    </row>
    <row r="83" spans="1:4">
      <c r="A83" s="416"/>
      <c r="B83" s="417"/>
      <c r="C83" s="416"/>
      <c r="D83" s="416"/>
    </row>
    <row r="84" spans="1:4">
      <c r="A84" s="416"/>
      <c r="B84" s="417"/>
      <c r="C84" s="416"/>
      <c r="D84" s="416"/>
    </row>
    <row r="85" spans="1:4">
      <c r="A85" s="416"/>
      <c r="B85" s="417"/>
      <c r="C85" s="417"/>
      <c r="D85" s="416"/>
    </row>
    <row r="86" spans="1:4">
      <c r="A86" s="416"/>
      <c r="B86" s="417"/>
      <c r="C86" s="416"/>
      <c r="D86" s="416"/>
    </row>
    <row r="87" spans="1:4">
      <c r="A87" s="418"/>
      <c r="B87" s="417"/>
      <c r="C87" s="416"/>
      <c r="D87" s="416"/>
    </row>
    <row r="88" spans="1:4">
      <c r="A88" s="418"/>
      <c r="B88" s="417"/>
      <c r="C88" s="416"/>
      <c r="D88" s="416"/>
    </row>
    <row r="89" spans="1:4">
      <c r="A89" s="418"/>
      <c r="B89" s="417"/>
      <c r="C89" s="416"/>
      <c r="D89" s="416"/>
    </row>
    <row r="90" spans="1:4">
      <c r="A90" s="416"/>
      <c r="B90" s="417"/>
      <c r="C90" s="416"/>
      <c r="D90" s="416"/>
    </row>
    <row r="91" spans="1:4">
      <c r="A91" s="418"/>
      <c r="B91" s="417"/>
      <c r="C91" s="416"/>
      <c r="D91" s="416"/>
    </row>
    <row r="92" spans="1:4">
      <c r="A92" s="416"/>
      <c r="B92" s="417"/>
      <c r="C92" s="416"/>
      <c r="D92" s="416"/>
    </row>
    <row r="93" spans="1:4">
      <c r="A93" s="418"/>
      <c r="B93" s="417"/>
      <c r="C93" s="416"/>
      <c r="D93" s="416"/>
    </row>
    <row r="94" spans="1:4">
      <c r="A94" s="416"/>
      <c r="B94" s="417"/>
      <c r="C94" s="416"/>
      <c r="D94" s="416"/>
    </row>
    <row r="95" spans="1:4">
      <c r="A95" s="416"/>
      <c r="B95" s="417"/>
      <c r="C95" s="416"/>
      <c r="D95" s="416"/>
    </row>
    <row r="96" spans="1:4">
      <c r="A96" s="418"/>
      <c r="B96" s="417"/>
      <c r="C96" s="417"/>
      <c r="D96" s="416"/>
    </row>
    <row r="97" spans="1:4">
      <c r="A97" s="418"/>
      <c r="B97" s="417"/>
      <c r="C97" s="417"/>
      <c r="D97" s="416"/>
    </row>
    <row r="98" spans="1:4">
      <c r="A98" s="418"/>
      <c r="B98" s="417"/>
      <c r="C98" s="417"/>
      <c r="D98" s="416"/>
    </row>
    <row r="99" spans="1:4">
      <c r="A99" s="418"/>
      <c r="B99" s="417"/>
      <c r="C99" s="417"/>
      <c r="D99" s="416"/>
    </row>
    <row r="100" spans="1:4">
      <c r="A100" s="418"/>
      <c r="B100" s="417"/>
      <c r="C100" s="417"/>
      <c r="D100" s="416"/>
    </row>
    <row r="101" spans="1:4">
      <c r="A101" s="65"/>
      <c r="B101" s="417"/>
      <c r="C101" s="416"/>
      <c r="D101" s="416"/>
    </row>
    <row r="102" spans="1:4">
      <c r="A102" s="416"/>
      <c r="B102" s="66"/>
      <c r="C102" s="66"/>
      <c r="D102" s="66"/>
    </row>
    <row r="103" spans="1:4">
      <c r="A103" s="416"/>
      <c r="B103" s="417"/>
      <c r="C103" s="416"/>
      <c r="D103" s="416"/>
    </row>
    <row r="104" spans="1:4">
      <c r="A104" s="416"/>
      <c r="B104" s="417"/>
      <c r="C104" s="416"/>
      <c r="D104" s="416"/>
    </row>
    <row r="105" spans="1:4">
      <c r="A105" s="416"/>
      <c r="B105" s="417"/>
      <c r="C105" s="416"/>
      <c r="D105" s="416"/>
    </row>
    <row r="106" spans="1:4">
      <c r="A106" s="416"/>
      <c r="B106" s="417"/>
      <c r="C106" s="416"/>
      <c r="D106" s="416"/>
    </row>
    <row r="107" spans="1:4">
      <c r="A107" s="416"/>
      <c r="B107" s="417"/>
      <c r="C107" s="416"/>
      <c r="D107" s="416"/>
    </row>
    <row r="108" spans="1:4">
      <c r="A108" s="416"/>
      <c r="B108" s="417"/>
      <c r="C108" s="416"/>
      <c r="D108" s="416"/>
    </row>
    <row r="109" spans="1:4">
      <c r="A109" s="416"/>
      <c r="B109" s="417"/>
      <c r="C109" s="416"/>
      <c r="D109" s="416"/>
    </row>
    <row r="110" spans="1:4">
      <c r="A110" s="416"/>
      <c r="B110" s="417"/>
      <c r="C110" s="416"/>
      <c r="D110" s="416"/>
    </row>
    <row r="111" spans="1:4">
      <c r="A111" s="416"/>
      <c r="B111" s="417"/>
      <c r="C111" s="416"/>
      <c r="D111" s="416"/>
    </row>
    <row r="112" spans="1:4">
      <c r="A112" s="416"/>
      <c r="B112" s="417"/>
      <c r="C112" s="416"/>
      <c r="D112" s="416"/>
    </row>
    <row r="113" spans="1:4">
      <c r="A113" s="416"/>
      <c r="B113" s="417"/>
      <c r="C113" s="416"/>
      <c r="D113" s="416"/>
    </row>
    <row r="114" spans="1:4">
      <c r="A114" s="416"/>
      <c r="B114" s="417"/>
      <c r="C114" s="416"/>
      <c r="D114" s="416"/>
    </row>
    <row r="115" spans="1:4">
      <c r="A115" s="65"/>
      <c r="B115" s="417"/>
      <c r="C115" s="416"/>
      <c r="D115" s="416"/>
    </row>
    <row r="116" spans="1:4">
      <c r="A116" s="65"/>
      <c r="B116" s="66"/>
      <c r="C116" s="65"/>
      <c r="D116" s="416"/>
    </row>
    <row r="117" spans="1:4">
      <c r="A117" s="416"/>
      <c r="B117" s="66"/>
      <c r="C117" s="65"/>
      <c r="D117" s="416"/>
    </row>
    <row r="118" spans="1:4">
      <c r="A118" s="416"/>
      <c r="B118" s="417"/>
      <c r="C118" s="416"/>
      <c r="D118" s="416"/>
    </row>
    <row r="119" spans="1:4">
      <c r="A119" s="416"/>
      <c r="B119" s="417"/>
      <c r="C119" s="416"/>
      <c r="D119" s="416"/>
    </row>
    <row r="120" spans="1:4">
      <c r="A120" s="65"/>
      <c r="B120" s="417"/>
      <c r="C120" s="416"/>
      <c r="D120" s="416"/>
    </row>
    <row r="121" spans="1:4">
      <c r="A121" s="65"/>
      <c r="B121" s="66"/>
      <c r="C121" s="65"/>
      <c r="D121" s="65"/>
    </row>
    <row r="122" spans="1:4">
      <c r="A122" s="65"/>
      <c r="B122" s="66"/>
      <c r="C122" s="65"/>
      <c r="D122" s="65"/>
    </row>
    <row r="123" spans="1:4">
      <c r="A123" s="65"/>
      <c r="B123" s="417"/>
      <c r="C123" s="416"/>
      <c r="D123" s="416"/>
    </row>
    <row r="124" spans="1:4">
      <c r="A124" s="65"/>
      <c r="B124" s="417"/>
      <c r="C124" s="416"/>
      <c r="D124" s="416"/>
    </row>
    <row r="125" spans="1:4">
      <c r="A125" s="416"/>
      <c r="B125" s="417"/>
      <c r="C125" s="416"/>
      <c r="D125" s="416"/>
    </row>
    <row r="126" spans="1:4">
      <c r="A126" s="65"/>
      <c r="B126" s="417"/>
      <c r="C126" s="416"/>
      <c r="D126" s="416"/>
    </row>
    <row r="127" spans="1:4">
      <c r="A127" s="416"/>
      <c r="B127" s="66"/>
      <c r="C127" s="65"/>
      <c r="D127" s="65"/>
    </row>
    <row r="128" spans="1:4">
      <c r="A128" s="416"/>
      <c r="B128" s="417"/>
      <c r="C128" s="416"/>
      <c r="D128" s="416"/>
    </row>
    <row r="129" spans="1:4">
      <c r="A129" s="418"/>
      <c r="B129" s="417"/>
      <c r="C129" s="417"/>
      <c r="D129" s="416"/>
    </row>
    <row r="130" spans="1:4">
      <c r="A130" s="418"/>
      <c r="B130" s="417"/>
      <c r="C130" s="417"/>
      <c r="D130" s="417"/>
    </row>
    <row r="131" spans="1:4">
      <c r="A131" s="418"/>
      <c r="B131" s="417"/>
      <c r="C131" s="416"/>
      <c r="D131" s="416"/>
    </row>
    <row r="132" spans="1:4">
      <c r="A132" s="418"/>
      <c r="B132" s="417"/>
      <c r="C132" s="416"/>
      <c r="D132" s="416"/>
    </row>
    <row r="133" spans="1:4">
      <c r="A133" s="418"/>
      <c r="B133" s="417"/>
      <c r="C133" s="417"/>
      <c r="D133" s="417"/>
    </row>
    <row r="134" spans="1:4">
      <c r="A134" s="416"/>
      <c r="B134" s="417"/>
      <c r="C134" s="416"/>
      <c r="D134" s="416"/>
    </row>
    <row r="135" spans="1:4">
      <c r="A135" s="416"/>
      <c r="B135" s="417"/>
      <c r="C135" s="416"/>
      <c r="D135" s="416"/>
    </row>
    <row r="136" spans="1:4">
      <c r="A136" s="418"/>
      <c r="B136" s="417"/>
      <c r="C136" s="416"/>
      <c r="D136" s="416"/>
    </row>
    <row r="137" spans="1:4">
      <c r="A137" s="418"/>
      <c r="B137" s="417"/>
      <c r="C137" s="417"/>
      <c r="D137" s="417"/>
    </row>
    <row r="138" spans="1:4">
      <c r="A138" s="418"/>
      <c r="B138" s="419"/>
      <c r="C138" s="417"/>
      <c r="D138" s="416"/>
    </row>
    <row r="139" spans="1:4">
      <c r="A139" s="418"/>
      <c r="B139" s="419"/>
      <c r="C139" s="417"/>
      <c r="D139" s="416"/>
    </row>
    <row r="140" spans="1:4">
      <c r="A140" s="418"/>
      <c r="B140" s="419"/>
      <c r="C140" s="417"/>
      <c r="D140" s="416"/>
    </row>
    <row r="141" spans="1:4">
      <c r="A141" s="418"/>
      <c r="B141" s="417"/>
      <c r="C141" s="417"/>
      <c r="D141" s="416"/>
    </row>
    <row r="142" spans="1:4">
      <c r="A142" s="418"/>
      <c r="B142" s="417"/>
      <c r="C142" s="417"/>
      <c r="D142" s="417"/>
    </row>
    <row r="143" spans="1:4">
      <c r="A143" s="418"/>
      <c r="B143" s="417"/>
      <c r="C143" s="417"/>
      <c r="D143" s="416"/>
    </row>
    <row r="144" spans="1:4">
      <c r="A144" s="416"/>
      <c r="B144" s="417"/>
      <c r="C144" s="417"/>
      <c r="D144" s="416"/>
    </row>
    <row r="145" spans="1:4">
      <c r="A145" s="416"/>
      <c r="B145" s="417"/>
      <c r="C145" s="417"/>
      <c r="D145" s="416"/>
    </row>
    <row r="146" spans="1:4">
      <c r="A146" s="416"/>
      <c r="B146" s="417"/>
      <c r="C146" s="417"/>
      <c r="D146" s="417"/>
    </row>
    <row r="147" spans="1:4">
      <c r="A147" s="416"/>
      <c r="B147" s="417"/>
      <c r="C147" s="416"/>
      <c r="D147" s="416"/>
    </row>
    <row r="148" spans="1:4">
      <c r="A148" s="416"/>
      <c r="B148" s="417"/>
      <c r="C148" s="416"/>
      <c r="D148" s="416"/>
    </row>
    <row r="149" spans="1:4">
      <c r="A149" s="416"/>
      <c r="B149" s="417"/>
      <c r="C149" s="416"/>
      <c r="D149" s="416"/>
    </row>
    <row r="150" spans="1:4">
      <c r="A150" s="418"/>
      <c r="B150" s="417"/>
      <c r="C150" s="416"/>
      <c r="D150" s="416"/>
    </row>
    <row r="151" spans="1:4">
      <c r="A151" s="418"/>
      <c r="B151" s="417"/>
      <c r="C151" s="417"/>
      <c r="D151" s="417"/>
    </row>
    <row r="152" spans="1:4">
      <c r="A152" s="418"/>
      <c r="B152" s="417"/>
      <c r="C152" s="420"/>
      <c r="D152" s="416"/>
    </row>
    <row r="153" spans="1:4">
      <c r="A153" s="416"/>
      <c r="B153" s="417"/>
      <c r="C153" s="417"/>
      <c r="D153" s="416"/>
    </row>
    <row r="154" spans="1:4">
      <c r="A154" s="65"/>
      <c r="B154" s="417"/>
      <c r="C154" s="416"/>
      <c r="D154" s="416"/>
    </row>
    <row r="155" spans="1:4">
      <c r="A155" s="9"/>
      <c r="B155" s="66"/>
      <c r="C155" s="66"/>
      <c r="D155" s="66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1:4">
      <c r="A193" s="9"/>
      <c r="B193" s="8"/>
      <c r="C193" s="9"/>
      <c r="D193" s="9"/>
    </row>
    <row r="194" spans="1:4">
      <c r="A194" s="9"/>
      <c r="B194" s="8"/>
      <c r="C194" s="9"/>
      <c r="D194" s="9"/>
    </row>
    <row r="195" spans="1:4">
      <c r="A195" s="9"/>
      <c r="B195" s="8"/>
      <c r="C195" s="9"/>
      <c r="D195" s="9"/>
    </row>
    <row r="196" spans="1:4">
      <c r="A196" s="9"/>
      <c r="B196" s="8"/>
      <c r="C196" s="9"/>
      <c r="D196" s="9"/>
    </row>
    <row r="197" spans="1:4">
      <c r="B197" s="8"/>
      <c r="C197" s="9"/>
      <c r="D197" s="9"/>
    </row>
  </sheetData>
  <mergeCells count="16">
    <mergeCell ref="A62:D62"/>
    <mergeCell ref="A63:D63"/>
    <mergeCell ref="A64:D64"/>
    <mergeCell ref="A66:D66"/>
    <mergeCell ref="A34:D34"/>
    <mergeCell ref="A35:D35"/>
    <mergeCell ref="A36:D36"/>
    <mergeCell ref="C39:D39"/>
    <mergeCell ref="C40:D40"/>
    <mergeCell ref="C61:D61"/>
    <mergeCell ref="C12:D12"/>
    <mergeCell ref="A7:D7"/>
    <mergeCell ref="A8:D8"/>
    <mergeCell ref="A9:M9"/>
    <mergeCell ref="A10:D10"/>
    <mergeCell ref="A11:D11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7:M266"/>
  <sheetViews>
    <sheetView view="pageBreakPreview" zoomScaleSheetLayoutView="100" workbookViewId="0">
      <selection activeCell="A15" sqref="A15:M15"/>
    </sheetView>
  </sheetViews>
  <sheetFormatPr defaultRowHeight="12.75"/>
  <cols>
    <col min="1" max="1" width="28.28515625" customWidth="1"/>
    <col min="9" max="9" width="10.140625" customWidth="1"/>
  </cols>
  <sheetData>
    <row r="7" spans="1:13" ht="15">
      <c r="A7" s="499" t="s">
        <v>566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</row>
    <row r="8" spans="1:13">
      <c r="A8" s="491" t="s">
        <v>571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</row>
    <row r="9" spans="1:13" ht="15">
      <c r="D9" s="103"/>
      <c r="E9" s="103"/>
      <c r="F9" s="103"/>
      <c r="G9" s="103"/>
      <c r="H9" s="103"/>
      <c r="I9" s="103"/>
      <c r="J9" s="103"/>
    </row>
    <row r="10" spans="1:13">
      <c r="A10" s="487"/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</row>
    <row r="12" spans="1:13">
      <c r="A12" s="104"/>
      <c r="B12" s="104"/>
      <c r="C12" s="104"/>
      <c r="D12" s="104"/>
      <c r="E12" s="104"/>
      <c r="F12" s="104"/>
    </row>
    <row r="13" spans="1:13">
      <c r="A13" s="104"/>
      <c r="B13" s="104"/>
      <c r="C13" s="104"/>
      <c r="D13" s="104"/>
      <c r="E13" s="104"/>
      <c r="F13" s="104"/>
    </row>
    <row r="15" spans="1:13">
      <c r="A15" s="473" t="s">
        <v>627</v>
      </c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</row>
    <row r="16" spans="1:13">
      <c r="L16" t="s">
        <v>499</v>
      </c>
    </row>
    <row r="17" spans="1:13">
      <c r="M17" t="s">
        <v>455</v>
      </c>
    </row>
    <row r="18" spans="1:13">
      <c r="A18" s="106" t="s">
        <v>95</v>
      </c>
      <c r="B18" s="107"/>
      <c r="C18" s="108" t="s">
        <v>96</v>
      </c>
      <c r="D18" s="109"/>
      <c r="E18" s="110" t="s">
        <v>97</v>
      </c>
      <c r="F18" s="111"/>
      <c r="G18" s="112"/>
      <c r="H18" s="113" t="s">
        <v>98</v>
      </c>
      <c r="I18" s="114"/>
      <c r="J18" s="112"/>
      <c r="K18" s="110"/>
      <c r="L18" s="108" t="s">
        <v>99</v>
      </c>
      <c r="M18" s="112"/>
    </row>
    <row r="19" spans="1:13">
      <c r="A19" s="115" t="s">
        <v>100</v>
      </c>
      <c r="B19" s="110" t="s">
        <v>101</v>
      </c>
      <c r="C19" s="112"/>
      <c r="D19" s="116" t="s">
        <v>29</v>
      </c>
      <c r="E19" s="110" t="s">
        <v>102</v>
      </c>
      <c r="F19" s="112"/>
      <c r="G19" s="110" t="s">
        <v>29</v>
      </c>
      <c r="H19" s="110" t="s">
        <v>103</v>
      </c>
      <c r="I19" s="112"/>
      <c r="J19" s="116" t="s">
        <v>29</v>
      </c>
      <c r="K19" s="110" t="s">
        <v>104</v>
      </c>
      <c r="L19" s="112"/>
      <c r="M19" s="116" t="s">
        <v>29</v>
      </c>
    </row>
    <row r="20" spans="1:13">
      <c r="A20" s="117"/>
      <c r="B20" s="115" t="s">
        <v>71</v>
      </c>
      <c r="C20" s="116" t="s">
        <v>30</v>
      </c>
      <c r="D20" s="116"/>
      <c r="E20" s="116" t="s">
        <v>71</v>
      </c>
      <c r="F20" s="116" t="s">
        <v>30</v>
      </c>
      <c r="G20" s="116"/>
      <c r="H20" s="116" t="s">
        <v>105</v>
      </c>
      <c r="I20" s="116" t="s">
        <v>30</v>
      </c>
      <c r="J20" s="116"/>
      <c r="K20" s="116" t="s">
        <v>71</v>
      </c>
      <c r="L20" s="116" t="s">
        <v>30</v>
      </c>
      <c r="M20" s="116"/>
    </row>
    <row r="21" spans="1:13" ht="18" customHeight="1">
      <c r="A21" s="112" t="s">
        <v>577</v>
      </c>
      <c r="B21" s="413">
        <v>2370</v>
      </c>
      <c r="C21" s="118">
        <f>B21+362</f>
        <v>2732</v>
      </c>
      <c r="D21" s="118"/>
      <c r="E21" s="118">
        <v>513</v>
      </c>
      <c r="F21" s="118">
        <f>E21+93</f>
        <v>606</v>
      </c>
      <c r="G21" s="118"/>
      <c r="H21" s="118">
        <v>6078</v>
      </c>
      <c r="I21" s="118">
        <f>H21</f>
        <v>6078</v>
      </c>
      <c r="J21" s="118"/>
      <c r="K21" s="118">
        <f t="shared" ref="K21:K26" si="0">SUM(B21+E21+H21)</f>
        <v>8961</v>
      </c>
      <c r="L21" s="118">
        <f>C21+F21+I21</f>
        <v>9416</v>
      </c>
      <c r="M21" s="118"/>
    </row>
    <row r="22" spans="1:13" ht="18" customHeight="1">
      <c r="A22" s="112" t="s">
        <v>578</v>
      </c>
      <c r="B22" s="413">
        <v>4333</v>
      </c>
      <c r="C22" s="118">
        <v>4333</v>
      </c>
      <c r="D22" s="118"/>
      <c r="E22" s="118">
        <v>937</v>
      </c>
      <c r="F22" s="118">
        <v>937</v>
      </c>
      <c r="G22" s="118"/>
      <c r="H22" s="118">
        <v>11113</v>
      </c>
      <c r="I22" s="118">
        <f>H22+90</f>
        <v>11203</v>
      </c>
      <c r="J22" s="118"/>
      <c r="K22" s="118">
        <f t="shared" si="0"/>
        <v>16383</v>
      </c>
      <c r="L22" s="118">
        <f t="shared" ref="L22:L26" si="1">C22+F22+I22</f>
        <v>16473</v>
      </c>
      <c r="M22" s="118"/>
    </row>
    <row r="23" spans="1:13" ht="18" customHeight="1">
      <c r="A23" s="112" t="s">
        <v>488</v>
      </c>
      <c r="B23" s="413">
        <v>181</v>
      </c>
      <c r="C23" s="118">
        <v>181</v>
      </c>
      <c r="D23" s="118"/>
      <c r="E23" s="118">
        <v>39</v>
      </c>
      <c r="F23" s="118">
        <v>39</v>
      </c>
      <c r="G23" s="118"/>
      <c r="H23" s="118">
        <v>465</v>
      </c>
      <c r="I23" s="118">
        <f t="shared" ref="I23:I26" si="2">H23</f>
        <v>465</v>
      </c>
      <c r="J23" s="118"/>
      <c r="K23" s="118">
        <f t="shared" si="0"/>
        <v>685</v>
      </c>
      <c r="L23" s="118">
        <f t="shared" si="1"/>
        <v>685</v>
      </c>
      <c r="M23" s="119"/>
    </row>
    <row r="24" spans="1:13" ht="18" customHeight="1">
      <c r="A24" s="116" t="s">
        <v>579</v>
      </c>
      <c r="B24" s="413">
        <v>2228</v>
      </c>
      <c r="C24" s="118">
        <v>2228</v>
      </c>
      <c r="D24" s="118"/>
      <c r="E24" s="118">
        <v>482</v>
      </c>
      <c r="F24" s="118">
        <v>482</v>
      </c>
      <c r="G24" s="118"/>
      <c r="H24" s="118">
        <v>5713</v>
      </c>
      <c r="I24" s="118">
        <f t="shared" si="2"/>
        <v>5713</v>
      </c>
      <c r="J24" s="118"/>
      <c r="K24" s="118">
        <f t="shared" si="0"/>
        <v>8423</v>
      </c>
      <c r="L24" s="118">
        <f t="shared" si="1"/>
        <v>8423</v>
      </c>
      <c r="M24" s="118"/>
    </row>
    <row r="25" spans="1:13" ht="18" customHeight="1">
      <c r="A25" s="116" t="s">
        <v>580</v>
      </c>
      <c r="B25" s="413">
        <v>1416</v>
      </c>
      <c r="C25" s="118">
        <v>1416</v>
      </c>
      <c r="D25" s="118"/>
      <c r="E25" s="118">
        <v>306</v>
      </c>
      <c r="F25" s="118">
        <v>306</v>
      </c>
      <c r="G25" s="118"/>
      <c r="H25" s="118">
        <v>3632</v>
      </c>
      <c r="I25" s="118">
        <f>H25+1200</f>
        <v>4832</v>
      </c>
      <c r="J25" s="118"/>
      <c r="K25" s="118">
        <f t="shared" si="0"/>
        <v>5354</v>
      </c>
      <c r="L25" s="118">
        <f t="shared" si="1"/>
        <v>6554</v>
      </c>
      <c r="M25" s="118"/>
    </row>
    <row r="26" spans="1:13" ht="18" customHeight="1">
      <c r="A26" s="116" t="s">
        <v>581</v>
      </c>
      <c r="B26" s="413">
        <v>80</v>
      </c>
      <c r="C26" s="118">
        <v>80</v>
      </c>
      <c r="D26" s="118"/>
      <c r="E26" s="118">
        <v>17</v>
      </c>
      <c r="F26" s="118">
        <v>17</v>
      </c>
      <c r="G26" s="118"/>
      <c r="H26" s="118">
        <v>204</v>
      </c>
      <c r="I26" s="118">
        <f t="shared" si="2"/>
        <v>204</v>
      </c>
      <c r="J26" s="118"/>
      <c r="K26" s="118">
        <f t="shared" si="0"/>
        <v>301</v>
      </c>
      <c r="L26" s="118">
        <f t="shared" si="1"/>
        <v>301</v>
      </c>
      <c r="M26" s="118"/>
    </row>
    <row r="27" spans="1:13" ht="18" customHeight="1" thickBot="1">
      <c r="A27" s="435" t="s">
        <v>109</v>
      </c>
      <c r="B27" s="125">
        <f>SUM(B21:B26)</f>
        <v>10608</v>
      </c>
      <c r="C27" s="125">
        <f t="shared" ref="C27:J27" si="3">SUM(C21:C26)</f>
        <v>10970</v>
      </c>
      <c r="D27" s="125">
        <f t="shared" si="3"/>
        <v>0</v>
      </c>
      <c r="E27" s="125">
        <f t="shared" si="3"/>
        <v>2294</v>
      </c>
      <c r="F27" s="125">
        <f t="shared" si="3"/>
        <v>2387</v>
      </c>
      <c r="G27" s="125">
        <f t="shared" si="3"/>
        <v>0</v>
      </c>
      <c r="H27" s="125">
        <f t="shared" si="3"/>
        <v>27205</v>
      </c>
      <c r="I27" s="125">
        <f t="shared" si="3"/>
        <v>28495</v>
      </c>
      <c r="J27" s="125">
        <f t="shared" si="3"/>
        <v>0</v>
      </c>
      <c r="K27" s="125">
        <f>SUM(K21:K26)</f>
        <v>40107</v>
      </c>
      <c r="L27" s="125">
        <f>SUM(L21:L26)</f>
        <v>41852</v>
      </c>
      <c r="M27" s="125">
        <f>SUM(M21:M26)</f>
        <v>0</v>
      </c>
    </row>
    <row r="28" spans="1:13" ht="18" customHeight="1">
      <c r="A28" s="213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</row>
    <row r="29" spans="1:13" ht="18" customHeight="1">
      <c r="A29" s="35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 ht="18" customHeight="1">
      <c r="A30" s="35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 ht="18" customHeight="1">
      <c r="A31" s="129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</row>
    <row r="32" spans="1:13" ht="18" customHeight="1">
      <c r="A32" s="35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8" customHeight="1">
      <c r="A33" s="35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 ht="18" customHeight="1">
      <c r="A34" s="35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ht="18" customHeight="1">
      <c r="A35" s="35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</row>
    <row r="36" spans="1:13">
      <c r="A36" s="35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13">
      <c r="A37" s="35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>
      <c r="A38" s="35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</row>
    <row r="39" spans="1:13">
      <c r="A39" s="35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>
      <c r="A40" s="35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</row>
    <row r="41" spans="1:13">
      <c r="A41" s="35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>
      <c r="A42" s="35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1:13">
      <c r="A43" s="35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>
      <c r="A44" s="35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3">
      <c r="A45" s="35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>
      <c r="A46" s="35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>
      <c r="A47" s="35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3">
      <c r="A48" s="35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3">
      <c r="A49" s="35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3">
      <c r="A50" s="35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3">
      <c r="A51" s="35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1:1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5" spans="1:13">
      <c r="A55" s="35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</row>
    <row r="56" spans="1:13">
      <c r="A56" s="35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</row>
    <row r="57" spans="1:13">
      <c r="A57" s="35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</row>
    <row r="58" spans="1:13">
      <c r="A58" s="35"/>
      <c r="B58" s="127"/>
      <c r="C58" s="127"/>
      <c r="D58" s="127"/>
      <c r="E58" s="127"/>
      <c r="F58" s="128"/>
      <c r="G58" s="127"/>
      <c r="H58" s="127"/>
      <c r="I58" s="127"/>
      <c r="J58" s="127"/>
      <c r="K58" s="127"/>
      <c r="L58" s="127"/>
      <c r="M58" s="127"/>
    </row>
    <row r="59" spans="1:13">
      <c r="A59" s="35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</row>
    <row r="60" spans="1:13">
      <c r="A60" s="35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</row>
    <row r="61" spans="1:13">
      <c r="A61" s="35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</row>
    <row r="62" spans="1:13">
      <c r="A62" s="35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</row>
    <row r="63" spans="1:13">
      <c r="A63" s="35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</row>
    <row r="64" spans="1:13">
      <c r="A64" s="35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</row>
    <row r="65" spans="1:13">
      <c r="A65" s="35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</row>
    <row r="66" spans="1:13">
      <c r="A66" s="35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</row>
    <row r="67" spans="1:13">
      <c r="A67" s="35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</row>
    <row r="68" spans="1:13">
      <c r="A68" s="35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</row>
    <row r="69" spans="1:13">
      <c r="A69" s="35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</row>
    <row r="70" spans="1:13">
      <c r="A70" s="35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</row>
    <row r="71" spans="1:13">
      <c r="A71" s="35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</row>
    <row r="72" spans="1:13">
      <c r="A72" s="129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</row>
    <row r="73" spans="1:13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  <row r="74" spans="1:13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</row>
    <row r="75" spans="1:13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</row>
    <row r="76" spans="1:13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</row>
    <row r="77" spans="1:13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</row>
    <row r="78" spans="1:13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</row>
    <row r="79" spans="1:13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</row>
    <row r="80" spans="1:13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</row>
    <row r="81" spans="2:13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</row>
    <row r="82" spans="2:13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</row>
    <row r="83" spans="2:13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</row>
    <row r="84" spans="2:13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</row>
    <row r="85" spans="2:13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</row>
    <row r="86" spans="2:13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</row>
    <row r="87" spans="2:13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</row>
    <row r="88" spans="2:13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</row>
    <row r="89" spans="2:13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</row>
    <row r="90" spans="2:13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</row>
    <row r="91" spans="2:13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</row>
    <row r="92" spans="2:13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</row>
    <row r="93" spans="2:13"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</row>
    <row r="94" spans="2:13"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</row>
    <row r="95" spans="2:13"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</row>
    <row r="96" spans="2:13"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</row>
    <row r="97" spans="2:13"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</row>
    <row r="98" spans="2:13"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</row>
    <row r="99" spans="2:13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</row>
    <row r="100" spans="2:13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</row>
    <row r="101" spans="2:13"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</row>
    <row r="102" spans="2:13"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</row>
    <row r="103" spans="2:13"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</row>
    <row r="104" spans="2:13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</row>
    <row r="105" spans="2:13"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</row>
    <row r="106" spans="2:13"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</row>
    <row r="107" spans="2:13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</row>
    <row r="108" spans="2:13"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</row>
    <row r="109" spans="2:13"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</row>
    <row r="110" spans="2:13"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</row>
    <row r="111" spans="2:13"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</row>
    <row r="112" spans="2:13"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</row>
    <row r="113" spans="2:13"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</row>
    <row r="114" spans="2:13"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</row>
    <row r="115" spans="2:13"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</row>
    <row r="116" spans="2:13"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</row>
    <row r="117" spans="2:13"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</row>
    <row r="118" spans="2:13"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</row>
    <row r="119" spans="2:13"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</row>
    <row r="120" spans="2:13"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</row>
    <row r="121" spans="2:13"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</row>
    <row r="122" spans="2:13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</row>
    <row r="123" spans="2:13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</row>
    <row r="124" spans="2:13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</row>
    <row r="125" spans="2:13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</row>
    <row r="126" spans="2:13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</row>
    <row r="127" spans="2:13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</row>
    <row r="128" spans="2:13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</row>
    <row r="129" spans="2:13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</row>
    <row r="130" spans="2:13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</row>
    <row r="131" spans="2:13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</row>
    <row r="132" spans="2:13"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</row>
    <row r="133" spans="2:13"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</row>
    <row r="134" spans="2:13"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</row>
    <row r="135" spans="2:13"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</row>
    <row r="136" spans="2:13"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</row>
    <row r="137" spans="2:13"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</row>
    <row r="138" spans="2:13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</row>
    <row r="139" spans="2:13"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</row>
    <row r="140" spans="2:13"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</row>
    <row r="141" spans="2:13"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</row>
    <row r="142" spans="2:13"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</row>
    <row r="143" spans="2:13"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</row>
    <row r="144" spans="2:13"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</row>
    <row r="145" spans="2:13"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</row>
    <row r="146" spans="2:13"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</row>
    <row r="147" spans="2:13"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</row>
    <row r="148" spans="2:13"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</row>
    <row r="149" spans="2:13"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</row>
    <row r="150" spans="2:13"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</row>
    <row r="151" spans="2:13"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</row>
    <row r="152" spans="2:13"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</row>
    <row r="153" spans="2:13"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</row>
    <row r="154" spans="2:13"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</row>
    <row r="155" spans="2:13"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</row>
    <row r="156" spans="2:13"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</row>
    <row r="157" spans="2:13"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</row>
    <row r="158" spans="2:13"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</row>
    <row r="159" spans="2:13"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</row>
    <row r="160" spans="2:13"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</row>
    <row r="161" spans="2:13"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</row>
    <row r="162" spans="2:13"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</row>
    <row r="163" spans="2:13">
      <c r="B163" s="121"/>
      <c r="C163" s="121"/>
      <c r="D163" s="121"/>
      <c r="K163" s="121"/>
    </row>
    <row r="164" spans="2:13">
      <c r="B164" s="121"/>
      <c r="C164" s="121"/>
      <c r="D164" s="121"/>
      <c r="K164" s="121"/>
    </row>
    <row r="165" spans="2:13">
      <c r="B165" s="121"/>
      <c r="C165" s="121"/>
      <c r="D165" s="121"/>
      <c r="K165" s="121"/>
    </row>
    <row r="166" spans="2:13">
      <c r="B166" s="121"/>
      <c r="C166" s="121"/>
      <c r="D166" s="121"/>
      <c r="K166" s="121"/>
    </row>
    <row r="167" spans="2:13">
      <c r="B167" s="121"/>
      <c r="C167" s="121"/>
      <c r="D167" s="121"/>
      <c r="K167" s="121"/>
    </row>
    <row r="168" spans="2:13">
      <c r="B168" s="121"/>
      <c r="C168" s="121"/>
      <c r="D168" s="121"/>
      <c r="K168" s="121"/>
    </row>
    <row r="169" spans="2:13">
      <c r="B169" s="121"/>
      <c r="C169" s="121"/>
      <c r="D169" s="121"/>
      <c r="K169" s="121"/>
    </row>
    <row r="170" spans="2:13">
      <c r="B170" s="121"/>
      <c r="C170" s="121"/>
      <c r="D170" s="121"/>
      <c r="K170" s="121"/>
    </row>
    <row r="171" spans="2:13">
      <c r="B171" s="121"/>
      <c r="C171" s="121"/>
      <c r="D171" s="121"/>
      <c r="K171" s="121"/>
    </row>
    <row r="172" spans="2:13">
      <c r="B172" s="121"/>
      <c r="C172" s="121"/>
      <c r="D172" s="121"/>
      <c r="K172" s="121"/>
    </row>
    <row r="173" spans="2:13">
      <c r="B173" s="121"/>
      <c r="C173" s="121"/>
      <c r="D173" s="121"/>
      <c r="K173" s="121"/>
    </row>
    <row r="174" spans="2:13">
      <c r="B174" s="121"/>
      <c r="C174" s="121"/>
      <c r="D174" s="121"/>
      <c r="K174" s="121"/>
    </row>
    <row r="175" spans="2:13">
      <c r="B175" s="121"/>
      <c r="C175" s="121"/>
      <c r="D175" s="121"/>
      <c r="K175" s="121"/>
    </row>
    <row r="176" spans="2:13">
      <c r="B176" s="121"/>
      <c r="C176" s="121"/>
      <c r="D176" s="121"/>
      <c r="K176" s="121"/>
    </row>
    <row r="177" spans="2:11">
      <c r="B177" s="121"/>
      <c r="C177" s="121"/>
      <c r="D177" s="121"/>
      <c r="K177" s="121"/>
    </row>
    <row r="178" spans="2:11">
      <c r="B178" s="121"/>
      <c r="C178" s="121"/>
      <c r="D178" s="121"/>
      <c r="K178" s="121"/>
    </row>
    <row r="179" spans="2:11">
      <c r="B179" s="121"/>
      <c r="C179" s="121"/>
      <c r="D179" s="121"/>
      <c r="K179" s="121"/>
    </row>
    <row r="180" spans="2:11">
      <c r="B180" s="121"/>
      <c r="C180" s="121"/>
      <c r="D180" s="121"/>
      <c r="K180" s="121"/>
    </row>
    <row r="181" spans="2:11">
      <c r="B181" s="121"/>
      <c r="C181" s="121"/>
      <c r="D181" s="121"/>
      <c r="K181" s="121"/>
    </row>
    <row r="182" spans="2:11">
      <c r="B182" s="121"/>
      <c r="C182" s="121"/>
      <c r="D182" s="121"/>
      <c r="K182" s="121"/>
    </row>
    <row r="183" spans="2:11">
      <c r="B183" s="121"/>
      <c r="C183" s="121"/>
      <c r="D183" s="121"/>
      <c r="K183" s="121"/>
    </row>
    <row r="184" spans="2:11">
      <c r="B184" s="121"/>
      <c r="C184" s="121"/>
      <c r="D184" s="121"/>
      <c r="K184" s="121"/>
    </row>
    <row r="185" spans="2:11">
      <c r="B185" s="121"/>
      <c r="C185" s="121"/>
      <c r="D185" s="121"/>
      <c r="K185" s="121"/>
    </row>
    <row r="186" spans="2:11">
      <c r="B186" s="121"/>
      <c r="C186" s="121"/>
      <c r="D186" s="121"/>
      <c r="K186" s="121"/>
    </row>
    <row r="187" spans="2:11">
      <c r="B187" s="121"/>
      <c r="C187" s="121"/>
      <c r="D187" s="121"/>
      <c r="K187" s="121"/>
    </row>
    <row r="188" spans="2:11">
      <c r="B188" s="121"/>
      <c r="C188" s="121"/>
      <c r="D188" s="121"/>
      <c r="K188" s="121"/>
    </row>
    <row r="189" spans="2:11">
      <c r="B189" s="121"/>
      <c r="C189" s="121"/>
      <c r="D189" s="121"/>
      <c r="K189" s="121"/>
    </row>
    <row r="190" spans="2:11">
      <c r="B190" s="121"/>
      <c r="C190" s="121"/>
      <c r="D190" s="121"/>
      <c r="K190" s="121"/>
    </row>
    <row r="191" spans="2:11">
      <c r="B191" s="121"/>
      <c r="C191" s="121"/>
      <c r="D191" s="121"/>
      <c r="K191" s="121"/>
    </row>
    <row r="192" spans="2:11">
      <c r="B192" s="121"/>
      <c r="C192" s="121"/>
      <c r="D192" s="121"/>
      <c r="K192" s="121"/>
    </row>
    <row r="193" spans="2:11">
      <c r="B193" s="121"/>
      <c r="C193" s="121"/>
      <c r="D193" s="121"/>
      <c r="K193" s="121"/>
    </row>
    <row r="194" spans="2:11">
      <c r="B194" s="121"/>
      <c r="C194" s="121"/>
      <c r="D194" s="121"/>
      <c r="K194" s="121"/>
    </row>
    <row r="195" spans="2:11">
      <c r="B195" s="121"/>
      <c r="C195" s="121"/>
      <c r="D195" s="121"/>
      <c r="K195" s="121"/>
    </row>
    <row r="196" spans="2:11">
      <c r="B196" s="121"/>
      <c r="C196" s="121"/>
      <c r="D196" s="121"/>
      <c r="K196" s="121"/>
    </row>
    <row r="197" spans="2:11">
      <c r="B197" s="121"/>
      <c r="C197" s="121"/>
      <c r="D197" s="121"/>
      <c r="K197" s="121"/>
    </row>
    <row r="198" spans="2:11">
      <c r="B198" s="121"/>
      <c r="C198" s="121"/>
      <c r="D198" s="121"/>
      <c r="K198" s="121"/>
    </row>
    <row r="199" spans="2:11">
      <c r="B199" s="121"/>
      <c r="C199" s="121"/>
      <c r="D199" s="121"/>
      <c r="K199" s="121"/>
    </row>
    <row r="200" spans="2:11">
      <c r="B200" s="121"/>
      <c r="C200" s="121"/>
      <c r="D200" s="121"/>
      <c r="K200" s="121"/>
    </row>
    <row r="201" spans="2:11">
      <c r="B201" s="121"/>
      <c r="C201" s="121"/>
      <c r="D201" s="121"/>
      <c r="K201" s="121"/>
    </row>
    <row r="202" spans="2:11">
      <c r="B202" s="121"/>
      <c r="C202" s="121"/>
      <c r="D202" s="121"/>
      <c r="K202" s="121"/>
    </row>
    <row r="203" spans="2:11">
      <c r="B203" s="121"/>
      <c r="C203" s="121"/>
      <c r="D203" s="121"/>
      <c r="K203" s="121"/>
    </row>
    <row r="204" spans="2:11">
      <c r="B204" s="121"/>
      <c r="C204" s="121"/>
      <c r="D204" s="121"/>
      <c r="K204" s="121"/>
    </row>
    <row r="205" spans="2:11">
      <c r="B205" s="121"/>
      <c r="C205" s="121"/>
      <c r="D205" s="121"/>
      <c r="K205" s="121"/>
    </row>
    <row r="206" spans="2:11">
      <c r="B206" s="121"/>
      <c r="C206" s="121"/>
      <c r="D206" s="121"/>
      <c r="K206" s="121"/>
    </row>
    <row r="207" spans="2:11">
      <c r="B207" s="121"/>
      <c r="C207" s="121"/>
      <c r="D207" s="121"/>
      <c r="K207" s="121"/>
    </row>
    <row r="208" spans="2:11">
      <c r="B208" s="121"/>
      <c r="C208" s="121"/>
      <c r="D208" s="121"/>
      <c r="K208" s="121"/>
    </row>
    <row r="209" spans="2:11">
      <c r="B209" s="121"/>
      <c r="C209" s="121"/>
      <c r="D209" s="121"/>
      <c r="K209" s="121"/>
    </row>
    <row r="210" spans="2:11">
      <c r="B210" s="121"/>
      <c r="C210" s="121"/>
      <c r="D210" s="121"/>
      <c r="K210" s="121"/>
    </row>
    <row r="211" spans="2:11">
      <c r="B211" s="121"/>
      <c r="C211" s="121"/>
      <c r="D211" s="121"/>
      <c r="K211" s="121"/>
    </row>
    <row r="212" spans="2:11">
      <c r="B212" s="121"/>
      <c r="C212" s="121"/>
      <c r="D212" s="121"/>
      <c r="K212" s="121"/>
    </row>
    <row r="213" spans="2:11">
      <c r="B213" s="121"/>
      <c r="C213" s="121"/>
      <c r="D213" s="121"/>
      <c r="K213" s="121"/>
    </row>
    <row r="214" spans="2:11">
      <c r="B214" s="121"/>
      <c r="C214" s="121"/>
      <c r="D214" s="121"/>
      <c r="K214" s="121"/>
    </row>
    <row r="215" spans="2:11">
      <c r="B215" s="121"/>
      <c r="C215" s="121"/>
      <c r="D215" s="121"/>
      <c r="K215" s="121"/>
    </row>
    <row r="216" spans="2:11">
      <c r="B216" s="121"/>
      <c r="C216" s="121"/>
      <c r="D216" s="121"/>
      <c r="K216" s="121"/>
    </row>
    <row r="217" spans="2:11">
      <c r="B217" s="121"/>
      <c r="C217" s="121"/>
      <c r="D217" s="121"/>
      <c r="K217" s="121"/>
    </row>
    <row r="218" spans="2:11">
      <c r="B218" s="121"/>
      <c r="C218" s="121"/>
      <c r="D218" s="121"/>
      <c r="K218" s="121"/>
    </row>
    <row r="219" spans="2:11">
      <c r="B219" s="121"/>
      <c r="C219" s="121"/>
      <c r="D219" s="121"/>
      <c r="K219" s="121"/>
    </row>
    <row r="220" spans="2:11">
      <c r="B220" s="121"/>
      <c r="C220" s="121"/>
      <c r="D220" s="121"/>
      <c r="K220" s="121"/>
    </row>
    <row r="221" spans="2:11">
      <c r="B221" s="121"/>
      <c r="C221" s="121"/>
      <c r="D221" s="121"/>
      <c r="K221" s="121"/>
    </row>
    <row r="222" spans="2:11">
      <c r="B222" s="121"/>
      <c r="C222" s="121"/>
      <c r="D222" s="121"/>
      <c r="K222" s="121"/>
    </row>
    <row r="223" spans="2:11">
      <c r="B223" s="121"/>
      <c r="C223" s="121"/>
      <c r="D223" s="121"/>
      <c r="K223" s="121"/>
    </row>
    <row r="224" spans="2:11">
      <c r="B224" s="121"/>
      <c r="C224" s="121"/>
      <c r="D224" s="121"/>
      <c r="K224" s="121"/>
    </row>
    <row r="225" spans="2:11">
      <c r="B225" s="121"/>
      <c r="C225" s="121"/>
      <c r="D225" s="121"/>
      <c r="K225" s="121"/>
    </row>
    <row r="226" spans="2:11">
      <c r="B226" s="121"/>
      <c r="C226" s="121"/>
      <c r="D226" s="121"/>
      <c r="K226" s="121"/>
    </row>
    <row r="227" spans="2:11">
      <c r="B227" s="121"/>
      <c r="C227" s="121"/>
      <c r="D227" s="121"/>
      <c r="K227" s="121"/>
    </row>
    <row r="228" spans="2:11">
      <c r="B228" s="121"/>
      <c r="C228" s="121"/>
      <c r="D228" s="121"/>
      <c r="K228" s="121"/>
    </row>
    <row r="229" spans="2:11">
      <c r="B229" s="121"/>
      <c r="C229" s="121"/>
      <c r="D229" s="121"/>
      <c r="K229" s="121"/>
    </row>
    <row r="230" spans="2:11">
      <c r="B230" s="121"/>
      <c r="C230" s="121"/>
      <c r="D230" s="121"/>
      <c r="K230" s="121"/>
    </row>
    <row r="231" spans="2:11">
      <c r="B231" s="121"/>
      <c r="C231" s="121"/>
      <c r="D231" s="121"/>
      <c r="K231" s="121"/>
    </row>
    <row r="232" spans="2:11">
      <c r="C232" s="121"/>
      <c r="D232" s="121"/>
      <c r="K232" s="121"/>
    </row>
    <row r="233" spans="2:11">
      <c r="C233" s="121"/>
      <c r="D233" s="121"/>
      <c r="K233" s="121"/>
    </row>
    <row r="234" spans="2:11">
      <c r="C234" s="121"/>
      <c r="D234" s="121"/>
      <c r="K234" s="121"/>
    </row>
    <row r="235" spans="2:11">
      <c r="C235" s="121"/>
      <c r="D235" s="121"/>
      <c r="K235" s="121"/>
    </row>
    <row r="236" spans="2:11">
      <c r="C236" s="121"/>
      <c r="D236" s="121"/>
      <c r="K236" s="121"/>
    </row>
    <row r="237" spans="2:11">
      <c r="C237" s="121"/>
      <c r="D237" s="121"/>
      <c r="K237" s="121"/>
    </row>
    <row r="238" spans="2:11">
      <c r="C238" s="121"/>
      <c r="D238" s="121"/>
      <c r="K238" s="121"/>
    </row>
    <row r="239" spans="2:11">
      <c r="C239" s="121"/>
      <c r="D239" s="121"/>
      <c r="K239" s="121"/>
    </row>
    <row r="240" spans="2:11">
      <c r="C240" s="121"/>
      <c r="D240" s="121"/>
      <c r="K240" s="121"/>
    </row>
    <row r="241" spans="3:11">
      <c r="C241" s="121"/>
      <c r="D241" s="121"/>
      <c r="K241" s="121"/>
    </row>
    <row r="242" spans="3:11">
      <c r="C242" s="121"/>
      <c r="D242" s="121"/>
      <c r="K242" s="121"/>
    </row>
    <row r="243" spans="3:11">
      <c r="C243" s="121"/>
      <c r="D243" s="121"/>
      <c r="K243" s="121"/>
    </row>
    <row r="244" spans="3:11">
      <c r="C244" s="121"/>
      <c r="D244" s="121"/>
      <c r="K244" s="121"/>
    </row>
    <row r="245" spans="3:11">
      <c r="C245" s="121"/>
      <c r="D245" s="121"/>
      <c r="K245" s="121"/>
    </row>
    <row r="246" spans="3:11">
      <c r="K246" s="121"/>
    </row>
    <row r="247" spans="3:11">
      <c r="K247" s="121"/>
    </row>
    <row r="248" spans="3:11">
      <c r="K248" s="121"/>
    </row>
    <row r="249" spans="3:11">
      <c r="K249" s="121"/>
    </row>
    <row r="250" spans="3:11">
      <c r="K250" s="121"/>
    </row>
    <row r="251" spans="3:11">
      <c r="K251" s="121"/>
    </row>
    <row r="252" spans="3:11">
      <c r="K252" s="121"/>
    </row>
    <row r="253" spans="3:11">
      <c r="K253" s="121"/>
    </row>
    <row r="254" spans="3:11">
      <c r="K254" s="121"/>
    </row>
    <row r="255" spans="3:11">
      <c r="K255" s="121"/>
    </row>
    <row r="256" spans="3:11">
      <c r="K256" s="121"/>
    </row>
    <row r="257" spans="11:11">
      <c r="K257" s="121"/>
    </row>
    <row r="258" spans="11:11">
      <c r="K258" s="121"/>
    </row>
    <row r="259" spans="11:11">
      <c r="K259" s="121"/>
    </row>
    <row r="260" spans="11:11">
      <c r="K260" s="121"/>
    </row>
    <row r="261" spans="11:11">
      <c r="K261" s="121"/>
    </row>
    <row r="262" spans="11:11">
      <c r="K262" s="121"/>
    </row>
    <row r="263" spans="11:11">
      <c r="K263" s="121"/>
    </row>
    <row r="264" spans="11:11">
      <c r="K264" s="121"/>
    </row>
    <row r="265" spans="11:11">
      <c r="K265" s="121"/>
    </row>
    <row r="266" spans="11:11">
      <c r="K266" s="121"/>
    </row>
  </sheetData>
  <mergeCells count="4">
    <mergeCell ref="A7:M7"/>
    <mergeCell ref="A8:M8"/>
    <mergeCell ref="A10:M10"/>
    <mergeCell ref="A15:M15"/>
  </mergeCells>
  <pageMargins left="0.7" right="0.7" top="0.75" bottom="0.75" header="0.3" footer="0.3"/>
  <pageSetup paperSize="9"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SheetLayoutView="100" workbookViewId="0">
      <selection activeCell="F44" sqref="F43:F44"/>
    </sheetView>
  </sheetViews>
  <sheetFormatPr defaultRowHeight="12.75"/>
  <cols>
    <col min="1" max="1" width="51.7109375" customWidth="1"/>
    <col min="2" max="2" width="0.140625" customWidth="1"/>
    <col min="3" max="4" width="9.140625" hidden="1" customWidth="1"/>
    <col min="5" max="5" width="14" customWidth="1"/>
    <col min="6" max="6" width="16.7109375" customWidth="1"/>
  </cols>
  <sheetData>
    <row r="1" spans="1:6">
      <c r="C1" t="s">
        <v>166</v>
      </c>
    </row>
    <row r="5" spans="1:6">
      <c r="A5" s="491" t="s">
        <v>167</v>
      </c>
      <c r="B5" s="472"/>
      <c r="C5" s="472"/>
      <c r="D5" s="472"/>
      <c r="E5" s="472"/>
      <c r="F5" s="472"/>
    </row>
    <row r="6" spans="1:6">
      <c r="A6" s="212"/>
      <c r="B6" s="212"/>
      <c r="C6" s="212"/>
      <c r="D6" s="212"/>
      <c r="E6" s="212"/>
      <c r="F6" s="212"/>
    </row>
    <row r="8" spans="1:6">
      <c r="B8" s="104"/>
      <c r="C8" s="104"/>
      <c r="D8" s="104"/>
    </row>
    <row r="9" spans="1:6" ht="27" customHeight="1">
      <c r="A9" s="493" t="s">
        <v>626</v>
      </c>
      <c r="B9" s="493"/>
      <c r="C9" s="493"/>
      <c r="D9" s="493"/>
      <c r="E9" s="493"/>
      <c r="F9" s="493"/>
    </row>
    <row r="10" spans="1:6">
      <c r="B10" s="104"/>
      <c r="C10" s="104"/>
      <c r="D10" s="104"/>
    </row>
    <row r="11" spans="1:6" ht="13.5" thickBot="1">
      <c r="B11" s="104"/>
      <c r="C11" s="104"/>
      <c r="D11" s="104"/>
      <c r="F11" t="s">
        <v>572</v>
      </c>
    </row>
    <row r="12" spans="1:6">
      <c r="A12" s="382" t="s">
        <v>168</v>
      </c>
      <c r="B12" s="383"/>
      <c r="C12" s="383"/>
      <c r="D12" s="383"/>
      <c r="E12" s="511" t="s">
        <v>573</v>
      </c>
      <c r="F12" s="512"/>
    </row>
    <row r="13" spans="1:6" ht="12.75" customHeight="1">
      <c r="A13" s="81"/>
      <c r="B13" s="116"/>
      <c r="C13" s="116"/>
      <c r="D13" s="116"/>
      <c r="E13" s="509" t="s">
        <v>495</v>
      </c>
      <c r="F13" s="510"/>
    </row>
    <row r="14" spans="1:6">
      <c r="A14" s="81"/>
      <c r="B14" s="116"/>
      <c r="C14" s="116"/>
      <c r="D14" s="116"/>
      <c r="E14" s="83" t="s">
        <v>496</v>
      </c>
      <c r="F14" s="83" t="s">
        <v>497</v>
      </c>
    </row>
    <row r="15" spans="1:6" ht="15.75">
      <c r="A15" s="384" t="s">
        <v>170</v>
      </c>
      <c r="B15" s="116"/>
      <c r="C15" s="116"/>
      <c r="D15" s="116"/>
      <c r="E15" s="83"/>
      <c r="F15" s="83"/>
    </row>
    <row r="16" spans="1:6">
      <c r="A16" s="385" t="s">
        <v>620</v>
      </c>
      <c r="B16" s="116"/>
      <c r="C16" s="116"/>
      <c r="D16" s="116"/>
      <c r="E16" s="41">
        <v>75</v>
      </c>
      <c r="F16" s="41">
        <v>0</v>
      </c>
    </row>
    <row r="17" spans="1:6">
      <c r="A17" s="81" t="s">
        <v>106</v>
      </c>
      <c r="B17" s="116"/>
      <c r="C17" s="116"/>
      <c r="D17" s="116"/>
      <c r="E17" s="41">
        <v>1</v>
      </c>
      <c r="F17" s="41">
        <v>0</v>
      </c>
    </row>
    <row r="18" spans="1:6">
      <c r="A18" s="81" t="s">
        <v>171</v>
      </c>
      <c r="B18" s="116"/>
      <c r="C18" s="116"/>
      <c r="D18" s="116"/>
      <c r="E18" s="41">
        <v>1</v>
      </c>
      <c r="F18" s="41">
        <v>0</v>
      </c>
    </row>
    <row r="19" spans="1:6">
      <c r="A19" s="81" t="s">
        <v>7</v>
      </c>
      <c r="B19" s="116"/>
      <c r="C19" s="116"/>
      <c r="D19" s="116"/>
      <c r="E19" s="41">
        <v>0.4</v>
      </c>
      <c r="F19" s="41">
        <v>0</v>
      </c>
    </row>
    <row r="20" spans="1:6">
      <c r="A20" s="81" t="s">
        <v>12</v>
      </c>
      <c r="B20" s="116"/>
      <c r="C20" s="116"/>
      <c r="D20" s="116"/>
      <c r="E20" s="41">
        <v>0.6</v>
      </c>
      <c r="F20" s="41">
        <v>0</v>
      </c>
    </row>
    <row r="21" spans="1:6">
      <c r="A21" s="81" t="s">
        <v>172</v>
      </c>
      <c r="B21" s="116"/>
      <c r="C21" s="116"/>
      <c r="D21" s="116"/>
      <c r="E21" s="41">
        <v>1</v>
      </c>
      <c r="F21" s="41">
        <v>0.375</v>
      </c>
    </row>
    <row r="22" spans="1:6">
      <c r="A22" s="81" t="s">
        <v>173</v>
      </c>
      <c r="B22" s="116"/>
      <c r="C22" s="116"/>
      <c r="D22" s="116"/>
      <c r="E22" s="41">
        <v>1</v>
      </c>
      <c r="F22" s="41">
        <v>0.8</v>
      </c>
    </row>
    <row r="23" spans="1:6">
      <c r="A23" s="81" t="s">
        <v>174</v>
      </c>
      <c r="B23" s="116"/>
      <c r="C23" s="116"/>
      <c r="D23" s="116"/>
      <c r="E23" s="41">
        <v>0</v>
      </c>
      <c r="F23" s="41">
        <v>0</v>
      </c>
    </row>
    <row r="24" spans="1:6" ht="13.5" thickBot="1">
      <c r="A24" s="372" t="s">
        <v>175</v>
      </c>
      <c r="B24" s="386"/>
      <c r="C24" s="386"/>
      <c r="D24" s="386"/>
      <c r="E24" s="387">
        <v>0</v>
      </c>
      <c r="F24" s="388">
        <v>0.375</v>
      </c>
    </row>
    <row r="25" spans="1:6" ht="13.5" thickBot="1">
      <c r="A25" s="216" t="s">
        <v>176</v>
      </c>
      <c r="B25" s="214"/>
      <c r="C25" s="214"/>
      <c r="D25" s="215"/>
      <c r="E25" s="217">
        <f>SUM(E16:E24)</f>
        <v>80</v>
      </c>
      <c r="F25" s="217">
        <f>SUM(F16:F24)</f>
        <v>1.55</v>
      </c>
    </row>
    <row r="26" spans="1:6">
      <c r="A26" s="218"/>
      <c r="B26" s="65"/>
      <c r="C26" s="65"/>
      <c r="D26" s="65"/>
      <c r="E26" s="65"/>
      <c r="F26" s="35"/>
    </row>
    <row r="27" spans="1:6" ht="13.5" thickBot="1">
      <c r="A27" s="219"/>
      <c r="B27" s="65"/>
      <c r="C27" s="65"/>
      <c r="D27" s="65"/>
      <c r="E27" s="65"/>
    </row>
    <row r="28" spans="1:6">
      <c r="A28" s="423" t="s">
        <v>568</v>
      </c>
      <c r="B28" s="218"/>
      <c r="C28" s="218"/>
      <c r="D28" s="218"/>
      <c r="E28" s="422">
        <v>17</v>
      </c>
      <c r="F28" s="422">
        <v>0.25</v>
      </c>
    </row>
    <row r="29" spans="1:6">
      <c r="A29" s="149" t="s">
        <v>498</v>
      </c>
      <c r="B29" s="149">
        <v>14</v>
      </c>
      <c r="C29" s="149"/>
      <c r="D29" s="150">
        <v>35121</v>
      </c>
      <c r="E29" s="208">
        <v>12</v>
      </c>
      <c r="F29" s="83">
        <v>0</v>
      </c>
    </row>
    <row r="30" spans="1:6">
      <c r="A30" s="404" t="s">
        <v>567</v>
      </c>
      <c r="B30" s="83">
        <v>5</v>
      </c>
      <c r="C30" s="83"/>
      <c r="D30" s="82"/>
      <c r="E30" s="83">
        <v>5</v>
      </c>
      <c r="F30" s="116">
        <v>0.25</v>
      </c>
    </row>
    <row r="31" spans="1:6">
      <c r="A31" s="191"/>
      <c r="B31" s="83"/>
      <c r="C31" s="83"/>
      <c r="D31" s="122"/>
      <c r="E31" s="421"/>
      <c r="F31" s="220"/>
    </row>
    <row r="32" spans="1:6" ht="13.5" thickBot="1">
      <c r="A32" s="221" t="s">
        <v>177</v>
      </c>
      <c r="B32" s="83">
        <v>75</v>
      </c>
      <c r="C32" s="83">
        <v>17.100000000000001</v>
      </c>
      <c r="D32" s="122">
        <v>184964</v>
      </c>
      <c r="E32" s="285">
        <f>SUM(E25+E28)</f>
        <v>97</v>
      </c>
      <c r="F32" s="285">
        <f>SUM(F25+F28)</f>
        <v>1.8</v>
      </c>
    </row>
  </sheetData>
  <mergeCells count="4">
    <mergeCell ref="A5:F5"/>
    <mergeCell ref="A9:F9"/>
    <mergeCell ref="E13:F13"/>
    <mergeCell ref="E12:F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4:O76"/>
  <sheetViews>
    <sheetView view="pageBreakPreview" zoomScaleSheetLayoutView="100" workbookViewId="0">
      <selection activeCell="A7" sqref="A7:N7"/>
    </sheetView>
  </sheetViews>
  <sheetFormatPr defaultRowHeight="12.75"/>
  <cols>
    <col min="1" max="1" width="27" customWidth="1"/>
    <col min="6" max="6" width="9.42578125" customWidth="1"/>
    <col min="8" max="8" width="10.140625" bestFit="1" customWidth="1"/>
    <col min="9" max="9" width="7.140625" bestFit="1" customWidth="1"/>
  </cols>
  <sheetData>
    <row r="4" spans="1:14">
      <c r="A4" s="229"/>
      <c r="B4" s="491" t="s">
        <v>240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</row>
    <row r="6" spans="1:14">
      <c r="A6" s="35"/>
      <c r="B6" s="35"/>
      <c r="C6" s="35"/>
    </row>
    <row r="7" spans="1:14">
      <c r="A7" s="469" t="s">
        <v>626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</row>
    <row r="8" spans="1:14">
      <c r="M8" t="s">
        <v>574</v>
      </c>
    </row>
    <row r="9" spans="1:14">
      <c r="M9" t="s">
        <v>455</v>
      </c>
    </row>
    <row r="10" spans="1:14">
      <c r="A10" s="115"/>
      <c r="B10" s="115"/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</row>
    <row r="11" spans="1:14">
      <c r="A11" s="117"/>
      <c r="B11" s="117" t="s">
        <v>241</v>
      </c>
      <c r="C11" s="230" t="s">
        <v>242</v>
      </c>
      <c r="D11" s="230" t="s">
        <v>243</v>
      </c>
      <c r="E11" s="230" t="s">
        <v>244</v>
      </c>
      <c r="F11" s="230" t="s">
        <v>245</v>
      </c>
      <c r="G11" s="230" t="s">
        <v>246</v>
      </c>
      <c r="H11" s="230" t="s">
        <v>247</v>
      </c>
      <c r="I11" s="230" t="s">
        <v>248</v>
      </c>
      <c r="J11" s="230" t="s">
        <v>249</v>
      </c>
      <c r="K11" s="230" t="s">
        <v>250</v>
      </c>
      <c r="L11" s="230" t="s">
        <v>251</v>
      </c>
      <c r="M11" s="230" t="s">
        <v>252</v>
      </c>
      <c r="N11" s="230" t="s">
        <v>253</v>
      </c>
    </row>
    <row r="12" spans="1:14">
      <c r="A12" s="27" t="s">
        <v>254</v>
      </c>
      <c r="B12" s="116">
        <v>2017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>
      <c r="A13" s="27" t="s">
        <v>255</v>
      </c>
      <c r="B13" s="82">
        <f t="shared" ref="B13:N13" si="0">SUM(B14,B17)</f>
        <v>141710</v>
      </c>
      <c r="C13" s="82">
        <f t="shared" si="0"/>
        <v>2173.25</v>
      </c>
      <c r="D13" s="82">
        <f t="shared" si="0"/>
        <v>4499.75</v>
      </c>
      <c r="E13" s="82">
        <f t="shared" si="0"/>
        <v>16480.25</v>
      </c>
      <c r="F13" s="82">
        <f t="shared" si="0"/>
        <v>9436.75</v>
      </c>
      <c r="G13" s="82">
        <f t="shared" si="0"/>
        <v>34726.25</v>
      </c>
      <c r="H13" s="82">
        <f t="shared" si="0"/>
        <v>4120.25</v>
      </c>
      <c r="I13" s="82">
        <f t="shared" si="0"/>
        <v>42397.25</v>
      </c>
      <c r="J13" s="82">
        <f t="shared" si="0"/>
        <v>5185.25</v>
      </c>
      <c r="K13" s="82">
        <f t="shared" si="0"/>
        <v>12715.25</v>
      </c>
      <c r="L13" s="82">
        <f t="shared" si="0"/>
        <v>5252.75</v>
      </c>
      <c r="M13" s="82">
        <f t="shared" si="0"/>
        <v>2173.25</v>
      </c>
      <c r="N13" s="82">
        <f t="shared" si="0"/>
        <v>2549.75</v>
      </c>
    </row>
    <row r="14" spans="1:14">
      <c r="A14" s="116" t="s">
        <v>256</v>
      </c>
      <c r="B14" s="82">
        <f t="shared" ref="B14:N14" si="1">SUM(B15:B16)</f>
        <v>54693</v>
      </c>
      <c r="C14" s="82">
        <f t="shared" si="1"/>
        <v>2173.25</v>
      </c>
      <c r="D14" s="82">
        <f t="shared" si="1"/>
        <v>2549.75</v>
      </c>
      <c r="E14" s="82">
        <f t="shared" si="1"/>
        <v>16480.25</v>
      </c>
      <c r="F14" s="82">
        <f t="shared" si="1"/>
        <v>2549.75</v>
      </c>
      <c r="G14" s="82">
        <f t="shared" si="1"/>
        <v>2173.25</v>
      </c>
      <c r="H14" s="82">
        <f t="shared" si="1"/>
        <v>1420.25</v>
      </c>
      <c r="I14" s="82">
        <f t="shared" si="1"/>
        <v>1420.25</v>
      </c>
      <c r="J14" s="82">
        <f t="shared" si="1"/>
        <v>5185.25</v>
      </c>
      <c r="K14" s="82">
        <f t="shared" si="1"/>
        <v>12715.25</v>
      </c>
      <c r="L14" s="82">
        <f t="shared" si="1"/>
        <v>3302.75</v>
      </c>
      <c r="M14" s="82">
        <f t="shared" si="1"/>
        <v>2173.25</v>
      </c>
      <c r="N14" s="82">
        <f t="shared" si="1"/>
        <v>2549.75</v>
      </c>
    </row>
    <row r="15" spans="1:14">
      <c r="A15" s="116" t="s">
        <v>257</v>
      </c>
      <c r="B15" s="231">
        <v>37650</v>
      </c>
      <c r="C15" s="118">
        <f>$B$15*0.02</f>
        <v>753</v>
      </c>
      <c r="D15" s="118">
        <f>$B$15*0.03</f>
        <v>1129.5</v>
      </c>
      <c r="E15" s="118">
        <f>$B$15*0.4</f>
        <v>15060</v>
      </c>
      <c r="F15" s="118">
        <f>$B$15*0.03</f>
        <v>1129.5</v>
      </c>
      <c r="G15" s="118">
        <f>$B$15*0.02</f>
        <v>753</v>
      </c>
      <c r="H15" s="118"/>
      <c r="I15" s="118"/>
      <c r="J15" s="118">
        <f>$B$15*0.1</f>
        <v>3765</v>
      </c>
      <c r="K15" s="118">
        <f>$B$15*0.3</f>
        <v>11295</v>
      </c>
      <c r="L15" s="118">
        <f>$B$15*0.05</f>
        <v>1882.5</v>
      </c>
      <c r="M15" s="118">
        <f>$B$15*0.02</f>
        <v>753</v>
      </c>
      <c r="N15" s="118">
        <f>$B$15*0.03</f>
        <v>1129.5</v>
      </c>
    </row>
    <row r="16" spans="1:14">
      <c r="A16" s="116" t="s">
        <v>258</v>
      </c>
      <c r="B16" s="231">
        <v>17043</v>
      </c>
      <c r="C16" s="118">
        <f>$B$16/12</f>
        <v>1420.25</v>
      </c>
      <c r="D16" s="118">
        <f t="shared" ref="D16:N16" si="2">$B$16/12</f>
        <v>1420.25</v>
      </c>
      <c r="E16" s="118">
        <f t="shared" si="2"/>
        <v>1420.25</v>
      </c>
      <c r="F16" s="118">
        <f t="shared" si="2"/>
        <v>1420.25</v>
      </c>
      <c r="G16" s="118">
        <f t="shared" si="2"/>
        <v>1420.25</v>
      </c>
      <c r="H16" s="118">
        <f t="shared" si="2"/>
        <v>1420.25</v>
      </c>
      <c r="I16" s="118">
        <f t="shared" si="2"/>
        <v>1420.25</v>
      </c>
      <c r="J16" s="118">
        <f t="shared" si="2"/>
        <v>1420.25</v>
      </c>
      <c r="K16" s="118">
        <f t="shared" si="2"/>
        <v>1420.25</v>
      </c>
      <c r="L16" s="118">
        <f t="shared" si="2"/>
        <v>1420.25</v>
      </c>
      <c r="M16" s="118">
        <f t="shared" si="2"/>
        <v>1420.25</v>
      </c>
      <c r="N16" s="118">
        <f t="shared" si="2"/>
        <v>1420.25</v>
      </c>
    </row>
    <row r="17" spans="1:14">
      <c r="A17" s="116" t="s">
        <v>259</v>
      </c>
      <c r="B17" s="82">
        <f t="shared" ref="B17:N17" si="3">SUM(B18:B19)</f>
        <v>87017</v>
      </c>
      <c r="C17" s="82">
        <f t="shared" si="3"/>
        <v>0</v>
      </c>
      <c r="D17" s="82">
        <f t="shared" si="3"/>
        <v>1950</v>
      </c>
      <c r="E17" s="82">
        <f t="shared" si="3"/>
        <v>0</v>
      </c>
      <c r="F17" s="82">
        <f t="shared" si="3"/>
        <v>6887</v>
      </c>
      <c r="G17" s="82">
        <f>SUM(G18:G19)</f>
        <v>32553</v>
      </c>
      <c r="H17" s="82">
        <f>SUM(H18:H19)</f>
        <v>2700</v>
      </c>
      <c r="I17" s="82">
        <f>SUM(I18:I19)</f>
        <v>40977</v>
      </c>
      <c r="J17" s="82">
        <f t="shared" si="3"/>
        <v>0</v>
      </c>
      <c r="K17" s="82">
        <f t="shared" si="3"/>
        <v>0</v>
      </c>
      <c r="L17" s="82">
        <f t="shared" si="3"/>
        <v>1950</v>
      </c>
      <c r="M17" s="82">
        <f t="shared" si="3"/>
        <v>0</v>
      </c>
      <c r="N17" s="82">
        <f t="shared" si="3"/>
        <v>0</v>
      </c>
    </row>
    <row r="18" spans="1:14">
      <c r="A18" s="116" t="s">
        <v>411</v>
      </c>
      <c r="B18" s="231">
        <v>7800</v>
      </c>
      <c r="C18" s="118"/>
      <c r="D18" s="118">
        <f>B18/4</f>
        <v>1950</v>
      </c>
      <c r="E18" s="118"/>
      <c r="F18" s="118">
        <f>B18/4</f>
        <v>1950</v>
      </c>
      <c r="G18" s="118"/>
      <c r="H18" s="118"/>
      <c r="I18" s="118">
        <f>B18/4</f>
        <v>1950</v>
      </c>
      <c r="J18" s="118"/>
      <c r="K18" s="118"/>
      <c r="L18" s="118">
        <f>B18/4</f>
        <v>1950</v>
      </c>
      <c r="M18" s="118"/>
      <c r="N18" s="118"/>
    </row>
    <row r="19" spans="1:14">
      <c r="A19" s="116" t="s">
        <v>622</v>
      </c>
      <c r="B19" s="231">
        <f>SUM(C19:N19)</f>
        <v>79217</v>
      </c>
      <c r="C19" s="118"/>
      <c r="D19" s="118"/>
      <c r="E19" s="118"/>
      <c r="F19" s="118">
        <v>4937</v>
      </c>
      <c r="G19" s="118">
        <v>32553</v>
      </c>
      <c r="H19" s="118">
        <v>2700</v>
      </c>
      <c r="I19" s="118">
        <v>39027</v>
      </c>
      <c r="J19" s="118"/>
      <c r="K19" s="118"/>
      <c r="L19" s="118"/>
      <c r="M19" s="118"/>
      <c r="N19" s="118"/>
    </row>
    <row r="20" spans="1:14">
      <c r="A20" s="27" t="s">
        <v>260</v>
      </c>
      <c r="B20" s="82">
        <f t="shared" ref="B20:N20" si="4">SUM(B21:B21)</f>
        <v>182547</v>
      </c>
      <c r="C20" s="82">
        <f t="shared" si="4"/>
        <v>15212.25</v>
      </c>
      <c r="D20" s="82">
        <f t="shared" si="4"/>
        <v>15212.25</v>
      </c>
      <c r="E20" s="82">
        <f t="shared" si="4"/>
        <v>15212.25</v>
      </c>
      <c r="F20" s="82">
        <f t="shared" si="4"/>
        <v>15212.25</v>
      </c>
      <c r="G20" s="82">
        <f t="shared" si="4"/>
        <v>15212.25</v>
      </c>
      <c r="H20" s="82">
        <f t="shared" si="4"/>
        <v>15212.25</v>
      </c>
      <c r="I20" s="82">
        <f t="shared" si="4"/>
        <v>15212.25</v>
      </c>
      <c r="J20" s="82">
        <f t="shared" si="4"/>
        <v>15212.25</v>
      </c>
      <c r="K20" s="82">
        <f t="shared" si="4"/>
        <v>15212.25</v>
      </c>
      <c r="L20" s="82">
        <f t="shared" si="4"/>
        <v>15212.25</v>
      </c>
      <c r="M20" s="82">
        <f t="shared" si="4"/>
        <v>15212.25</v>
      </c>
      <c r="N20" s="82">
        <f t="shared" si="4"/>
        <v>15212.25</v>
      </c>
    </row>
    <row r="21" spans="1:14">
      <c r="A21" s="116" t="s">
        <v>412</v>
      </c>
      <c r="B21" s="231">
        <v>182547</v>
      </c>
      <c r="C21" s="118">
        <f>$B$21/12</f>
        <v>15212.25</v>
      </c>
      <c r="D21" s="118">
        <f t="shared" ref="D21:N21" si="5">$B$21/12</f>
        <v>15212.25</v>
      </c>
      <c r="E21" s="118">
        <f t="shared" si="5"/>
        <v>15212.25</v>
      </c>
      <c r="F21" s="118">
        <f t="shared" si="5"/>
        <v>15212.25</v>
      </c>
      <c r="G21" s="118">
        <f t="shared" si="5"/>
        <v>15212.25</v>
      </c>
      <c r="H21" s="118">
        <f t="shared" si="5"/>
        <v>15212.25</v>
      </c>
      <c r="I21" s="118">
        <f t="shared" si="5"/>
        <v>15212.25</v>
      </c>
      <c r="J21" s="118">
        <f t="shared" si="5"/>
        <v>15212.25</v>
      </c>
      <c r="K21" s="118">
        <f t="shared" si="5"/>
        <v>15212.25</v>
      </c>
      <c r="L21" s="118">
        <f t="shared" si="5"/>
        <v>15212.25</v>
      </c>
      <c r="M21" s="118">
        <f t="shared" si="5"/>
        <v>15212.25</v>
      </c>
      <c r="N21" s="118">
        <f t="shared" si="5"/>
        <v>15212.25</v>
      </c>
    </row>
    <row r="22" spans="1:14">
      <c r="A22" s="27" t="s">
        <v>261</v>
      </c>
      <c r="B22" s="82">
        <f t="shared" ref="B22:N22" si="6">SUM(B23:B24)</f>
        <v>126900</v>
      </c>
      <c r="C22" s="82">
        <f t="shared" si="6"/>
        <v>10397.666666666666</v>
      </c>
      <c r="D22" s="82">
        <f t="shared" si="6"/>
        <v>10427.666666666666</v>
      </c>
      <c r="E22" s="82">
        <f t="shared" si="6"/>
        <v>12495.666666666666</v>
      </c>
      <c r="F22" s="82">
        <f t="shared" si="6"/>
        <v>10397.666666666666</v>
      </c>
      <c r="G22" s="82">
        <f t="shared" si="6"/>
        <v>10397.666666666666</v>
      </c>
      <c r="H22" s="82">
        <f t="shared" si="6"/>
        <v>10397.666666666666</v>
      </c>
      <c r="I22" s="82">
        <f t="shared" si="6"/>
        <v>10397.666666666666</v>
      </c>
      <c r="J22" s="82">
        <f t="shared" si="6"/>
        <v>10397.666666666666</v>
      </c>
      <c r="K22" s="82">
        <f t="shared" si="6"/>
        <v>10397.666666666666</v>
      </c>
      <c r="L22" s="82">
        <f t="shared" si="6"/>
        <v>10397.666666666666</v>
      </c>
      <c r="M22" s="82">
        <f t="shared" si="6"/>
        <v>10397.666666666666</v>
      </c>
      <c r="N22" s="82">
        <f t="shared" si="6"/>
        <v>10397.666666666666</v>
      </c>
    </row>
    <row r="23" spans="1:14">
      <c r="A23" s="116" t="s">
        <v>262</v>
      </c>
      <c r="B23" s="231">
        <v>124772</v>
      </c>
      <c r="C23" s="118">
        <f>$B$23/12</f>
        <v>10397.666666666666</v>
      </c>
      <c r="D23" s="118">
        <f t="shared" ref="D23:N23" si="7">$B$23/12</f>
        <v>10397.666666666666</v>
      </c>
      <c r="E23" s="118">
        <f t="shared" si="7"/>
        <v>10397.666666666666</v>
      </c>
      <c r="F23" s="118">
        <f t="shared" si="7"/>
        <v>10397.666666666666</v>
      </c>
      <c r="G23" s="118">
        <f t="shared" si="7"/>
        <v>10397.666666666666</v>
      </c>
      <c r="H23" s="118">
        <f t="shared" si="7"/>
        <v>10397.666666666666</v>
      </c>
      <c r="I23" s="118">
        <f t="shared" si="7"/>
        <v>10397.666666666666</v>
      </c>
      <c r="J23" s="118">
        <f t="shared" si="7"/>
        <v>10397.666666666666</v>
      </c>
      <c r="K23" s="118">
        <f t="shared" si="7"/>
        <v>10397.666666666666</v>
      </c>
      <c r="L23" s="118">
        <f t="shared" si="7"/>
        <v>10397.666666666666</v>
      </c>
      <c r="M23" s="118">
        <f t="shared" si="7"/>
        <v>10397.666666666666</v>
      </c>
      <c r="N23" s="118">
        <f t="shared" si="7"/>
        <v>10397.666666666666</v>
      </c>
    </row>
    <row r="24" spans="1:14">
      <c r="A24" s="116" t="s">
        <v>413</v>
      </c>
      <c r="B24" s="231">
        <f>SUM(C24:N24)</f>
        <v>2128</v>
      </c>
      <c r="C24" s="118"/>
      <c r="D24" s="118">
        <v>30</v>
      </c>
      <c r="E24" s="118">
        <v>2098</v>
      </c>
      <c r="I24" s="118"/>
      <c r="J24" s="118"/>
      <c r="K24" s="118"/>
      <c r="L24" s="118"/>
      <c r="M24" s="118"/>
      <c r="N24" s="118"/>
    </row>
    <row r="25" spans="1:14">
      <c r="A25" s="27" t="s">
        <v>263</v>
      </c>
      <c r="B25" s="82">
        <v>421</v>
      </c>
      <c r="C25" s="97">
        <f>$B$25/12</f>
        <v>35.083333333333336</v>
      </c>
      <c r="D25" s="97">
        <f t="shared" ref="D25:N25" si="8">$B$25/12</f>
        <v>35.083333333333336</v>
      </c>
      <c r="E25" s="97">
        <f t="shared" si="8"/>
        <v>35.083333333333336</v>
      </c>
      <c r="F25" s="97">
        <f t="shared" si="8"/>
        <v>35.083333333333336</v>
      </c>
      <c r="G25" s="97">
        <f t="shared" si="8"/>
        <v>35.083333333333336</v>
      </c>
      <c r="H25" s="97">
        <f t="shared" si="8"/>
        <v>35.083333333333336</v>
      </c>
      <c r="I25" s="97">
        <f t="shared" si="8"/>
        <v>35.083333333333336</v>
      </c>
      <c r="J25" s="97">
        <f t="shared" si="8"/>
        <v>35.083333333333336</v>
      </c>
      <c r="K25" s="97">
        <f t="shared" si="8"/>
        <v>35.083333333333336</v>
      </c>
      <c r="L25" s="97">
        <f t="shared" si="8"/>
        <v>35.083333333333336</v>
      </c>
      <c r="M25" s="97">
        <f t="shared" si="8"/>
        <v>35.083333333333336</v>
      </c>
      <c r="N25" s="97">
        <f t="shared" si="8"/>
        <v>35.083333333333336</v>
      </c>
    </row>
    <row r="26" spans="1:14">
      <c r="A26" s="113" t="s">
        <v>264</v>
      </c>
      <c r="B26" s="233"/>
      <c r="C26" s="234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1:14">
      <c r="A27" s="235" t="s">
        <v>265</v>
      </c>
      <c r="B27" s="49">
        <f>SUM(B13,B20,B22,B25)</f>
        <v>451578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>
      <c r="A28" s="236" t="s">
        <v>266</v>
      </c>
      <c r="B28" s="90"/>
      <c r="C28" s="237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</row>
    <row r="29" spans="1:14" ht="13.5" thickBot="1">
      <c r="A29" s="238" t="s">
        <v>267</v>
      </c>
      <c r="B29" s="239">
        <v>68118</v>
      </c>
      <c r="C29" s="240">
        <f>$B$29/12</f>
        <v>5676.5</v>
      </c>
      <c r="D29" s="240">
        <f t="shared" ref="D29:M29" si="9">$B$29/12</f>
        <v>5676.5</v>
      </c>
      <c r="E29" s="240">
        <f t="shared" si="9"/>
        <v>5676.5</v>
      </c>
      <c r="F29" s="240">
        <f t="shared" si="9"/>
        <v>5676.5</v>
      </c>
      <c r="G29" s="240">
        <f t="shared" si="9"/>
        <v>5676.5</v>
      </c>
      <c r="H29" s="240">
        <f t="shared" si="9"/>
        <v>5676.5</v>
      </c>
      <c r="I29" s="240">
        <f t="shared" si="9"/>
        <v>5676.5</v>
      </c>
      <c r="J29" s="240">
        <f t="shared" si="9"/>
        <v>5676.5</v>
      </c>
      <c r="K29" s="240">
        <f t="shared" si="9"/>
        <v>5676.5</v>
      </c>
      <c r="L29" s="240">
        <v>1140</v>
      </c>
      <c r="M29" s="240">
        <f t="shared" si="9"/>
        <v>5676.5</v>
      </c>
      <c r="N29" s="240">
        <v>7140</v>
      </c>
    </row>
    <row r="30" spans="1:14">
      <c r="A30" s="241" t="s">
        <v>268</v>
      </c>
      <c r="B30" s="242"/>
      <c r="C30" s="243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345"/>
    </row>
    <row r="31" spans="1:14" ht="13.5" thickBot="1">
      <c r="A31" s="246" t="s">
        <v>269</v>
      </c>
      <c r="B31" s="247">
        <f>SUM(B27,B29)</f>
        <v>519696</v>
      </c>
      <c r="C31" s="247">
        <f t="shared" ref="C31:N31" si="10">SUM(C13,C20,C22,C25,C29)</f>
        <v>33494.75</v>
      </c>
      <c r="D31" s="247">
        <f t="shared" si="10"/>
        <v>35851.25</v>
      </c>
      <c r="E31" s="247">
        <f t="shared" si="10"/>
        <v>49899.75</v>
      </c>
      <c r="F31" s="247">
        <f t="shared" si="10"/>
        <v>40758.25</v>
      </c>
      <c r="G31" s="247">
        <f t="shared" si="10"/>
        <v>66047.75</v>
      </c>
      <c r="H31" s="247">
        <f t="shared" si="10"/>
        <v>35441.75</v>
      </c>
      <c r="I31" s="247">
        <f t="shared" si="10"/>
        <v>73718.75</v>
      </c>
      <c r="J31" s="247">
        <f t="shared" si="10"/>
        <v>36506.75</v>
      </c>
      <c r="K31" s="247">
        <f t="shared" si="10"/>
        <v>44036.75</v>
      </c>
      <c r="L31" s="247">
        <f t="shared" si="10"/>
        <v>32037.749999999996</v>
      </c>
      <c r="M31" s="247">
        <f t="shared" si="10"/>
        <v>33494.75</v>
      </c>
      <c r="N31" s="346">
        <f t="shared" si="10"/>
        <v>35334.75</v>
      </c>
    </row>
    <row r="32" spans="1:14"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</row>
    <row r="33" spans="1:14"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</row>
    <row r="34" spans="1:14"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</row>
    <row r="35" spans="1:14"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1:14"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</row>
    <row r="37" spans="1:14"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</row>
    <row r="38" spans="1:14"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1:14"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</row>
    <row r="41" spans="1:14"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</row>
    <row r="42" spans="1:14">
      <c r="A42" s="115"/>
      <c r="B42" s="249"/>
      <c r="C42" s="232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347"/>
    </row>
    <row r="43" spans="1:14">
      <c r="A43" s="117"/>
      <c r="B43" s="117" t="s">
        <v>621</v>
      </c>
      <c r="C43" s="21" t="s">
        <v>242</v>
      </c>
      <c r="D43" s="21" t="s">
        <v>243</v>
      </c>
      <c r="E43" s="21" t="s">
        <v>244</v>
      </c>
      <c r="F43" s="21" t="s">
        <v>245</v>
      </c>
      <c r="G43" s="21" t="s">
        <v>246</v>
      </c>
      <c r="H43" s="21" t="s">
        <v>247</v>
      </c>
      <c r="I43" s="21" t="s">
        <v>248</v>
      </c>
      <c r="J43" s="21" t="s">
        <v>249</v>
      </c>
      <c r="K43" s="21" t="s">
        <v>250</v>
      </c>
      <c r="L43" s="21" t="s">
        <v>251</v>
      </c>
      <c r="M43" s="21" t="s">
        <v>270</v>
      </c>
      <c r="N43" s="21" t="s">
        <v>253</v>
      </c>
    </row>
    <row r="44" spans="1:14">
      <c r="A44" s="27" t="s">
        <v>271</v>
      </c>
      <c r="B44" s="116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27" t="s">
        <v>272</v>
      </c>
      <c r="B45" s="82">
        <f>SUM(C45:N45)</f>
        <v>188950.99999999997</v>
      </c>
      <c r="C45" s="82">
        <f t="shared" ref="C45:N45" si="11">SUM(C46:C49)</f>
        <v>15745.916666666666</v>
      </c>
      <c r="D45" s="82">
        <f t="shared" si="11"/>
        <v>15745.916666666666</v>
      </c>
      <c r="E45" s="82">
        <f t="shared" si="11"/>
        <v>15745.916666666666</v>
      </c>
      <c r="F45" s="82">
        <f t="shared" si="11"/>
        <v>15745.916666666666</v>
      </c>
      <c r="G45" s="82">
        <f t="shared" si="11"/>
        <v>15745.916666666666</v>
      </c>
      <c r="H45" s="82">
        <f t="shared" si="11"/>
        <v>15745.916666666666</v>
      </c>
      <c r="I45" s="82">
        <f t="shared" si="11"/>
        <v>15745.916666666666</v>
      </c>
      <c r="J45" s="82">
        <f t="shared" si="11"/>
        <v>15745.916666666666</v>
      </c>
      <c r="K45" s="82">
        <f t="shared" si="11"/>
        <v>15745.916666666666</v>
      </c>
      <c r="L45" s="82">
        <f t="shared" si="11"/>
        <v>15745.916666666666</v>
      </c>
      <c r="M45" s="82">
        <f t="shared" si="11"/>
        <v>15745.916666666666</v>
      </c>
      <c r="N45" s="82">
        <f t="shared" si="11"/>
        <v>15745.916666666666</v>
      </c>
    </row>
    <row r="46" spans="1:14">
      <c r="A46" s="116" t="s">
        <v>273</v>
      </c>
      <c r="B46" s="48">
        <v>103480</v>
      </c>
      <c r="C46" s="118">
        <f>$B$46/12</f>
        <v>8623.3333333333339</v>
      </c>
      <c r="D46" s="118">
        <f t="shared" ref="D46:N46" si="12">$B$46/12</f>
        <v>8623.3333333333339</v>
      </c>
      <c r="E46" s="118">
        <f t="shared" si="12"/>
        <v>8623.3333333333339</v>
      </c>
      <c r="F46" s="118">
        <f t="shared" si="12"/>
        <v>8623.3333333333339</v>
      </c>
      <c r="G46" s="118">
        <f t="shared" si="12"/>
        <v>8623.3333333333339</v>
      </c>
      <c r="H46" s="118">
        <f t="shared" si="12"/>
        <v>8623.3333333333339</v>
      </c>
      <c r="I46" s="118">
        <f t="shared" si="12"/>
        <v>8623.3333333333339</v>
      </c>
      <c r="J46" s="118">
        <f t="shared" si="12"/>
        <v>8623.3333333333339</v>
      </c>
      <c r="K46" s="118">
        <f t="shared" si="12"/>
        <v>8623.3333333333339</v>
      </c>
      <c r="L46" s="118">
        <f t="shared" si="12"/>
        <v>8623.3333333333339</v>
      </c>
      <c r="M46" s="118">
        <f t="shared" si="12"/>
        <v>8623.3333333333339</v>
      </c>
      <c r="N46" s="118">
        <f t="shared" si="12"/>
        <v>8623.3333333333339</v>
      </c>
    </row>
    <row r="47" spans="1:14">
      <c r="A47" s="116" t="s">
        <v>274</v>
      </c>
      <c r="B47" s="48">
        <v>14667</v>
      </c>
      <c r="C47" s="118">
        <f>$B$47/12</f>
        <v>1222.25</v>
      </c>
      <c r="D47" s="118">
        <f t="shared" ref="D47:N47" si="13">$B$47/12</f>
        <v>1222.25</v>
      </c>
      <c r="E47" s="118">
        <f t="shared" si="13"/>
        <v>1222.25</v>
      </c>
      <c r="F47" s="118">
        <f t="shared" si="13"/>
        <v>1222.25</v>
      </c>
      <c r="G47" s="118">
        <f t="shared" si="13"/>
        <v>1222.25</v>
      </c>
      <c r="H47" s="118">
        <f t="shared" si="13"/>
        <v>1222.25</v>
      </c>
      <c r="I47" s="118">
        <f t="shared" si="13"/>
        <v>1222.25</v>
      </c>
      <c r="J47" s="118">
        <f t="shared" si="13"/>
        <v>1222.25</v>
      </c>
      <c r="K47" s="118">
        <f t="shared" si="13"/>
        <v>1222.25</v>
      </c>
      <c r="L47" s="118">
        <f t="shared" si="13"/>
        <v>1222.25</v>
      </c>
      <c r="M47" s="118">
        <f t="shared" si="13"/>
        <v>1222.25</v>
      </c>
      <c r="N47" s="118">
        <f t="shared" si="13"/>
        <v>1222.25</v>
      </c>
    </row>
    <row r="48" spans="1:14">
      <c r="A48" s="116" t="s">
        <v>275</v>
      </c>
      <c r="B48" s="48">
        <v>55490</v>
      </c>
      <c r="C48" s="118">
        <f>$B$48/12</f>
        <v>4624.166666666667</v>
      </c>
      <c r="D48" s="118">
        <f t="shared" ref="D48:N48" si="14">$B$48/12</f>
        <v>4624.166666666667</v>
      </c>
      <c r="E48" s="118">
        <f t="shared" si="14"/>
        <v>4624.166666666667</v>
      </c>
      <c r="F48" s="118">
        <f t="shared" si="14"/>
        <v>4624.166666666667</v>
      </c>
      <c r="G48" s="118">
        <f t="shared" si="14"/>
        <v>4624.166666666667</v>
      </c>
      <c r="H48" s="118">
        <f t="shared" si="14"/>
        <v>4624.166666666667</v>
      </c>
      <c r="I48" s="118">
        <f t="shared" si="14"/>
        <v>4624.166666666667</v>
      </c>
      <c r="J48" s="118">
        <f t="shared" si="14"/>
        <v>4624.166666666667</v>
      </c>
      <c r="K48" s="118">
        <f t="shared" si="14"/>
        <v>4624.166666666667</v>
      </c>
      <c r="L48" s="118">
        <f t="shared" si="14"/>
        <v>4624.166666666667</v>
      </c>
      <c r="M48" s="118">
        <f t="shared" si="14"/>
        <v>4624.166666666667</v>
      </c>
      <c r="N48" s="118">
        <f t="shared" si="14"/>
        <v>4624.166666666667</v>
      </c>
    </row>
    <row r="49" spans="1:15">
      <c r="A49" s="116" t="s">
        <v>276</v>
      </c>
      <c r="B49" s="48">
        <v>15314</v>
      </c>
      <c r="C49" s="118">
        <f>$B$49/12</f>
        <v>1276.1666666666667</v>
      </c>
      <c r="D49" s="118">
        <f t="shared" ref="D49:N49" si="15">$B$49/12</f>
        <v>1276.1666666666667</v>
      </c>
      <c r="E49" s="118">
        <f t="shared" si="15"/>
        <v>1276.1666666666667</v>
      </c>
      <c r="F49" s="118">
        <f t="shared" si="15"/>
        <v>1276.1666666666667</v>
      </c>
      <c r="G49" s="118">
        <f t="shared" si="15"/>
        <v>1276.1666666666667</v>
      </c>
      <c r="H49" s="118">
        <f t="shared" si="15"/>
        <v>1276.1666666666667</v>
      </c>
      <c r="I49" s="118">
        <f t="shared" si="15"/>
        <v>1276.1666666666667</v>
      </c>
      <c r="J49" s="118">
        <f t="shared" si="15"/>
        <v>1276.1666666666667</v>
      </c>
      <c r="K49" s="118">
        <f t="shared" si="15"/>
        <v>1276.1666666666667</v>
      </c>
      <c r="L49" s="118">
        <f t="shared" si="15"/>
        <v>1276.1666666666667</v>
      </c>
      <c r="M49" s="118">
        <f t="shared" si="15"/>
        <v>1276.1666666666667</v>
      </c>
      <c r="N49" s="118">
        <f t="shared" si="15"/>
        <v>1276.1666666666667</v>
      </c>
    </row>
    <row r="50" spans="1:15">
      <c r="A50" s="83" t="s">
        <v>277</v>
      </c>
      <c r="B50" s="82">
        <f t="shared" ref="B50:N50" si="16">SUM(B51:B52)</f>
        <v>52643</v>
      </c>
      <c r="C50" s="82">
        <f t="shared" si="16"/>
        <v>2000</v>
      </c>
      <c r="D50" s="82">
        <f t="shared" si="16"/>
        <v>1950</v>
      </c>
      <c r="E50" s="82">
        <f t="shared" si="16"/>
        <v>1114</v>
      </c>
      <c r="F50" s="82">
        <f t="shared" si="16"/>
        <v>0</v>
      </c>
      <c r="G50" s="82">
        <f t="shared" si="16"/>
        <v>15306</v>
      </c>
      <c r="H50" s="82">
        <f t="shared" si="16"/>
        <v>13356</v>
      </c>
      <c r="I50" s="82">
        <f t="shared" si="16"/>
        <v>13357</v>
      </c>
      <c r="J50" s="82">
        <f t="shared" si="16"/>
        <v>1950</v>
      </c>
      <c r="K50" s="82">
        <f t="shared" si="16"/>
        <v>1660</v>
      </c>
      <c r="L50" s="82">
        <f t="shared" si="16"/>
        <v>0</v>
      </c>
      <c r="M50" s="82">
        <f t="shared" si="16"/>
        <v>1950</v>
      </c>
      <c r="N50" s="82">
        <f t="shared" si="16"/>
        <v>0</v>
      </c>
    </row>
    <row r="51" spans="1:15">
      <c r="A51" s="116" t="s">
        <v>278</v>
      </c>
      <c r="B51" s="231">
        <f>SUM(C51:N51)</f>
        <v>12460</v>
      </c>
      <c r="C51" s="118">
        <v>2000</v>
      </c>
      <c r="D51" s="118">
        <v>1950</v>
      </c>
      <c r="E51" s="118">
        <v>1000</v>
      </c>
      <c r="F51" s="118"/>
      <c r="G51" s="118">
        <v>1950</v>
      </c>
      <c r="H51" s="118"/>
      <c r="I51" s="118"/>
      <c r="J51" s="118">
        <v>1950</v>
      </c>
      <c r="K51" s="118">
        <v>1660</v>
      </c>
      <c r="L51" s="118"/>
      <c r="M51" s="118">
        <v>1950</v>
      </c>
      <c r="N51" s="118"/>
    </row>
    <row r="52" spans="1:15">
      <c r="A52" s="116" t="s">
        <v>279</v>
      </c>
      <c r="B52" s="231">
        <f>SUM(C52:N52)</f>
        <v>40183</v>
      </c>
      <c r="C52" s="118"/>
      <c r="D52" s="118"/>
      <c r="E52" s="118">
        <v>114</v>
      </c>
      <c r="F52" s="118"/>
      <c r="G52" s="118">
        <v>13356</v>
      </c>
      <c r="H52" s="118">
        <v>13356</v>
      </c>
      <c r="I52" s="118">
        <v>13357</v>
      </c>
      <c r="J52" s="118"/>
      <c r="K52" s="118"/>
      <c r="L52" s="118"/>
      <c r="M52" s="118"/>
      <c r="N52" s="118"/>
      <c r="O52" s="322"/>
    </row>
    <row r="53" spans="1:15">
      <c r="A53" s="83" t="s">
        <v>23</v>
      </c>
      <c r="B53" s="82">
        <f>E53+F53</f>
        <v>2899</v>
      </c>
      <c r="C53" s="118"/>
      <c r="D53" s="118"/>
      <c r="E53" s="118">
        <v>801</v>
      </c>
      <c r="F53" s="118">
        <v>2098</v>
      </c>
      <c r="G53" s="118"/>
      <c r="H53" s="118"/>
      <c r="I53" s="118"/>
      <c r="J53" s="118"/>
      <c r="K53" s="118"/>
      <c r="L53" s="118"/>
      <c r="M53" s="118"/>
      <c r="N53" s="118"/>
    </row>
    <row r="54" spans="1:15">
      <c r="A54" s="83" t="s">
        <v>24</v>
      </c>
      <c r="B54" s="82">
        <f>SUM(C54:N54)</f>
        <v>175371</v>
      </c>
      <c r="C54" s="82">
        <f t="shared" ref="C54:N54" si="17">SUM(C55:C56)</f>
        <v>14614.25</v>
      </c>
      <c r="D54" s="82">
        <f t="shared" si="17"/>
        <v>14614.25</v>
      </c>
      <c r="E54" s="82">
        <f t="shared" si="17"/>
        <v>14614.25</v>
      </c>
      <c r="F54" s="82">
        <f t="shared" si="17"/>
        <v>14614.25</v>
      </c>
      <c r="G54" s="82">
        <f t="shared" si="17"/>
        <v>14614.25</v>
      </c>
      <c r="H54" s="82">
        <f t="shared" si="17"/>
        <v>14614.25</v>
      </c>
      <c r="I54" s="82">
        <f t="shared" si="17"/>
        <v>14614.25</v>
      </c>
      <c r="J54" s="82">
        <f t="shared" si="17"/>
        <v>14614.25</v>
      </c>
      <c r="K54" s="82">
        <f t="shared" si="17"/>
        <v>14614.25</v>
      </c>
      <c r="L54" s="82">
        <f t="shared" si="17"/>
        <v>14614.25</v>
      </c>
      <c r="M54" s="82">
        <f t="shared" si="17"/>
        <v>14614.25</v>
      </c>
      <c r="N54" s="82">
        <f t="shared" si="17"/>
        <v>14614.25</v>
      </c>
    </row>
    <row r="55" spans="1:15">
      <c r="A55" s="18" t="s">
        <v>280</v>
      </c>
      <c r="B55" s="231">
        <f>83901+5512</f>
        <v>89413</v>
      </c>
      <c r="C55" s="118">
        <f>$B$55/12</f>
        <v>7451.083333333333</v>
      </c>
      <c r="D55" s="118">
        <f t="shared" ref="D55:N55" si="18">$B$55/12</f>
        <v>7451.083333333333</v>
      </c>
      <c r="E55" s="118">
        <f t="shared" si="18"/>
        <v>7451.083333333333</v>
      </c>
      <c r="F55" s="118">
        <f t="shared" si="18"/>
        <v>7451.083333333333</v>
      </c>
      <c r="G55" s="118">
        <f t="shared" si="18"/>
        <v>7451.083333333333</v>
      </c>
      <c r="H55" s="118">
        <f t="shared" si="18"/>
        <v>7451.083333333333</v>
      </c>
      <c r="I55" s="118">
        <f t="shared" si="18"/>
        <v>7451.083333333333</v>
      </c>
      <c r="J55" s="118">
        <f t="shared" si="18"/>
        <v>7451.083333333333</v>
      </c>
      <c r="K55" s="118">
        <f t="shared" si="18"/>
        <v>7451.083333333333</v>
      </c>
      <c r="L55" s="118">
        <f t="shared" si="18"/>
        <v>7451.083333333333</v>
      </c>
      <c r="M55" s="118">
        <f t="shared" si="18"/>
        <v>7451.083333333333</v>
      </c>
      <c r="N55" s="118">
        <f t="shared" si="18"/>
        <v>7451.083333333333</v>
      </c>
    </row>
    <row r="56" spans="1:15">
      <c r="A56" s="116" t="s">
        <v>584</v>
      </c>
      <c r="B56" s="231">
        <v>85958</v>
      </c>
      <c r="C56" s="118">
        <f>$B$56/12</f>
        <v>7163.166666666667</v>
      </c>
      <c r="D56" s="118">
        <f t="shared" ref="D56:N56" si="19">$B$56/12</f>
        <v>7163.166666666667</v>
      </c>
      <c r="E56" s="118">
        <f t="shared" si="19"/>
        <v>7163.166666666667</v>
      </c>
      <c r="F56" s="118">
        <f t="shared" si="19"/>
        <v>7163.166666666667</v>
      </c>
      <c r="G56" s="118">
        <f t="shared" si="19"/>
        <v>7163.166666666667</v>
      </c>
      <c r="H56" s="118">
        <f t="shared" si="19"/>
        <v>7163.166666666667</v>
      </c>
      <c r="I56" s="118">
        <f t="shared" si="19"/>
        <v>7163.166666666667</v>
      </c>
      <c r="J56" s="118">
        <f t="shared" si="19"/>
        <v>7163.166666666667</v>
      </c>
      <c r="K56" s="118">
        <f t="shared" si="19"/>
        <v>7163.166666666667</v>
      </c>
      <c r="L56" s="118">
        <f t="shared" si="19"/>
        <v>7163.166666666667</v>
      </c>
      <c r="M56" s="118">
        <f t="shared" si="19"/>
        <v>7163.166666666667</v>
      </c>
      <c r="N56" s="118">
        <f t="shared" si="19"/>
        <v>7163.166666666667</v>
      </c>
    </row>
    <row r="57" spans="1:15">
      <c r="A57" s="83" t="s">
        <v>281</v>
      </c>
      <c r="B57" s="82">
        <v>2000</v>
      </c>
      <c r="C57" s="118"/>
      <c r="D57" s="97"/>
      <c r="E57" s="97">
        <v>1000</v>
      </c>
      <c r="F57" s="97"/>
      <c r="G57" s="97"/>
      <c r="H57" s="97"/>
      <c r="I57" s="97"/>
      <c r="J57" s="97"/>
      <c r="K57" s="97">
        <v>1000</v>
      </c>
      <c r="L57" s="97"/>
      <c r="M57" s="97"/>
      <c r="N57" s="97"/>
    </row>
    <row r="58" spans="1:15">
      <c r="A58" s="27" t="s">
        <v>333</v>
      </c>
      <c r="B58" s="82">
        <v>91589</v>
      </c>
      <c r="C58" s="118">
        <f>$B$58/12</f>
        <v>7632.416666666667</v>
      </c>
      <c r="D58" s="118">
        <f t="shared" ref="D58:M58" si="20">$B$58/12</f>
        <v>7632.416666666667</v>
      </c>
      <c r="E58" s="118">
        <f t="shared" si="20"/>
        <v>7632.416666666667</v>
      </c>
      <c r="F58" s="118">
        <f t="shared" si="20"/>
        <v>7632.416666666667</v>
      </c>
      <c r="G58" s="118">
        <f t="shared" si="20"/>
        <v>7632.416666666667</v>
      </c>
      <c r="H58" s="118">
        <f t="shared" si="20"/>
        <v>7632.416666666667</v>
      </c>
      <c r="I58" s="118">
        <f t="shared" si="20"/>
        <v>7632.416666666667</v>
      </c>
      <c r="J58" s="118">
        <f t="shared" si="20"/>
        <v>7632.416666666667</v>
      </c>
      <c r="K58" s="118">
        <f t="shared" si="20"/>
        <v>7632.416666666667</v>
      </c>
      <c r="L58" s="118">
        <f t="shared" si="20"/>
        <v>7632.416666666667</v>
      </c>
      <c r="M58" s="118">
        <f t="shared" si="20"/>
        <v>7632.416666666667</v>
      </c>
      <c r="N58" s="118">
        <f>$B$58/12</f>
        <v>7632.416666666667</v>
      </c>
    </row>
    <row r="59" spans="1:15">
      <c r="A59" s="27" t="s">
        <v>507</v>
      </c>
      <c r="B59" s="82">
        <v>6243</v>
      </c>
      <c r="C59" s="118">
        <v>6243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</row>
    <row r="60" spans="1:15">
      <c r="A60" s="27" t="s">
        <v>282</v>
      </c>
      <c r="B60" s="231">
        <f>SUM(C60:N60)</f>
        <v>0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</row>
    <row r="61" spans="1:15" ht="13.5" thickBot="1">
      <c r="A61" s="252" t="s">
        <v>283</v>
      </c>
      <c r="B61" s="49">
        <f>SUM(B45,B50,B53,B54,B57,B58,B59)</f>
        <v>519696</v>
      </c>
      <c r="C61" s="49">
        <f>SUM(C45,C50,C53,C54,C57,C58,C59)</f>
        <v>46235.583333333328</v>
      </c>
      <c r="D61" s="49">
        <f t="shared" ref="D61:N61" si="21">SUM(D45,D50,D53,D54,D57,D58)</f>
        <v>39942.583333333328</v>
      </c>
      <c r="E61" s="49">
        <f t="shared" si="21"/>
        <v>40907.583333333328</v>
      </c>
      <c r="F61" s="49">
        <f t="shared" si="21"/>
        <v>40090.583333333328</v>
      </c>
      <c r="G61" s="49">
        <f t="shared" si="21"/>
        <v>53298.583333333328</v>
      </c>
      <c r="H61" s="49">
        <f t="shared" si="21"/>
        <v>51348.583333333328</v>
      </c>
      <c r="I61" s="49">
        <f t="shared" si="21"/>
        <v>51349.583333333328</v>
      </c>
      <c r="J61" s="49">
        <f t="shared" si="21"/>
        <v>39942.583333333328</v>
      </c>
      <c r="K61" s="49">
        <f t="shared" si="21"/>
        <v>40652.583333333328</v>
      </c>
      <c r="L61" s="49">
        <f t="shared" si="21"/>
        <v>37992.583333333328</v>
      </c>
      <c r="M61" s="49">
        <f t="shared" si="21"/>
        <v>39942.583333333328</v>
      </c>
      <c r="N61" s="49">
        <f t="shared" si="21"/>
        <v>37992.583333333328</v>
      </c>
    </row>
    <row r="62" spans="1:15">
      <c r="A62" s="229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</row>
    <row r="63" spans="1:15">
      <c r="A63" s="253" t="s">
        <v>284</v>
      </c>
      <c r="B63" s="254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spans="1:15">
      <c r="A64" s="30" t="s">
        <v>285</v>
      </c>
      <c r="B64" s="255">
        <f t="shared" ref="B64:N64" si="22">(B31-B61)</f>
        <v>0</v>
      </c>
      <c r="C64" s="255">
        <f t="shared" si="22"/>
        <v>-12740.833333333328</v>
      </c>
      <c r="D64" s="255">
        <f t="shared" si="22"/>
        <v>-4091.3333333333285</v>
      </c>
      <c r="E64" s="255">
        <f t="shared" si="22"/>
        <v>8992.1666666666715</v>
      </c>
      <c r="F64" s="255">
        <f t="shared" si="22"/>
        <v>667.66666666667152</v>
      </c>
      <c r="G64" s="255">
        <f t="shared" si="22"/>
        <v>12749.166666666672</v>
      </c>
      <c r="H64" s="255">
        <f t="shared" si="22"/>
        <v>-15906.833333333328</v>
      </c>
      <c r="I64" s="255">
        <f t="shared" si="22"/>
        <v>22369.166666666672</v>
      </c>
      <c r="J64" s="255">
        <f t="shared" si="22"/>
        <v>-3435.8333333333285</v>
      </c>
      <c r="K64" s="255">
        <f t="shared" si="22"/>
        <v>3384.1666666666715</v>
      </c>
      <c r="L64" s="255">
        <f t="shared" si="22"/>
        <v>-5954.8333333333321</v>
      </c>
      <c r="M64" s="255">
        <f t="shared" si="22"/>
        <v>-6447.8333333333285</v>
      </c>
      <c r="N64" s="255">
        <f t="shared" si="22"/>
        <v>-2657.8333333333285</v>
      </c>
    </row>
    <row r="65" spans="1:14">
      <c r="A65" s="1" t="s">
        <v>286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</row>
    <row r="66" spans="1:14">
      <c r="A66" s="9" t="s">
        <v>287</v>
      </c>
      <c r="B66" s="35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</row>
    <row r="67" spans="1:14">
      <c r="A67" s="253" t="s">
        <v>288</v>
      </c>
      <c r="B67" s="115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</row>
    <row r="68" spans="1:14">
      <c r="A68" s="30" t="s">
        <v>289</v>
      </c>
      <c r="B68" s="85">
        <v>0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</row>
    <row r="69" spans="1:14">
      <c r="A69" s="35" t="s">
        <v>290</v>
      </c>
      <c r="B69" s="3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1:14">
      <c r="A70" s="256" t="s">
        <v>291</v>
      </c>
      <c r="B70" s="36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3.5" thickBot="1">
      <c r="A71" s="257" t="s">
        <v>292</v>
      </c>
      <c r="B71" s="258">
        <v>0</v>
      </c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</row>
    <row r="72" spans="1:14">
      <c r="A72" s="11" t="s">
        <v>293</v>
      </c>
      <c r="B72" s="245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</row>
    <row r="73" spans="1:14">
      <c r="A73" s="174" t="s">
        <v>294</v>
      </c>
      <c r="B73" s="220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</row>
    <row r="74" spans="1:14" ht="13.5" thickBot="1">
      <c r="A74" s="259" t="s">
        <v>295</v>
      </c>
      <c r="B74" s="56">
        <v>0</v>
      </c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</row>
    <row r="75" spans="1:14"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</row>
    <row r="76" spans="1:14"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</row>
  </sheetData>
  <mergeCells count="2">
    <mergeCell ref="B4:M4"/>
    <mergeCell ref="A7:N7"/>
  </mergeCells>
  <phoneticPr fontId="5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T135"/>
  <sheetViews>
    <sheetView view="pageBreakPreview" zoomScaleSheetLayoutView="100" workbookViewId="0">
      <selection activeCell="C1" sqref="C1:Q1"/>
    </sheetView>
  </sheetViews>
  <sheetFormatPr defaultRowHeight="11.25"/>
  <cols>
    <col min="1" max="1" width="4.28515625" style="277" customWidth="1"/>
    <col min="2" max="2" width="31.140625" style="277" customWidth="1"/>
    <col min="3" max="5" width="10" style="277" customWidth="1"/>
    <col min="6" max="6" width="10.28515625" style="277" customWidth="1"/>
    <col min="7" max="7" width="10.5703125" style="277" bestFit="1" customWidth="1"/>
    <col min="8" max="8" width="9" style="277" customWidth="1"/>
    <col min="9" max="9" width="9.7109375" style="277" customWidth="1"/>
    <col min="10" max="14" width="9.140625" style="277"/>
    <col min="15" max="15" width="12.28515625" style="277" customWidth="1"/>
    <col min="16" max="16" width="11" style="277" customWidth="1"/>
    <col min="17" max="17" width="11.7109375" style="277" customWidth="1"/>
    <col min="18" max="16384" width="9.140625" style="262"/>
  </cols>
  <sheetData>
    <row r="1" spans="1:20" s="261" customFormat="1" ht="12" thickBot="1">
      <c r="A1" s="260"/>
      <c r="B1" s="260"/>
      <c r="C1" s="526" t="s">
        <v>624</v>
      </c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</row>
    <row r="2" spans="1:20" ht="12" thickBot="1">
      <c r="A2" s="527" t="s">
        <v>512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20" s="261" customFormat="1" ht="12" thickBot="1">
      <c r="Q3" s="261" t="s">
        <v>500</v>
      </c>
    </row>
    <row r="4" spans="1:20" s="263" customFormat="1">
      <c r="A4" s="529" t="s">
        <v>296</v>
      </c>
      <c r="B4" s="525"/>
      <c r="C4" s="523" t="s">
        <v>297</v>
      </c>
      <c r="D4" s="524"/>
      <c r="E4" s="524"/>
      <c r="F4" s="525"/>
      <c r="G4" s="534" t="s">
        <v>298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</row>
    <row r="5" spans="1:20" s="263" customFormat="1" ht="21" customHeight="1">
      <c r="A5" s="530"/>
      <c r="B5" s="531"/>
      <c r="C5" s="535" t="s">
        <v>352</v>
      </c>
      <c r="D5" s="264"/>
      <c r="E5" s="264"/>
      <c r="F5" s="517" t="s">
        <v>501</v>
      </c>
      <c r="G5" s="289" t="s">
        <v>300</v>
      </c>
      <c r="H5" s="519" t="s">
        <v>301</v>
      </c>
      <c r="I5" s="519"/>
      <c r="J5" s="519" t="s">
        <v>302</v>
      </c>
      <c r="K5" s="519"/>
      <c r="L5" s="519"/>
      <c r="M5" s="519"/>
      <c r="N5" s="519"/>
      <c r="O5" s="520"/>
      <c r="P5" s="520"/>
      <c r="Q5" s="521" t="s">
        <v>400</v>
      </c>
      <c r="R5" s="513"/>
      <c r="S5" s="514"/>
      <c r="T5" s="514"/>
    </row>
    <row r="6" spans="1:20" s="263" customFormat="1" ht="46.5" customHeight="1" thickBot="1">
      <c r="A6" s="532"/>
      <c r="B6" s="533"/>
      <c r="C6" s="536"/>
      <c r="D6" s="265" t="s">
        <v>359</v>
      </c>
      <c r="E6" s="290" t="s">
        <v>358</v>
      </c>
      <c r="F6" s="518"/>
      <c r="G6" s="266" t="s">
        <v>303</v>
      </c>
      <c r="H6" s="266" t="s">
        <v>304</v>
      </c>
      <c r="I6" s="266" t="s">
        <v>305</v>
      </c>
      <c r="J6" s="267" t="s">
        <v>363</v>
      </c>
      <c r="K6" s="267" t="s">
        <v>525</v>
      </c>
      <c r="L6" s="267" t="s">
        <v>362</v>
      </c>
      <c r="M6" s="267" t="s">
        <v>361</v>
      </c>
      <c r="N6" s="267" t="s">
        <v>360</v>
      </c>
      <c r="O6" s="267" t="s">
        <v>585</v>
      </c>
      <c r="P6" s="267" t="s">
        <v>401</v>
      </c>
      <c r="Q6" s="522"/>
      <c r="R6" s="513"/>
      <c r="S6" s="514"/>
      <c r="T6" s="514"/>
    </row>
    <row r="7" spans="1:20" ht="12" thickTop="1">
      <c r="A7" s="268" t="s">
        <v>306</v>
      </c>
      <c r="B7" s="269" t="s">
        <v>335</v>
      </c>
      <c r="C7" s="270">
        <f>24395+318+70+400+140</f>
        <v>25323</v>
      </c>
      <c r="D7" s="271">
        <v>801</v>
      </c>
      <c r="E7" s="277">
        <v>14728</v>
      </c>
      <c r="F7" s="296"/>
      <c r="G7" s="272">
        <f>5095+388</f>
        <v>5483</v>
      </c>
      <c r="H7" s="272">
        <v>1500</v>
      </c>
      <c r="I7" s="272"/>
      <c r="J7" s="272">
        <v>140</v>
      </c>
      <c r="K7" s="272"/>
      <c r="L7" s="272">
        <v>400</v>
      </c>
      <c r="M7" s="272"/>
      <c r="N7" s="272">
        <v>400</v>
      </c>
      <c r="O7" s="272">
        <v>29882</v>
      </c>
      <c r="P7" s="272"/>
      <c r="Q7" s="292">
        <f>SUM(C7:F7)-SUM(G7:P7)</f>
        <v>3047</v>
      </c>
      <c r="R7" s="515"/>
      <c r="S7" s="516"/>
      <c r="T7" s="516"/>
    </row>
    <row r="8" spans="1:20">
      <c r="A8" s="389" t="s">
        <v>307</v>
      </c>
      <c r="B8" s="390" t="s">
        <v>351</v>
      </c>
      <c r="C8" s="391"/>
      <c r="D8" s="392">
        <f>62591+306</f>
        <v>62897</v>
      </c>
      <c r="E8" s="277">
        <f>37367+906+3300</f>
        <v>41573</v>
      </c>
      <c r="F8" s="393">
        <f>3000+1660+2700</f>
        <v>7360</v>
      </c>
      <c r="G8" s="394">
        <f>39754+1029</f>
        <v>40783</v>
      </c>
      <c r="H8" s="394">
        <f>14199+19+3300+1721</f>
        <v>19239</v>
      </c>
      <c r="I8" s="394">
        <f>2700+39027</f>
        <v>41727</v>
      </c>
      <c r="J8" s="394"/>
      <c r="K8" s="394"/>
      <c r="L8" s="394"/>
      <c r="M8" s="394"/>
      <c r="N8" s="394"/>
      <c r="O8" s="394"/>
      <c r="P8" s="394"/>
      <c r="Q8" s="292">
        <f>SUM(C8:F8)-SUM(G8:P8)</f>
        <v>10081</v>
      </c>
      <c r="R8" s="261"/>
    </row>
    <row r="9" spans="1:20">
      <c r="A9" s="389"/>
      <c r="B9" s="390" t="s">
        <v>521</v>
      </c>
      <c r="C9" s="391"/>
      <c r="D9" s="392">
        <v>272</v>
      </c>
      <c r="F9" s="393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292"/>
      <c r="R9" s="261"/>
    </row>
    <row r="10" spans="1:20">
      <c r="A10" s="389"/>
      <c r="B10" s="390" t="s">
        <v>522</v>
      </c>
      <c r="C10" s="391"/>
      <c r="D10" s="392">
        <v>205</v>
      </c>
      <c r="F10" s="393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292"/>
      <c r="R10" s="261"/>
    </row>
    <row r="11" spans="1:20">
      <c r="A11" s="389"/>
      <c r="B11" s="390" t="s">
        <v>524</v>
      </c>
      <c r="C11" s="391"/>
      <c r="D11" s="392">
        <v>6243</v>
      </c>
      <c r="F11" s="393"/>
      <c r="G11" s="394"/>
      <c r="H11" s="394"/>
      <c r="I11" s="394"/>
      <c r="J11" s="394"/>
      <c r="K11" s="394"/>
      <c r="L11" s="394"/>
      <c r="M11" s="394"/>
      <c r="N11" s="394"/>
      <c r="O11" s="394">
        <v>6243</v>
      </c>
      <c r="P11" s="394"/>
      <c r="Q11" s="292"/>
      <c r="R11" s="261"/>
    </row>
    <row r="12" spans="1:20">
      <c r="A12" s="273" t="s">
        <v>308</v>
      </c>
      <c r="B12" s="274" t="s">
        <v>336</v>
      </c>
      <c r="C12" s="275">
        <v>2208</v>
      </c>
      <c r="D12" s="276"/>
      <c r="F12" s="297"/>
      <c r="G12" s="277">
        <v>1318</v>
      </c>
      <c r="J12" s="277">
        <v>46</v>
      </c>
      <c r="K12" s="277">
        <v>530</v>
      </c>
      <c r="L12" s="277">
        <v>12</v>
      </c>
      <c r="Q12" s="292">
        <f>SUM(C12:F12)-SUM(G12:P12)</f>
        <v>302</v>
      </c>
    </row>
    <row r="13" spans="1:20">
      <c r="A13" s="273" t="s">
        <v>309</v>
      </c>
      <c r="B13" s="274" t="s">
        <v>337</v>
      </c>
      <c r="C13" s="275">
        <f>1621+272+66+477+282</f>
        <v>2718</v>
      </c>
      <c r="D13" s="276"/>
      <c r="E13" s="277">
        <v>3459</v>
      </c>
      <c r="F13" s="297">
        <v>5485</v>
      </c>
      <c r="I13" s="277">
        <v>4937</v>
      </c>
      <c r="K13" s="277">
        <f>714+282</f>
        <v>996</v>
      </c>
      <c r="Q13" s="292">
        <f t="shared" ref="Q13:Q24" si="0">SUM(C13:F13)- SUM(G13:P13)</f>
        <v>5729</v>
      </c>
    </row>
    <row r="14" spans="1:20">
      <c r="A14" s="273" t="s">
        <v>310</v>
      </c>
      <c r="B14" s="274" t="s">
        <v>338</v>
      </c>
      <c r="C14" s="275">
        <v>400</v>
      </c>
      <c r="D14" s="276"/>
      <c r="F14" s="297"/>
      <c r="Q14" s="292">
        <f t="shared" si="0"/>
        <v>400</v>
      </c>
    </row>
    <row r="15" spans="1:20">
      <c r="A15" s="273" t="s">
        <v>311</v>
      </c>
      <c r="B15" s="274" t="s">
        <v>339</v>
      </c>
      <c r="C15" s="275">
        <v>383</v>
      </c>
      <c r="D15" s="276"/>
      <c r="F15" s="297"/>
      <c r="G15" s="277">
        <v>2073</v>
      </c>
      <c r="Q15" s="292">
        <f t="shared" si="0"/>
        <v>-1690</v>
      </c>
    </row>
    <row r="16" spans="1:20">
      <c r="A16" s="273" t="s">
        <v>312</v>
      </c>
      <c r="B16" s="274" t="s">
        <v>340</v>
      </c>
      <c r="C16" s="275">
        <v>1278</v>
      </c>
      <c r="D16" s="276"/>
      <c r="F16" s="297"/>
      <c r="Q16" s="292">
        <f t="shared" si="0"/>
        <v>1278</v>
      </c>
    </row>
    <row r="17" spans="1:17">
      <c r="A17" s="273" t="s">
        <v>313</v>
      </c>
      <c r="B17" s="274" t="s">
        <v>341</v>
      </c>
      <c r="C17" s="275">
        <v>5070</v>
      </c>
      <c r="D17" s="276"/>
      <c r="F17" s="297"/>
      <c r="G17" s="277">
        <v>6976</v>
      </c>
      <c r="Q17" s="292">
        <f t="shared" si="0"/>
        <v>-1906</v>
      </c>
    </row>
    <row r="18" spans="1:17">
      <c r="A18" s="273" t="s">
        <v>314</v>
      </c>
      <c r="B18" s="274" t="s">
        <v>342</v>
      </c>
      <c r="C18" s="275">
        <v>3362</v>
      </c>
      <c r="D18" s="276"/>
      <c r="F18" s="297"/>
      <c r="G18" s="277">
        <f>4906+97</f>
        <v>5003</v>
      </c>
      <c r="K18" s="277">
        <v>48</v>
      </c>
      <c r="Q18" s="292">
        <f t="shared" si="0"/>
        <v>-1689</v>
      </c>
    </row>
    <row r="19" spans="1:17">
      <c r="A19" s="273" t="s">
        <v>315</v>
      </c>
      <c r="B19" s="274" t="s">
        <v>343</v>
      </c>
      <c r="C19" s="275">
        <v>1429</v>
      </c>
      <c r="D19" s="276"/>
      <c r="F19" s="297"/>
      <c r="Q19" s="292">
        <f t="shared" si="0"/>
        <v>1429</v>
      </c>
    </row>
    <row r="20" spans="1:17">
      <c r="A20" s="273" t="s">
        <v>316</v>
      </c>
      <c r="B20" s="274" t="s">
        <v>344</v>
      </c>
      <c r="C20" s="275">
        <f>4883+34+5</f>
        <v>4922</v>
      </c>
      <c r="D20" s="276"/>
      <c r="F20" s="297"/>
      <c r="G20" s="277">
        <v>39</v>
      </c>
      <c r="H20" s="277">
        <v>3611</v>
      </c>
      <c r="Q20" s="292">
        <f t="shared" si="0"/>
        <v>1272</v>
      </c>
    </row>
    <row r="21" spans="1:17">
      <c r="A21" s="273"/>
      <c r="B21" s="274" t="s">
        <v>515</v>
      </c>
      <c r="C21" s="275">
        <v>1102</v>
      </c>
      <c r="D21" s="276">
        <f>2184+60</f>
        <v>2244</v>
      </c>
      <c r="F21" s="297"/>
      <c r="H21" s="277">
        <v>1284</v>
      </c>
      <c r="Q21" s="292">
        <f t="shared" si="0"/>
        <v>2062</v>
      </c>
    </row>
    <row r="22" spans="1:17">
      <c r="A22" s="273"/>
      <c r="B22" s="274" t="s">
        <v>516</v>
      </c>
      <c r="C22" s="275">
        <v>72</v>
      </c>
      <c r="D22" s="276">
        <v>62</v>
      </c>
      <c r="F22" s="297"/>
      <c r="H22" s="277">
        <v>122</v>
      </c>
      <c r="Q22" s="292">
        <f t="shared" si="0"/>
        <v>12</v>
      </c>
    </row>
    <row r="23" spans="1:17">
      <c r="A23" s="273" t="s">
        <v>317</v>
      </c>
      <c r="B23" s="274" t="s">
        <v>346</v>
      </c>
      <c r="C23" s="275">
        <v>716</v>
      </c>
      <c r="D23" s="276"/>
      <c r="F23" s="297">
        <v>50</v>
      </c>
      <c r="Q23" s="292">
        <f t="shared" si="0"/>
        <v>766</v>
      </c>
    </row>
    <row r="24" spans="1:17">
      <c r="A24" s="273" t="s">
        <v>318</v>
      </c>
      <c r="B24" s="274" t="s">
        <v>347</v>
      </c>
      <c r="C24" s="275">
        <f>8050+173+100+1275+38+24+281+476+30</f>
        <v>10447</v>
      </c>
      <c r="D24" s="276"/>
      <c r="F24" s="297"/>
      <c r="G24" s="277">
        <f>1867+211</f>
        <v>2078</v>
      </c>
      <c r="H24" s="277">
        <f>600+1556</f>
        <v>2156</v>
      </c>
      <c r="J24" s="277">
        <v>30</v>
      </c>
      <c r="K24" s="277">
        <v>30</v>
      </c>
      <c r="Q24" s="292">
        <f t="shared" si="0"/>
        <v>6153</v>
      </c>
    </row>
    <row r="25" spans="1:17">
      <c r="A25" s="273" t="s">
        <v>319</v>
      </c>
      <c r="B25" s="274" t="s">
        <v>348</v>
      </c>
      <c r="C25" s="275">
        <f>1063+1234</f>
        <v>2297</v>
      </c>
      <c r="D25" s="276">
        <v>59836</v>
      </c>
      <c r="F25" s="297"/>
      <c r="G25" s="277">
        <f>54121+988+20+2221+1682+192-988</f>
        <v>58236</v>
      </c>
      <c r="M25" s="277">
        <v>1234</v>
      </c>
      <c r="Q25" s="292">
        <f t="shared" ref="Q25:Q38" si="1">SUM(C25:F25)- SUM(G25:P25)</f>
        <v>2663</v>
      </c>
    </row>
    <row r="26" spans="1:17">
      <c r="A26" s="273" t="s">
        <v>321</v>
      </c>
      <c r="B26" s="274" t="s">
        <v>349</v>
      </c>
      <c r="C26" s="275">
        <v>9076</v>
      </c>
      <c r="D26" s="276"/>
      <c r="F26" s="297"/>
      <c r="M26" s="277">
        <v>9076</v>
      </c>
      <c r="Q26" s="292">
        <f t="shared" si="1"/>
        <v>0</v>
      </c>
    </row>
    <row r="27" spans="1:17">
      <c r="A27" s="273" t="s">
        <v>322</v>
      </c>
      <c r="B27" s="274" t="s">
        <v>514</v>
      </c>
      <c r="C27" s="275">
        <f>191+1394</f>
        <v>1585</v>
      </c>
      <c r="D27" s="276">
        <v>23367</v>
      </c>
      <c r="F27" s="297"/>
      <c r="G27" s="277">
        <f>22822+299+246</f>
        <v>23367</v>
      </c>
      <c r="J27" s="277">
        <v>624</v>
      </c>
      <c r="L27" s="277">
        <v>168</v>
      </c>
      <c r="M27" s="277">
        <v>1394</v>
      </c>
      <c r="Q27" s="292">
        <f t="shared" si="1"/>
        <v>-601</v>
      </c>
    </row>
    <row r="28" spans="1:17">
      <c r="A28" s="273" t="s">
        <v>323</v>
      </c>
      <c r="B28" s="274" t="s">
        <v>320</v>
      </c>
      <c r="C28" s="275"/>
      <c r="D28" s="276"/>
      <c r="F28" s="297"/>
      <c r="J28" s="292">
        <v>150</v>
      </c>
      <c r="K28" s="292"/>
      <c r="L28" s="292">
        <v>41</v>
      </c>
      <c r="M28" s="292"/>
      <c r="N28" s="292"/>
      <c r="Q28" s="292">
        <f t="shared" si="1"/>
        <v>-191</v>
      </c>
    </row>
    <row r="29" spans="1:17">
      <c r="A29" s="273" t="s">
        <v>508</v>
      </c>
      <c r="B29" s="274" t="s">
        <v>350</v>
      </c>
      <c r="C29" s="275">
        <f>22987+19511+29786+6170+2146+3277+679+5204+3669+2791</f>
        <v>96220</v>
      </c>
      <c r="D29" s="276"/>
      <c r="E29" s="277">
        <v>16973</v>
      </c>
      <c r="F29" s="297">
        <v>31884</v>
      </c>
      <c r="H29" s="277">
        <f>8310+31465+43863+12142</f>
        <v>95780</v>
      </c>
      <c r="I29" s="277">
        <f>11124+18798+2631</f>
        <v>32553</v>
      </c>
      <c r="J29" s="277">
        <v>200</v>
      </c>
      <c r="L29" s="277">
        <v>54</v>
      </c>
      <c r="O29" s="277">
        <v>14274</v>
      </c>
      <c r="Q29" s="292">
        <f t="shared" si="1"/>
        <v>2216</v>
      </c>
    </row>
    <row r="30" spans="1:17">
      <c r="A30" s="273" t="s">
        <v>324</v>
      </c>
      <c r="B30" s="274" t="s">
        <v>353</v>
      </c>
      <c r="C30" s="275">
        <v>15314</v>
      </c>
      <c r="D30" s="276"/>
      <c r="F30" s="297"/>
      <c r="G30" s="277">
        <v>17791</v>
      </c>
      <c r="O30" s="277">
        <v>2863</v>
      </c>
      <c r="Q30" s="292">
        <f t="shared" si="1"/>
        <v>-5340</v>
      </c>
    </row>
    <row r="31" spans="1:17" ht="14.25" customHeight="1">
      <c r="A31" s="273" t="s">
        <v>325</v>
      </c>
      <c r="B31" s="274" t="s">
        <v>354</v>
      </c>
      <c r="C31" s="275">
        <v>38</v>
      </c>
      <c r="D31" s="276">
        <v>2098</v>
      </c>
      <c r="E31" s="277">
        <f>13467+1389</f>
        <v>14856</v>
      </c>
      <c r="F31" s="297">
        <v>5800</v>
      </c>
      <c r="H31" s="277">
        <v>2098</v>
      </c>
      <c r="I31" s="277">
        <v>5800</v>
      </c>
      <c r="O31" s="277">
        <f>13467+1389</f>
        <v>14856</v>
      </c>
      <c r="Q31" s="292">
        <f t="shared" si="1"/>
        <v>38</v>
      </c>
    </row>
    <row r="32" spans="1:17">
      <c r="A32" s="273" t="s">
        <v>326</v>
      </c>
      <c r="B32" s="274" t="s">
        <v>355</v>
      </c>
      <c r="C32" s="275"/>
      <c r="D32" s="276"/>
      <c r="F32" s="297">
        <v>2000</v>
      </c>
      <c r="I32" s="277">
        <v>2000</v>
      </c>
      <c r="Q32" s="292">
        <f t="shared" si="1"/>
        <v>0</v>
      </c>
    </row>
    <row r="33" spans="1:20">
      <c r="A33" s="273" t="s">
        <v>327</v>
      </c>
      <c r="B33" s="274" t="s">
        <v>513</v>
      </c>
      <c r="C33" s="275"/>
      <c r="D33" s="276">
        <v>22422</v>
      </c>
      <c r="F33" s="297"/>
      <c r="G33" s="277">
        <f>15222+1427+2430+78+95</f>
        <v>19252</v>
      </c>
      <c r="Q33" s="292">
        <f t="shared" si="1"/>
        <v>3170</v>
      </c>
    </row>
    <row r="34" spans="1:20">
      <c r="A34" s="273" t="s">
        <v>328</v>
      </c>
      <c r="B34" s="274" t="s">
        <v>356</v>
      </c>
      <c r="C34" s="275"/>
      <c r="D34" s="276">
        <v>1320</v>
      </c>
      <c r="F34" s="297"/>
      <c r="Q34" s="292">
        <f t="shared" si="1"/>
        <v>1320</v>
      </c>
    </row>
    <row r="35" spans="1:20">
      <c r="A35" s="273" t="s">
        <v>329</v>
      </c>
      <c r="B35" s="274" t="s">
        <v>623</v>
      </c>
      <c r="C35" s="275"/>
      <c r="D35" s="276">
        <v>86</v>
      </c>
      <c r="F35" s="297"/>
      <c r="Q35" s="292">
        <f t="shared" si="1"/>
        <v>86</v>
      </c>
    </row>
    <row r="36" spans="1:20">
      <c r="A36" s="273" t="s">
        <v>330</v>
      </c>
      <c r="B36" s="274" t="s">
        <v>520</v>
      </c>
      <c r="C36" s="275"/>
      <c r="D36" s="276">
        <v>60</v>
      </c>
      <c r="F36" s="297"/>
      <c r="Q36" s="292">
        <f t="shared" si="1"/>
        <v>60</v>
      </c>
    </row>
    <row r="37" spans="1:20" ht="12" thickBot="1">
      <c r="A37" s="293" t="s">
        <v>331</v>
      </c>
      <c r="B37" s="294" t="s">
        <v>502</v>
      </c>
      <c r="C37" s="295"/>
      <c r="D37" s="261"/>
      <c r="F37" s="261"/>
      <c r="G37" s="295"/>
      <c r="H37" s="295"/>
      <c r="I37" s="295"/>
      <c r="J37" s="295"/>
      <c r="K37" s="295"/>
      <c r="L37" s="295"/>
      <c r="M37" s="295"/>
      <c r="N37" s="295"/>
      <c r="O37" s="295"/>
      <c r="P37" s="295">
        <v>37650</v>
      </c>
      <c r="Q37" s="292">
        <f t="shared" si="1"/>
        <v>-37650</v>
      </c>
    </row>
    <row r="38" spans="1:20" s="281" customFormat="1" ht="12.75" thickTop="1" thickBot="1">
      <c r="A38" s="278"/>
      <c r="B38" s="279" t="s">
        <v>99</v>
      </c>
      <c r="C38" s="280">
        <f t="shared" ref="C38:P38" si="2">SUM(C7:C37)</f>
        <v>183960</v>
      </c>
      <c r="D38" s="280">
        <f t="shared" si="2"/>
        <v>181913</v>
      </c>
      <c r="E38" s="280">
        <f t="shared" si="2"/>
        <v>91589</v>
      </c>
      <c r="F38" s="280">
        <f t="shared" si="2"/>
        <v>52579</v>
      </c>
      <c r="G38" s="280">
        <f t="shared" si="2"/>
        <v>182399</v>
      </c>
      <c r="H38" s="280">
        <f t="shared" si="2"/>
        <v>125790</v>
      </c>
      <c r="I38" s="280">
        <f t="shared" si="2"/>
        <v>87017</v>
      </c>
      <c r="J38" s="280">
        <f t="shared" si="2"/>
        <v>1190</v>
      </c>
      <c r="K38" s="280">
        <f t="shared" si="2"/>
        <v>1604</v>
      </c>
      <c r="L38" s="280">
        <f t="shared" si="2"/>
        <v>675</v>
      </c>
      <c r="M38" s="280">
        <f t="shared" si="2"/>
        <v>11704</v>
      </c>
      <c r="N38" s="280">
        <f t="shared" si="2"/>
        <v>400</v>
      </c>
      <c r="O38" s="280">
        <f t="shared" si="2"/>
        <v>68118</v>
      </c>
      <c r="P38" s="280">
        <f t="shared" si="2"/>
        <v>37650</v>
      </c>
      <c r="Q38" s="292">
        <f t="shared" si="1"/>
        <v>-6506</v>
      </c>
    </row>
    <row r="39" spans="1:20" s="261" customFormat="1">
      <c r="A39" s="282"/>
      <c r="B39" s="282"/>
      <c r="C39" s="282"/>
      <c r="D39" s="282"/>
      <c r="E39" s="282"/>
      <c r="F39" s="282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77"/>
    </row>
    <row r="40" spans="1:20" s="261" customFormat="1">
      <c r="E40" s="261">
        <f>SUM(C38:F38)</f>
        <v>510041</v>
      </c>
      <c r="J40" s="261">
        <f>SUM(G38:P38)</f>
        <v>516547</v>
      </c>
    </row>
    <row r="41" spans="1:20" s="261" customFormat="1" ht="12" thickBot="1"/>
    <row r="42" spans="1:20" s="263" customFormat="1">
      <c r="A42" s="529" t="s">
        <v>409</v>
      </c>
      <c r="B42" s="525"/>
      <c r="C42" s="523" t="s">
        <v>297</v>
      </c>
      <c r="D42" s="524"/>
      <c r="E42" s="524"/>
      <c r="F42" s="525"/>
      <c r="G42" s="534" t="s">
        <v>298</v>
      </c>
      <c r="H42" s="534"/>
      <c r="I42" s="534"/>
      <c r="J42" s="534"/>
      <c r="K42" s="534"/>
      <c r="L42" s="534"/>
      <c r="M42" s="534"/>
      <c r="N42" s="534"/>
      <c r="O42" s="534"/>
      <c r="P42" s="534"/>
      <c r="Q42" s="534"/>
    </row>
    <row r="43" spans="1:20" s="263" customFormat="1" ht="21" customHeight="1">
      <c r="A43" s="530"/>
      <c r="B43" s="531"/>
      <c r="C43" s="535" t="s">
        <v>352</v>
      </c>
      <c r="D43" s="264"/>
      <c r="E43" s="264"/>
      <c r="F43" s="517" t="s">
        <v>299</v>
      </c>
      <c r="G43" s="289" t="s">
        <v>300</v>
      </c>
      <c r="H43" s="519" t="s">
        <v>301</v>
      </c>
      <c r="I43" s="519"/>
      <c r="J43" s="519" t="s">
        <v>302</v>
      </c>
      <c r="K43" s="519"/>
      <c r="L43" s="519"/>
      <c r="M43" s="519"/>
      <c r="N43" s="519"/>
      <c r="O43" s="520"/>
      <c r="P43" s="520"/>
      <c r="Q43" s="521" t="s">
        <v>400</v>
      </c>
      <c r="R43" s="513"/>
      <c r="S43" s="514"/>
      <c r="T43" s="514"/>
    </row>
    <row r="44" spans="1:20" s="263" customFormat="1" ht="46.5" customHeight="1" thickBot="1">
      <c r="A44" s="532"/>
      <c r="B44" s="533"/>
      <c r="C44" s="536"/>
      <c r="D44" s="265" t="s">
        <v>359</v>
      </c>
      <c r="E44" s="290" t="s">
        <v>358</v>
      </c>
      <c r="F44" s="518"/>
      <c r="G44" s="266" t="s">
        <v>303</v>
      </c>
      <c r="H44" s="266" t="s">
        <v>304</v>
      </c>
      <c r="I44" s="266" t="s">
        <v>305</v>
      </c>
      <c r="J44" s="267" t="s">
        <v>363</v>
      </c>
      <c r="K44" s="267"/>
      <c r="L44" s="267" t="s">
        <v>362</v>
      </c>
      <c r="M44" s="267" t="s">
        <v>361</v>
      </c>
      <c r="N44" s="267" t="s">
        <v>360</v>
      </c>
      <c r="O44" s="267" t="s">
        <v>585</v>
      </c>
      <c r="P44" s="267" t="s">
        <v>401</v>
      </c>
      <c r="Q44" s="522"/>
      <c r="R44" s="513"/>
      <c r="S44" s="514"/>
      <c r="T44" s="514"/>
    </row>
    <row r="45" spans="1:20" ht="12" thickTop="1">
      <c r="A45" s="273" t="s">
        <v>306</v>
      </c>
      <c r="B45" s="274" t="s">
        <v>332</v>
      </c>
      <c r="C45" s="275">
        <f>3947+121+27</f>
        <v>4095</v>
      </c>
      <c r="D45" s="276"/>
      <c r="F45" s="297">
        <v>64</v>
      </c>
      <c r="G45" s="277">
        <v>148</v>
      </c>
      <c r="H45" s="277">
        <v>1080</v>
      </c>
      <c r="J45" s="277">
        <v>1500</v>
      </c>
      <c r="Q45" s="292">
        <f t="shared" ref="Q45:Q50" si="3">SUM(C45:F45)- SUM(G45:P45)</f>
        <v>1431</v>
      </c>
    </row>
    <row r="46" spans="1:20">
      <c r="A46" s="273" t="s">
        <v>307</v>
      </c>
      <c r="B46" s="274" t="s">
        <v>345</v>
      </c>
      <c r="C46" s="275">
        <v>896</v>
      </c>
      <c r="D46" s="276">
        <v>1200</v>
      </c>
      <c r="F46" s="297"/>
      <c r="Q46" s="292">
        <f t="shared" si="3"/>
        <v>2096</v>
      </c>
    </row>
    <row r="47" spans="1:20">
      <c r="A47" s="273"/>
      <c r="B47" s="274" t="s">
        <v>517</v>
      </c>
      <c r="C47" s="275"/>
      <c r="D47" s="276">
        <v>600</v>
      </c>
      <c r="F47" s="297"/>
      <c r="Q47" s="292">
        <f t="shared" si="3"/>
        <v>600</v>
      </c>
    </row>
    <row r="48" spans="1:20">
      <c r="A48" s="273" t="s">
        <v>309</v>
      </c>
      <c r="B48" s="274" t="s">
        <v>357</v>
      </c>
      <c r="C48" s="275"/>
      <c r="D48" s="276">
        <v>2000</v>
      </c>
      <c r="F48" s="297"/>
      <c r="I48" s="277">
        <v>421</v>
      </c>
      <c r="Q48" s="292">
        <f t="shared" si="3"/>
        <v>1579</v>
      </c>
    </row>
    <row r="49" spans="1:17">
      <c r="A49" s="275"/>
      <c r="B49" s="408" t="s">
        <v>523</v>
      </c>
      <c r="C49" s="275"/>
      <c r="D49" s="276">
        <v>800</v>
      </c>
      <c r="F49" s="276"/>
      <c r="Q49" s="292">
        <f t="shared" si="3"/>
        <v>800</v>
      </c>
    </row>
    <row r="50" spans="1:17" s="261" customFormat="1">
      <c r="A50" s="277"/>
      <c r="B50" s="277" t="s">
        <v>99</v>
      </c>
      <c r="C50" s="277">
        <f>SUM(C45:C49)</f>
        <v>4991</v>
      </c>
      <c r="D50" s="277">
        <f>SUM(D45:D49)</f>
        <v>4600</v>
      </c>
      <c r="E50" s="277">
        <f>SUM(E45:E49)</f>
        <v>0</v>
      </c>
      <c r="F50" s="277">
        <f>SUM(F45:F49)</f>
        <v>64</v>
      </c>
      <c r="G50" s="277">
        <f t="shared" ref="G50:P50" si="4">SUM(G45:G48)</f>
        <v>148</v>
      </c>
      <c r="H50" s="277">
        <f t="shared" si="4"/>
        <v>1080</v>
      </c>
      <c r="I50" s="277">
        <f t="shared" si="4"/>
        <v>421</v>
      </c>
      <c r="J50" s="277">
        <f t="shared" si="4"/>
        <v>1500</v>
      </c>
      <c r="K50" s="277">
        <f t="shared" si="4"/>
        <v>0</v>
      </c>
      <c r="L50" s="277">
        <f t="shared" si="4"/>
        <v>0</v>
      </c>
      <c r="M50" s="277">
        <f t="shared" si="4"/>
        <v>0</v>
      </c>
      <c r="N50" s="277">
        <f t="shared" si="4"/>
        <v>0</v>
      </c>
      <c r="O50" s="277">
        <f t="shared" si="4"/>
        <v>0</v>
      </c>
      <c r="P50" s="277">
        <f t="shared" si="4"/>
        <v>0</v>
      </c>
      <c r="Q50" s="292">
        <f t="shared" si="3"/>
        <v>6506</v>
      </c>
    </row>
    <row r="51" spans="1:17" s="261" customFormat="1"/>
    <row r="52" spans="1:17" s="261" customFormat="1">
      <c r="A52" s="277"/>
      <c r="B52" s="277" t="s">
        <v>410</v>
      </c>
      <c r="C52" s="277">
        <f t="shared" ref="C52:Q52" si="5">C38+C50</f>
        <v>188951</v>
      </c>
      <c r="D52" s="277">
        <f t="shared" si="5"/>
        <v>186513</v>
      </c>
      <c r="E52" s="277">
        <f t="shared" si="5"/>
        <v>91589</v>
      </c>
      <c r="F52" s="277">
        <f t="shared" si="5"/>
        <v>52643</v>
      </c>
      <c r="G52" s="277">
        <f t="shared" si="5"/>
        <v>182547</v>
      </c>
      <c r="H52" s="277">
        <f t="shared" si="5"/>
        <v>126870</v>
      </c>
      <c r="I52" s="277">
        <f t="shared" si="5"/>
        <v>87438</v>
      </c>
      <c r="J52" s="277">
        <f t="shared" si="5"/>
        <v>2690</v>
      </c>
      <c r="K52" s="277">
        <f t="shared" si="5"/>
        <v>1604</v>
      </c>
      <c r="L52" s="277">
        <f t="shared" si="5"/>
        <v>675</v>
      </c>
      <c r="M52" s="277">
        <f t="shared" si="5"/>
        <v>11704</v>
      </c>
      <c r="N52" s="277">
        <f t="shared" si="5"/>
        <v>400</v>
      </c>
      <c r="O52" s="277">
        <f t="shared" si="5"/>
        <v>68118</v>
      </c>
      <c r="P52" s="277">
        <f t="shared" si="5"/>
        <v>37650</v>
      </c>
      <c r="Q52" s="277">
        <f t="shared" si="5"/>
        <v>0</v>
      </c>
    </row>
    <row r="53" spans="1:17" s="261" customFormat="1"/>
    <row r="54" spans="1:17" s="261" customFormat="1">
      <c r="E54" s="261">
        <f>SUM(C52:F52)</f>
        <v>519696</v>
      </c>
      <c r="J54" s="261">
        <f>SUM(G52:P52)</f>
        <v>519696</v>
      </c>
    </row>
    <row r="55" spans="1:17" s="261" customFormat="1"/>
    <row r="56" spans="1:17" s="261" customFormat="1"/>
    <row r="57" spans="1:17" s="261" customFormat="1"/>
    <row r="58" spans="1:17" s="261" customFormat="1"/>
    <row r="59" spans="1:17" s="261" customFormat="1"/>
    <row r="60" spans="1:17" s="261" customFormat="1"/>
    <row r="61" spans="1:17" s="261" customFormat="1"/>
    <row r="62" spans="1:17" s="261" customFormat="1"/>
    <row r="63" spans="1:17" s="261" customFormat="1"/>
    <row r="64" spans="1:17" s="261" customFormat="1"/>
    <row r="65" s="261" customFormat="1"/>
    <row r="66" s="261" customFormat="1"/>
    <row r="67" s="261" customFormat="1"/>
    <row r="68" s="261" customFormat="1"/>
    <row r="69" s="261" customFormat="1"/>
    <row r="70" s="261" customFormat="1"/>
    <row r="71" s="261" customFormat="1"/>
    <row r="72" s="261" customFormat="1"/>
    <row r="73" s="261" customFormat="1"/>
    <row r="74" s="261" customFormat="1"/>
    <row r="75" s="261" customFormat="1"/>
    <row r="76" s="261" customFormat="1"/>
    <row r="77" s="261" customFormat="1"/>
    <row r="78" s="261" customFormat="1"/>
    <row r="79" s="261" customFormat="1"/>
    <row r="80" s="261" customFormat="1"/>
    <row r="81" s="261" customFormat="1"/>
    <row r="82" s="261" customFormat="1"/>
    <row r="83" s="261" customFormat="1"/>
    <row r="84" s="261" customFormat="1"/>
    <row r="85" s="261" customFormat="1"/>
    <row r="86" s="261" customFormat="1"/>
    <row r="87" s="261" customFormat="1"/>
    <row r="88" s="261" customFormat="1"/>
    <row r="89" s="261" customFormat="1"/>
    <row r="90" s="261" customFormat="1"/>
    <row r="91" s="261" customFormat="1"/>
    <row r="92" s="261" customFormat="1"/>
    <row r="93" s="261" customFormat="1"/>
    <row r="94" s="261" customFormat="1"/>
    <row r="95" s="261" customFormat="1"/>
    <row r="96" s="261" customFormat="1"/>
    <row r="97" s="261" customFormat="1"/>
    <row r="98" s="261" customFormat="1"/>
    <row r="99" s="261" customFormat="1"/>
    <row r="100" s="261" customFormat="1"/>
    <row r="101" s="261" customFormat="1"/>
    <row r="102" s="261" customFormat="1"/>
    <row r="103" s="261" customFormat="1"/>
    <row r="104" s="261" customFormat="1"/>
    <row r="105" s="261" customFormat="1"/>
    <row r="106" s="261" customFormat="1"/>
    <row r="107" s="261" customFormat="1"/>
    <row r="108" s="261" customFormat="1"/>
    <row r="109" s="261" customFormat="1"/>
    <row r="110" s="261" customFormat="1"/>
    <row r="111" s="261" customFormat="1"/>
    <row r="112" s="261" customFormat="1"/>
    <row r="113" s="261" customFormat="1"/>
    <row r="114" s="261" customFormat="1"/>
    <row r="115" s="261" customFormat="1"/>
    <row r="116" s="261" customFormat="1"/>
    <row r="117" s="261" customFormat="1"/>
    <row r="118" s="261" customFormat="1"/>
    <row r="119" s="261" customFormat="1"/>
    <row r="120" s="261" customFormat="1"/>
    <row r="121" s="261" customFormat="1"/>
    <row r="122" s="261" customFormat="1"/>
    <row r="123" s="261" customFormat="1"/>
    <row r="124" s="261" customFormat="1"/>
    <row r="125" s="261" customFormat="1"/>
    <row r="126" s="261" customFormat="1"/>
    <row r="127" s="261" customFormat="1"/>
    <row r="128" s="261" customFormat="1"/>
    <row r="129" s="261" customFormat="1"/>
    <row r="130" s="261" customFormat="1"/>
    <row r="131" s="261" customFormat="1"/>
    <row r="132" s="261" customFormat="1"/>
    <row r="133" s="261" customFormat="1"/>
    <row r="134" s="261" customFormat="1"/>
    <row r="135" s="261" customFormat="1"/>
  </sheetData>
  <mergeCells count="21">
    <mergeCell ref="A42:B44"/>
    <mergeCell ref="Q43:Q44"/>
    <mergeCell ref="C43:C44"/>
    <mergeCell ref="C5:C6"/>
    <mergeCell ref="C1:Q1"/>
    <mergeCell ref="A2:Q2"/>
    <mergeCell ref="A4:B6"/>
    <mergeCell ref="C4:F4"/>
    <mergeCell ref="G4:Q4"/>
    <mergeCell ref="R43:T44"/>
    <mergeCell ref="R5:T6"/>
    <mergeCell ref="R7:T7"/>
    <mergeCell ref="F5:F6"/>
    <mergeCell ref="J43:P43"/>
    <mergeCell ref="J5:P5"/>
    <mergeCell ref="H43:I43"/>
    <mergeCell ref="Q5:Q6"/>
    <mergeCell ref="H5:I5"/>
    <mergeCell ref="F43:F44"/>
    <mergeCell ref="C42:F42"/>
    <mergeCell ref="G42:Q42"/>
  </mergeCells>
  <phoneticPr fontId="5" type="noConversion"/>
  <pageMargins left="0.75" right="0.75" top="1" bottom="1" header="0.5" footer="0.5"/>
  <pageSetup paperSize="8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1"/>
  <sheetViews>
    <sheetView view="pageBreakPreview" workbookViewId="0">
      <selection activeCell="A2" sqref="A2:C2"/>
    </sheetView>
  </sheetViews>
  <sheetFormatPr defaultRowHeight="12.75"/>
  <cols>
    <col min="1" max="1" width="62.5703125" customWidth="1"/>
    <col min="2" max="2" width="28.5703125" style="322" customWidth="1"/>
    <col min="3" max="3" width="17" style="322" customWidth="1"/>
    <col min="4" max="4" width="17.28515625" customWidth="1"/>
    <col min="5" max="5" width="10" bestFit="1" customWidth="1"/>
  </cols>
  <sheetData>
    <row r="1" spans="1:4" ht="20.25" customHeight="1">
      <c r="A1" s="472" t="s">
        <v>229</v>
      </c>
      <c r="B1" s="472"/>
      <c r="C1" s="472"/>
    </row>
    <row r="2" spans="1:4" ht="18" customHeight="1">
      <c r="A2" s="469" t="s">
        <v>629</v>
      </c>
      <c r="B2" s="469"/>
      <c r="C2" s="469"/>
    </row>
    <row r="3" spans="1:4" ht="18" customHeight="1" thickBot="1">
      <c r="A3" s="354"/>
      <c r="B3" s="354"/>
      <c r="C3" s="409" t="s">
        <v>453</v>
      </c>
    </row>
    <row r="4" spans="1:4" ht="33" customHeight="1">
      <c r="A4" s="291" t="s">
        <v>530</v>
      </c>
      <c r="B4" s="440" t="s">
        <v>587</v>
      </c>
      <c r="C4" s="439" t="s">
        <v>586</v>
      </c>
      <c r="D4" s="441" t="s">
        <v>588</v>
      </c>
    </row>
    <row r="5" spans="1:4" ht="15.75">
      <c r="A5" s="223"/>
      <c r="B5" s="436"/>
      <c r="C5" s="470"/>
      <c r="D5" s="220"/>
    </row>
    <row r="6" spans="1:4" ht="19.5" customHeight="1">
      <c r="A6" s="224" t="s">
        <v>230</v>
      </c>
      <c r="B6" s="437"/>
      <c r="C6" s="470"/>
      <c r="D6" s="220"/>
    </row>
    <row r="7" spans="1:4" ht="22.5" customHeight="1" thickBot="1">
      <c r="A7" s="222" t="s">
        <v>231</v>
      </c>
      <c r="B7" s="438"/>
      <c r="C7" s="471"/>
      <c r="D7" s="259"/>
    </row>
    <row r="8" spans="1:4" ht="23.25" customHeight="1">
      <c r="A8" s="223" t="s">
        <v>232</v>
      </c>
      <c r="B8" s="320"/>
      <c r="C8" s="318"/>
      <c r="D8" s="245"/>
    </row>
    <row r="9" spans="1:4" ht="18.75" customHeight="1">
      <c r="A9" s="223" t="s">
        <v>531</v>
      </c>
      <c r="B9" s="320">
        <v>39754400</v>
      </c>
      <c r="C9" s="318"/>
      <c r="D9" s="242">
        <f>B9+C9</f>
        <v>39754400</v>
      </c>
    </row>
    <row r="10" spans="1:4" ht="19.5" customHeight="1">
      <c r="A10" s="223" t="s">
        <v>233</v>
      </c>
      <c r="B10" s="320"/>
      <c r="C10" s="318"/>
      <c r="D10" s="242">
        <f t="shared" ref="D10:D51" si="0">B10+C10</f>
        <v>0</v>
      </c>
    </row>
    <row r="11" spans="1:4" ht="20.25" customHeight="1">
      <c r="A11" s="223" t="s">
        <v>369</v>
      </c>
      <c r="B11" s="320">
        <v>4906000</v>
      </c>
      <c r="C11" s="318"/>
      <c r="D11" s="242">
        <f t="shared" si="0"/>
        <v>4906000</v>
      </c>
    </row>
    <row r="12" spans="1:4" ht="18" customHeight="1">
      <c r="A12" s="223" t="s">
        <v>370</v>
      </c>
      <c r="B12" s="320">
        <v>6976000</v>
      </c>
      <c r="C12" s="318"/>
      <c r="D12" s="242">
        <f t="shared" si="0"/>
        <v>6976000</v>
      </c>
    </row>
    <row r="13" spans="1:4" ht="19.5" customHeight="1">
      <c r="A13" s="223" t="s">
        <v>368</v>
      </c>
      <c r="B13" s="320">
        <v>1317762</v>
      </c>
      <c r="C13" s="318"/>
      <c r="D13" s="242">
        <f t="shared" si="0"/>
        <v>1317762</v>
      </c>
    </row>
    <row r="14" spans="1:4" ht="18" customHeight="1">
      <c r="A14" s="223" t="s">
        <v>367</v>
      </c>
      <c r="B14" s="320">
        <v>2072510</v>
      </c>
      <c r="C14" s="318"/>
      <c r="D14" s="242">
        <f t="shared" si="0"/>
        <v>2072510</v>
      </c>
    </row>
    <row r="15" spans="1:4" ht="20.25" customHeight="1">
      <c r="A15" s="223" t="s">
        <v>4</v>
      </c>
      <c r="B15" s="320"/>
      <c r="C15" s="318"/>
      <c r="D15" s="242">
        <f t="shared" si="0"/>
        <v>0</v>
      </c>
    </row>
    <row r="16" spans="1:4" ht="18" customHeight="1">
      <c r="A16" s="284" t="s">
        <v>532</v>
      </c>
      <c r="B16" s="320">
        <v>5095231</v>
      </c>
      <c r="C16" s="318"/>
      <c r="D16" s="242">
        <f t="shared" si="0"/>
        <v>5095231</v>
      </c>
    </row>
    <row r="17" spans="1:4" ht="18" customHeight="1">
      <c r="A17" s="284" t="s">
        <v>366</v>
      </c>
      <c r="B17" s="320">
        <v>96900</v>
      </c>
      <c r="C17" s="318"/>
      <c r="D17" s="242">
        <f t="shared" si="0"/>
        <v>96900</v>
      </c>
    </row>
    <row r="18" spans="1:4" s="104" customFormat="1" ht="18" customHeight="1" thickBot="1">
      <c r="A18" s="224" t="s">
        <v>365</v>
      </c>
      <c r="B18" s="324">
        <f>SUM(B9:B17)</f>
        <v>60218803</v>
      </c>
      <c r="C18" s="321"/>
      <c r="D18" s="56">
        <f t="shared" si="0"/>
        <v>60218803</v>
      </c>
    </row>
    <row r="19" spans="1:4" ht="33.75" customHeight="1">
      <c r="A19" s="327" t="s">
        <v>234</v>
      </c>
      <c r="B19" s="328"/>
      <c r="C19" s="329"/>
      <c r="D19" s="442">
        <f t="shared" si="0"/>
        <v>0</v>
      </c>
    </row>
    <row r="20" spans="1:4" ht="18.75" customHeight="1">
      <c r="A20" s="223" t="s">
        <v>235</v>
      </c>
      <c r="B20" s="320"/>
      <c r="C20" s="318"/>
      <c r="D20" s="242">
        <f t="shared" si="0"/>
        <v>0</v>
      </c>
    </row>
    <row r="21" spans="1:4" ht="18" customHeight="1">
      <c r="A21" s="223" t="s">
        <v>533</v>
      </c>
      <c r="B21" s="320">
        <v>24435453</v>
      </c>
      <c r="C21" s="318">
        <v>-297993</v>
      </c>
      <c r="D21" s="242">
        <f t="shared" si="0"/>
        <v>24137460</v>
      </c>
    </row>
    <row r="22" spans="1:4" ht="18.75" customHeight="1">
      <c r="A22" s="223" t="s">
        <v>534</v>
      </c>
      <c r="B22" s="320">
        <v>10578763</v>
      </c>
      <c r="C22" s="318">
        <v>2085954</v>
      </c>
      <c r="D22" s="242">
        <f t="shared" si="0"/>
        <v>12664717</v>
      </c>
    </row>
    <row r="23" spans="1:4" ht="19.5" customHeight="1">
      <c r="A23" s="223" t="s">
        <v>535</v>
      </c>
      <c r="B23" s="320">
        <v>7200000</v>
      </c>
      <c r="C23" s="318"/>
      <c r="D23" s="242">
        <f t="shared" si="0"/>
        <v>7200000</v>
      </c>
    </row>
    <row r="24" spans="1:4" ht="21" customHeight="1">
      <c r="A24" s="223" t="s">
        <v>536</v>
      </c>
      <c r="B24" s="320">
        <v>3600000</v>
      </c>
      <c r="C24" s="318"/>
      <c r="D24" s="242">
        <f t="shared" si="0"/>
        <v>3600000</v>
      </c>
    </row>
    <row r="25" spans="1:4" ht="20.25" customHeight="1">
      <c r="A25" s="223" t="s">
        <v>537</v>
      </c>
      <c r="B25" s="320">
        <v>271220</v>
      </c>
      <c r="C25" s="318">
        <v>53480</v>
      </c>
      <c r="D25" s="242">
        <f t="shared" si="0"/>
        <v>324700</v>
      </c>
    </row>
    <row r="26" spans="1:4" ht="18" customHeight="1">
      <c r="A26" s="223" t="s">
        <v>538</v>
      </c>
      <c r="B26" s="320"/>
      <c r="C26" s="318"/>
      <c r="D26" s="242">
        <f t="shared" si="0"/>
        <v>0</v>
      </c>
    </row>
    <row r="27" spans="1:4" ht="19.5" customHeight="1">
      <c r="A27" s="223" t="s">
        <v>539</v>
      </c>
      <c r="B27" s="320">
        <v>4139467</v>
      </c>
      <c r="C27" s="318">
        <v>-54467</v>
      </c>
      <c r="D27" s="242">
        <f t="shared" si="0"/>
        <v>4085000</v>
      </c>
    </row>
    <row r="28" spans="1:4" ht="17.25" customHeight="1">
      <c r="A28" s="223" t="s">
        <v>540</v>
      </c>
      <c r="B28" s="320">
        <v>1879100</v>
      </c>
      <c r="C28" s="318">
        <v>245100</v>
      </c>
      <c r="D28" s="242">
        <f t="shared" si="0"/>
        <v>2124200</v>
      </c>
    </row>
    <row r="29" spans="1:4" ht="18.75" customHeight="1">
      <c r="A29" s="223" t="s">
        <v>3</v>
      </c>
      <c r="B29" s="320"/>
      <c r="C29" s="318"/>
      <c r="D29" s="242">
        <f t="shared" si="0"/>
        <v>0</v>
      </c>
    </row>
    <row r="30" spans="1:4" s="330" customFormat="1" ht="18.75" customHeight="1">
      <c r="A30" s="223" t="s">
        <v>541</v>
      </c>
      <c r="B30" s="320">
        <v>1386000</v>
      </c>
      <c r="C30" s="318"/>
      <c r="D30" s="242">
        <f t="shared" si="0"/>
        <v>1386000</v>
      </c>
    </row>
    <row r="31" spans="1:4" s="330" customFormat="1" ht="17.25" customHeight="1">
      <c r="A31" s="223" t="s">
        <v>542</v>
      </c>
      <c r="B31" s="320">
        <v>630000</v>
      </c>
      <c r="C31" s="318">
        <v>189000</v>
      </c>
      <c r="D31" s="242">
        <f t="shared" si="0"/>
        <v>819000</v>
      </c>
    </row>
    <row r="32" spans="1:4" s="104" customFormat="1" ht="16.5" customHeight="1" thickBot="1">
      <c r="A32" s="331" t="s">
        <v>99</v>
      </c>
      <c r="B32" s="332">
        <f>SUM(B21:B31)</f>
        <v>54120003</v>
      </c>
      <c r="C32" s="332">
        <f>SUM(C21:C31)</f>
        <v>2221074</v>
      </c>
      <c r="D32" s="56">
        <f t="shared" si="0"/>
        <v>56341077</v>
      </c>
    </row>
    <row r="33" spans="1:4" ht="20.25" customHeight="1">
      <c r="A33" s="223" t="s">
        <v>5</v>
      </c>
      <c r="B33" s="320"/>
      <c r="C33" s="320"/>
      <c r="D33" s="442">
        <f t="shared" si="0"/>
        <v>0</v>
      </c>
    </row>
    <row r="34" spans="1:4" ht="18.75" customHeight="1">
      <c r="A34" s="223" t="s">
        <v>371</v>
      </c>
      <c r="B34" s="320">
        <v>17791000</v>
      </c>
      <c r="C34" s="320"/>
      <c r="D34" s="242">
        <f t="shared" si="0"/>
        <v>17791000</v>
      </c>
    </row>
    <row r="35" spans="1:4" ht="18" customHeight="1">
      <c r="A35" s="223" t="s">
        <v>372</v>
      </c>
      <c r="B35" s="320"/>
      <c r="C35" s="318"/>
      <c r="D35" s="242">
        <f t="shared" si="0"/>
        <v>0</v>
      </c>
    </row>
    <row r="36" spans="1:4" ht="19.5" customHeight="1">
      <c r="A36" s="223" t="s">
        <v>236</v>
      </c>
      <c r="B36" s="320"/>
      <c r="C36" s="318"/>
      <c r="D36" s="242">
        <f t="shared" si="0"/>
        <v>0</v>
      </c>
    </row>
    <row r="37" spans="1:4" ht="17.25" customHeight="1">
      <c r="A37" s="223" t="s">
        <v>543</v>
      </c>
      <c r="B37" s="320">
        <v>5115264</v>
      </c>
      <c r="C37" s="318"/>
      <c r="D37" s="242">
        <f t="shared" si="0"/>
        <v>5115264</v>
      </c>
    </row>
    <row r="38" spans="1:4" ht="16.5" customHeight="1">
      <c r="A38" s="223" t="s">
        <v>237</v>
      </c>
      <c r="B38" s="320"/>
      <c r="C38" s="318"/>
      <c r="D38" s="242">
        <f t="shared" si="0"/>
        <v>0</v>
      </c>
    </row>
    <row r="39" spans="1:4" ht="18.75" customHeight="1">
      <c r="A39" s="223" t="s">
        <v>545</v>
      </c>
      <c r="B39" s="320">
        <v>9282000</v>
      </c>
      <c r="C39" s="318">
        <v>2730000</v>
      </c>
      <c r="D39" s="242">
        <f t="shared" si="0"/>
        <v>12012000</v>
      </c>
    </row>
    <row r="40" spans="1:4" ht="18.75" customHeight="1">
      <c r="A40" s="223" t="s">
        <v>544</v>
      </c>
      <c r="B40" s="320">
        <v>825000</v>
      </c>
      <c r="C40" s="318">
        <v>-300000</v>
      </c>
      <c r="D40" s="242">
        <f t="shared" si="0"/>
        <v>525000</v>
      </c>
    </row>
    <row r="41" spans="1:4" ht="18.75" customHeight="1">
      <c r="A41" s="223" t="s">
        <v>546</v>
      </c>
      <c r="B41" s="320">
        <v>988200</v>
      </c>
      <c r="C41" s="318">
        <v>-988200</v>
      </c>
      <c r="D41" s="242">
        <f t="shared" si="0"/>
        <v>0</v>
      </c>
    </row>
    <row r="42" spans="1:4" ht="18" customHeight="1">
      <c r="A42" s="223" t="s">
        <v>0</v>
      </c>
      <c r="B42" s="320"/>
      <c r="C42" s="318"/>
      <c r="D42" s="242">
        <f t="shared" si="0"/>
        <v>0</v>
      </c>
    </row>
    <row r="43" spans="1:4" ht="18" customHeight="1">
      <c r="A43" s="223" t="s">
        <v>547</v>
      </c>
      <c r="B43" s="320">
        <v>10412160</v>
      </c>
      <c r="C43" s="320">
        <v>261120</v>
      </c>
      <c r="D43" s="242">
        <f t="shared" si="0"/>
        <v>10673280</v>
      </c>
    </row>
    <row r="44" spans="1:4" ht="18" customHeight="1">
      <c r="A44" s="223" t="s">
        <v>1</v>
      </c>
      <c r="B44" s="320">
        <v>11609689</v>
      </c>
      <c r="C44" s="320"/>
      <c r="D44" s="242">
        <f t="shared" si="0"/>
        <v>11609689</v>
      </c>
    </row>
    <row r="45" spans="1:4" ht="19.5" customHeight="1">
      <c r="A45" s="225" t="s">
        <v>449</v>
      </c>
      <c r="B45" s="323">
        <v>800280</v>
      </c>
      <c r="C45" s="320">
        <v>37620</v>
      </c>
      <c r="D45" s="242">
        <f t="shared" si="0"/>
        <v>837900</v>
      </c>
    </row>
    <row r="46" spans="1:4" ht="18" customHeight="1" thickBot="1">
      <c r="A46" s="223"/>
      <c r="B46" s="320"/>
      <c r="C46" s="320"/>
      <c r="D46" s="242">
        <f t="shared" si="0"/>
        <v>0</v>
      </c>
    </row>
    <row r="47" spans="1:4" s="104" customFormat="1" ht="18" customHeight="1" thickBot="1">
      <c r="A47" s="331" t="s">
        <v>2</v>
      </c>
      <c r="B47" s="332">
        <f>SUM(B34:B46)</f>
        <v>56823593</v>
      </c>
      <c r="C47" s="332">
        <f>SUM(C34:C46)</f>
        <v>1740540</v>
      </c>
      <c r="D47" s="443">
        <f t="shared" si="0"/>
        <v>58564133</v>
      </c>
    </row>
    <row r="48" spans="1:4" ht="18" customHeight="1">
      <c r="A48" s="223" t="s">
        <v>238</v>
      </c>
      <c r="B48" s="320"/>
      <c r="C48" s="320"/>
      <c r="D48" s="442">
        <f t="shared" si="0"/>
        <v>0</v>
      </c>
    </row>
    <row r="49" spans="1:4" ht="20.25" customHeight="1">
      <c r="A49" s="226" t="s">
        <v>239</v>
      </c>
      <c r="B49" s="325"/>
      <c r="C49" s="320"/>
      <c r="D49" s="242">
        <f t="shared" si="0"/>
        <v>0</v>
      </c>
    </row>
    <row r="50" spans="1:4" ht="17.25" customHeight="1" thickBot="1">
      <c r="A50" s="227" t="s">
        <v>450</v>
      </c>
      <c r="B50" s="344">
        <v>1867320</v>
      </c>
      <c r="C50" s="319"/>
      <c r="D50" s="248">
        <f t="shared" si="0"/>
        <v>1867320</v>
      </c>
    </row>
    <row r="51" spans="1:4" ht="18.75" customHeight="1" thickBot="1">
      <c r="A51" s="228" t="s">
        <v>451</v>
      </c>
      <c r="B51" s="326">
        <f>B50+B47+B32+B18</f>
        <v>173029719</v>
      </c>
      <c r="C51" s="326">
        <f>C50+C47+C32+C18</f>
        <v>3961614</v>
      </c>
      <c r="D51" s="443">
        <f t="shared" si="0"/>
        <v>176991333</v>
      </c>
    </row>
  </sheetData>
  <mergeCells count="3">
    <mergeCell ref="A2:C2"/>
    <mergeCell ref="C5:C7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415"/>
  <sheetViews>
    <sheetView view="pageBreakPreview" zoomScaleSheetLayoutView="100" workbookViewId="0">
      <selection activeCell="A3" sqref="A3:D3"/>
    </sheetView>
  </sheetViews>
  <sheetFormatPr defaultRowHeight="12.75"/>
  <cols>
    <col min="1" max="1" width="53.5703125" style="1" customWidth="1"/>
    <col min="2" max="2" width="14.28515625" style="2" customWidth="1"/>
    <col min="3" max="3" width="13.140625" style="1" customWidth="1"/>
    <col min="4" max="4" width="14.140625" style="1" customWidth="1"/>
    <col min="5" max="5" width="14.42578125" style="298" bestFit="1" customWidth="1"/>
    <col min="6" max="8" width="9.140625" style="1"/>
    <col min="9" max="9" width="8.42578125" style="1" customWidth="1"/>
    <col min="10" max="16384" width="9.140625" style="1"/>
  </cols>
  <sheetData>
    <row r="1" spans="1:5">
      <c r="A1" s="476" t="s">
        <v>57</v>
      </c>
      <c r="B1" s="477"/>
      <c r="C1" s="477"/>
      <c r="D1" s="477"/>
    </row>
    <row r="2" spans="1:5">
      <c r="A2" s="476" t="s">
        <v>562</v>
      </c>
      <c r="B2" s="477"/>
      <c r="C2" s="477"/>
      <c r="D2" s="477"/>
    </row>
    <row r="3" spans="1:5">
      <c r="A3" s="480" t="s">
        <v>630</v>
      </c>
      <c r="B3" s="473"/>
      <c r="C3" s="473"/>
      <c r="D3" s="473"/>
    </row>
    <row r="4" spans="1:5">
      <c r="C4" s="352"/>
      <c r="D4" s="352" t="s">
        <v>452</v>
      </c>
    </row>
    <row r="5" spans="1:5" ht="13.5" thickBot="1">
      <c r="C5" s="352"/>
      <c r="D5" s="352" t="s">
        <v>455</v>
      </c>
    </row>
    <row r="6" spans="1:5" ht="13.5" thickBot="1">
      <c r="A6" s="3" t="s">
        <v>25</v>
      </c>
      <c r="B6" s="4"/>
      <c r="C6" s="5"/>
      <c r="D6" s="5"/>
      <c r="E6" s="299"/>
    </row>
    <row r="7" spans="1:5">
      <c r="A7" s="11" t="s">
        <v>27</v>
      </c>
      <c r="B7" s="12" t="s">
        <v>28</v>
      </c>
      <c r="C7" s="13"/>
      <c r="D7" s="143" t="s">
        <v>29</v>
      </c>
      <c r="E7" s="478" t="s">
        <v>162</v>
      </c>
    </row>
    <row r="8" spans="1:5" ht="13.5" thickBot="1">
      <c r="A8" s="182"/>
      <c r="B8" s="183" t="s">
        <v>71</v>
      </c>
      <c r="C8" s="184" t="s">
        <v>30</v>
      </c>
      <c r="D8" s="171"/>
      <c r="E8" s="479"/>
    </row>
    <row r="9" spans="1:5" s="104" customFormat="1">
      <c r="A9" s="340" t="s">
        <v>373</v>
      </c>
      <c r="B9" s="341">
        <f>B10+B19</f>
        <v>201799</v>
      </c>
      <c r="C9" s="341">
        <f>C10+C19</f>
        <v>307319</v>
      </c>
      <c r="D9" s="342"/>
      <c r="E9" s="338"/>
    </row>
    <row r="10" spans="1:5">
      <c r="A10" s="142" t="s">
        <v>374</v>
      </c>
      <c r="B10" s="29">
        <f>SUM(B11:B18)</f>
        <v>174477</v>
      </c>
      <c r="C10" s="29">
        <f>SUM(C11:C18)</f>
        <v>182547</v>
      </c>
      <c r="D10" s="147">
        <f>SUM(D11:D18)</f>
        <v>0</v>
      </c>
      <c r="E10" s="308"/>
    </row>
    <row r="11" spans="1:5">
      <c r="A11" s="71" t="s">
        <v>136</v>
      </c>
      <c r="B11" s="26">
        <v>60219</v>
      </c>
      <c r="C11" s="26">
        <f>B11+182</f>
        <v>60401</v>
      </c>
      <c r="D11" s="94"/>
      <c r="E11" s="302"/>
    </row>
    <row r="12" spans="1:5">
      <c r="A12" s="71" t="s">
        <v>137</v>
      </c>
      <c r="B12" s="26">
        <v>54120</v>
      </c>
      <c r="C12" s="26">
        <f>B12+2221</f>
        <v>56341</v>
      </c>
      <c r="D12" s="94"/>
      <c r="E12" s="302"/>
    </row>
    <row r="13" spans="1:5">
      <c r="A13" s="406" t="s">
        <v>518</v>
      </c>
      <c r="B13" s="26"/>
      <c r="C13" s="26"/>
      <c r="D13" s="94"/>
      <c r="E13" s="302"/>
    </row>
    <row r="14" spans="1:5">
      <c r="A14" s="71" t="s">
        <v>138</v>
      </c>
      <c r="B14" s="26">
        <v>56824</v>
      </c>
      <c r="C14" s="26">
        <f>B14+2430-988+299</f>
        <v>58565</v>
      </c>
      <c r="D14" s="94"/>
      <c r="E14" s="302"/>
    </row>
    <row r="15" spans="1:5">
      <c r="A15" s="71" t="s">
        <v>440</v>
      </c>
      <c r="B15" s="26">
        <f>20+1427</f>
        <v>1447</v>
      </c>
      <c r="C15" s="26">
        <f>B15+95</f>
        <v>1542</v>
      </c>
      <c r="D15" s="94"/>
      <c r="E15" s="302"/>
    </row>
    <row r="16" spans="1:5">
      <c r="A16" s="71" t="s">
        <v>139</v>
      </c>
      <c r="B16" s="26">
        <v>1867</v>
      </c>
      <c r="C16" s="26">
        <f>B16</f>
        <v>1867</v>
      </c>
      <c r="D16" s="94"/>
      <c r="E16" s="302"/>
    </row>
    <row r="17" spans="1:5">
      <c r="A17" s="71" t="s">
        <v>140</v>
      </c>
      <c r="B17" s="26"/>
      <c r="C17" s="26"/>
      <c r="D17" s="94"/>
      <c r="E17" s="302"/>
    </row>
    <row r="18" spans="1:5">
      <c r="A18" s="71" t="s">
        <v>141</v>
      </c>
      <c r="B18" s="26"/>
      <c r="C18" s="26">
        <f>2376-95+1550</f>
        <v>3831</v>
      </c>
      <c r="D18" s="94"/>
      <c r="E18" s="302"/>
    </row>
    <row r="19" spans="1:5">
      <c r="A19" s="142" t="s">
        <v>375</v>
      </c>
      <c r="B19" s="29">
        <f>SUM(B20:B24)</f>
        <v>27322</v>
      </c>
      <c r="C19" s="29">
        <f>SUM(C20:C25)</f>
        <v>124772</v>
      </c>
      <c r="D19" s="29">
        <f>SUM(D20:D24)</f>
        <v>0</v>
      </c>
      <c r="E19" s="308"/>
    </row>
    <row r="20" spans="1:5">
      <c r="A20" s="80" t="s">
        <v>376</v>
      </c>
      <c r="B20" s="48">
        <v>3733</v>
      </c>
      <c r="C20" s="48">
        <f>B20+1284</f>
        <v>5017</v>
      </c>
      <c r="D20" s="152"/>
      <c r="E20" s="302"/>
    </row>
    <row r="21" spans="1:5">
      <c r="A21" s="80" t="s">
        <v>377</v>
      </c>
      <c r="B21" s="410">
        <v>8310</v>
      </c>
      <c r="C21" s="48">
        <f>B21+1556+600+31465+43863+12142</f>
        <v>97936</v>
      </c>
      <c r="D21" s="152"/>
      <c r="E21" s="302"/>
    </row>
    <row r="22" spans="1:5">
      <c r="A22" s="80" t="s">
        <v>381</v>
      </c>
      <c r="B22" s="48">
        <v>1080</v>
      </c>
      <c r="C22" s="48">
        <v>1080</v>
      </c>
      <c r="D22" s="152"/>
      <c r="E22" s="302"/>
    </row>
    <row r="23" spans="1:5">
      <c r="A23" s="80" t="s">
        <v>382</v>
      </c>
      <c r="B23" s="48"/>
      <c r="C23" s="48">
        <v>1500</v>
      </c>
      <c r="D23" s="48"/>
      <c r="E23" s="302"/>
    </row>
    <row r="24" spans="1:5">
      <c r="A24" s="80" t="s">
        <v>383</v>
      </c>
      <c r="B24" s="48">
        <v>14199</v>
      </c>
      <c r="C24" s="48">
        <f>B24+19</f>
        <v>14218</v>
      </c>
      <c r="D24" s="48"/>
      <c r="E24" s="302"/>
    </row>
    <row r="25" spans="1:5">
      <c r="A25" s="444" t="s">
        <v>589</v>
      </c>
      <c r="B25" s="48"/>
      <c r="C25" s="48">
        <f>3300+1721</f>
        <v>5021</v>
      </c>
      <c r="D25" s="48"/>
      <c r="E25" s="314"/>
    </row>
    <row r="26" spans="1:5" ht="13.5" thickBot="1">
      <c r="A26" s="63"/>
      <c r="B26" s="64"/>
      <c r="C26" s="64"/>
      <c r="D26" s="64"/>
      <c r="E26" s="337"/>
    </row>
    <row r="27" spans="1:5" ht="12.75" customHeight="1">
      <c r="A27" s="454" t="s">
        <v>379</v>
      </c>
      <c r="B27" s="455">
        <v>0</v>
      </c>
      <c r="C27" s="456">
        <f>SUM(C28:C30)</f>
        <v>74280</v>
      </c>
      <c r="D27" s="457"/>
      <c r="E27" s="445"/>
    </row>
    <row r="28" spans="1:5" ht="12.75" customHeight="1">
      <c r="A28" s="32" t="s">
        <v>590</v>
      </c>
      <c r="B28" s="450"/>
      <c r="C28" s="451">
        <v>2700</v>
      </c>
      <c r="D28" s="452"/>
      <c r="E28" s="453"/>
    </row>
    <row r="29" spans="1:5" ht="12.75" customHeight="1">
      <c r="A29" s="32" t="s">
        <v>591</v>
      </c>
      <c r="B29" s="450"/>
      <c r="C29" s="451">
        <v>39027</v>
      </c>
      <c r="D29" s="452"/>
      <c r="E29" s="453"/>
    </row>
    <row r="30" spans="1:5" ht="12.75" customHeight="1">
      <c r="A30" s="32" t="s">
        <v>592</v>
      </c>
      <c r="B30" s="450"/>
      <c r="C30" s="451">
        <f>11124+18798+2631</f>
        <v>32553</v>
      </c>
      <c r="D30" s="452"/>
      <c r="E30" s="453"/>
    </row>
    <row r="31" spans="1:5">
      <c r="A31" s="256"/>
      <c r="B31" s="446"/>
      <c r="C31" s="447"/>
      <c r="D31" s="448"/>
      <c r="E31" s="449"/>
    </row>
    <row r="32" spans="1:5">
      <c r="A32" s="185" t="s">
        <v>380</v>
      </c>
      <c r="B32" s="155">
        <f>SUM(B33+B38+B40)</f>
        <v>37650</v>
      </c>
      <c r="C32" s="155">
        <f>SUM(C33+C38+C40)</f>
        <v>37650</v>
      </c>
      <c r="D32" s="155">
        <f>SUM(D33+D38+D40)</f>
        <v>0</v>
      </c>
      <c r="E32" s="304"/>
    </row>
    <row r="33" spans="1:5">
      <c r="A33" s="81" t="s">
        <v>127</v>
      </c>
      <c r="B33" s="82">
        <f>B34+B35+B36+B37</f>
        <v>34150</v>
      </c>
      <c r="C33" s="82">
        <f>SUM(C34:C37)</f>
        <v>34150</v>
      </c>
      <c r="D33" s="122">
        <f>SUM(D34:D37)</f>
        <v>0</v>
      </c>
      <c r="E33" s="303"/>
    </row>
    <row r="34" spans="1:5">
      <c r="A34" s="71" t="s">
        <v>128</v>
      </c>
      <c r="B34" s="26">
        <v>1500</v>
      </c>
      <c r="C34" s="26">
        <v>1500</v>
      </c>
      <c r="D34" s="94"/>
      <c r="E34" s="303"/>
    </row>
    <row r="35" spans="1:5">
      <c r="A35" s="71" t="s">
        <v>129</v>
      </c>
      <c r="B35" s="26">
        <v>4500</v>
      </c>
      <c r="C35" s="26">
        <v>4500</v>
      </c>
      <c r="D35" s="94"/>
      <c r="E35" s="302"/>
    </row>
    <row r="36" spans="1:5">
      <c r="A36" s="71" t="s">
        <v>130</v>
      </c>
      <c r="B36" s="26">
        <v>28000</v>
      </c>
      <c r="C36" s="26">
        <v>28000</v>
      </c>
      <c r="D36" s="94"/>
      <c r="E36" s="302"/>
    </row>
    <row r="37" spans="1:5">
      <c r="A37" s="71" t="s">
        <v>131</v>
      </c>
      <c r="B37" s="26">
        <v>150</v>
      </c>
      <c r="C37" s="26">
        <v>150</v>
      </c>
      <c r="D37" s="94"/>
      <c r="E37" s="302"/>
    </row>
    <row r="38" spans="1:5">
      <c r="A38" s="81" t="s">
        <v>132</v>
      </c>
      <c r="B38" s="82">
        <v>3500</v>
      </c>
      <c r="C38" s="82">
        <f>SUM(C39:C39)</f>
        <v>3500</v>
      </c>
      <c r="D38" s="122">
        <f>SUM(D39:D39)</f>
        <v>0</v>
      </c>
      <c r="E38" s="301"/>
    </row>
    <row r="39" spans="1:5">
      <c r="A39" s="71" t="s">
        <v>378</v>
      </c>
      <c r="B39" s="26">
        <v>3500</v>
      </c>
      <c r="C39" s="26">
        <v>3500</v>
      </c>
      <c r="D39" s="94"/>
      <c r="E39" s="302"/>
    </row>
    <row r="40" spans="1:5">
      <c r="A40" s="81" t="s">
        <v>133</v>
      </c>
      <c r="B40" s="82">
        <v>0</v>
      </c>
      <c r="C40" s="82"/>
      <c r="D40" s="122"/>
      <c r="E40" s="301"/>
    </row>
    <row r="41" spans="1:5">
      <c r="A41" s="191"/>
      <c r="B41" s="90"/>
      <c r="C41" s="90"/>
      <c r="D41" s="335"/>
      <c r="E41" s="336"/>
    </row>
    <row r="42" spans="1:5">
      <c r="A42" s="141" t="s">
        <v>385</v>
      </c>
      <c r="B42" s="343">
        <f>B44+B57+B48+B61+B55+B52+B43+B49</f>
        <v>12801</v>
      </c>
      <c r="C42" s="343">
        <f>C44+C57+C48+C61+C55+C52+C43+C49</f>
        <v>17043</v>
      </c>
      <c r="D42" s="343">
        <f>D44+D57+D48+D61+D55+D52+D43+D49</f>
        <v>0</v>
      </c>
      <c r="E42" s="300"/>
    </row>
    <row r="43" spans="1:5">
      <c r="A43" s="81" t="s">
        <v>384</v>
      </c>
      <c r="B43" s="97">
        <v>200</v>
      </c>
      <c r="C43" s="97">
        <v>200</v>
      </c>
      <c r="D43" s="130">
        <v>0</v>
      </c>
      <c r="E43" s="301"/>
    </row>
    <row r="44" spans="1:5">
      <c r="A44" s="81" t="s">
        <v>386</v>
      </c>
      <c r="B44" s="21">
        <f>SUM(B45+B46)</f>
        <v>196</v>
      </c>
      <c r="C44" s="21">
        <f>SUM(C45+C46+C47)</f>
        <v>820</v>
      </c>
      <c r="D44" s="21">
        <f>SUM(D45+D46)</f>
        <v>0</v>
      </c>
      <c r="E44" s="301"/>
    </row>
    <row r="45" spans="1:5">
      <c r="A45" s="71" t="s">
        <v>387</v>
      </c>
      <c r="B45" s="20">
        <v>150</v>
      </c>
      <c r="C45" s="20">
        <v>150</v>
      </c>
      <c r="D45" s="145"/>
      <c r="E45" s="302"/>
    </row>
    <row r="46" spans="1:5">
      <c r="A46" s="71" t="s">
        <v>527</v>
      </c>
      <c r="B46" s="20">
        <v>46</v>
      </c>
      <c r="C46" s="20">
        <v>46</v>
      </c>
      <c r="D46" s="145"/>
      <c r="E46" s="302"/>
    </row>
    <row r="47" spans="1:5">
      <c r="A47" s="71" t="s">
        <v>593</v>
      </c>
      <c r="B47" s="20"/>
      <c r="C47" s="20">
        <v>624</v>
      </c>
      <c r="D47" s="145"/>
      <c r="E47" s="302"/>
    </row>
    <row r="48" spans="1:5">
      <c r="A48" s="81" t="s">
        <v>388</v>
      </c>
      <c r="B48" s="97">
        <v>9076</v>
      </c>
      <c r="C48" s="97">
        <f>B48+140+1394+1234</f>
        <v>11844</v>
      </c>
      <c r="D48" s="130"/>
      <c r="E48" s="301"/>
    </row>
    <row r="49" spans="1:5">
      <c r="A49" s="81" t="s">
        <v>389</v>
      </c>
      <c r="B49" s="97">
        <f>B50+B51</f>
        <v>744</v>
      </c>
      <c r="C49" s="97">
        <f>C50+C51</f>
        <v>1026</v>
      </c>
      <c r="D49" s="130"/>
      <c r="E49" s="301"/>
    </row>
    <row r="50" spans="1:5">
      <c r="A50" s="71" t="s">
        <v>390</v>
      </c>
      <c r="B50" s="20">
        <v>197</v>
      </c>
      <c r="C50" s="20">
        <f>B50+100</f>
        <v>297</v>
      </c>
      <c r="D50" s="145"/>
      <c r="E50" s="302"/>
    </row>
    <row r="51" spans="1:5">
      <c r="A51" s="71" t="s">
        <v>391</v>
      </c>
      <c r="B51" s="20">
        <v>547</v>
      </c>
      <c r="C51" s="20">
        <f>B51+182</f>
        <v>729</v>
      </c>
      <c r="D51" s="145"/>
      <c r="E51" s="302"/>
    </row>
    <row r="52" spans="1:5">
      <c r="A52" s="81" t="s">
        <v>392</v>
      </c>
      <c r="B52" s="21">
        <f>SUM(B53:B53)</f>
        <v>107</v>
      </c>
      <c r="C52" s="21">
        <f>SUM(C53:C54)</f>
        <v>675</v>
      </c>
      <c r="D52" s="132">
        <f>SUM(D53:D53)</f>
        <v>0</v>
      </c>
      <c r="E52" s="301"/>
    </row>
    <row r="53" spans="1:5">
      <c r="A53" s="73" t="s">
        <v>393</v>
      </c>
      <c r="B53" s="23">
        <v>107</v>
      </c>
      <c r="C53" s="23">
        <f>B53+168</f>
        <v>275</v>
      </c>
      <c r="D53" s="146"/>
      <c r="E53" s="303"/>
    </row>
    <row r="54" spans="1:5">
      <c r="A54" s="458" t="s">
        <v>594</v>
      </c>
      <c r="B54" s="23"/>
      <c r="C54" s="23">
        <v>400</v>
      </c>
      <c r="D54" s="146"/>
      <c r="E54" s="303"/>
    </row>
    <row r="55" spans="1:5">
      <c r="A55" s="81" t="s">
        <v>394</v>
      </c>
      <c r="B55" s="97">
        <f>SUM(B56:B56)</f>
        <v>400</v>
      </c>
      <c r="C55" s="97">
        <f>SUM(C56:C56)</f>
        <v>400</v>
      </c>
      <c r="D55" s="130">
        <f>SUM(D56:D56)</f>
        <v>0</v>
      </c>
      <c r="E55" s="301"/>
    </row>
    <row r="56" spans="1:5">
      <c r="A56" s="71" t="s">
        <v>125</v>
      </c>
      <c r="B56" s="20">
        <v>400</v>
      </c>
      <c r="C56" s="20">
        <v>400</v>
      </c>
      <c r="D56" s="145"/>
      <c r="E56" s="302"/>
    </row>
    <row r="57" spans="1:5">
      <c r="A57" s="81" t="s">
        <v>395</v>
      </c>
      <c r="B57" s="21">
        <f>SUM(B58:B60)</f>
        <v>2078</v>
      </c>
      <c r="C57" s="21">
        <f>SUM(C58:C60)</f>
        <v>2078</v>
      </c>
      <c r="D57" s="132">
        <f>SUM(D58:D60)</f>
        <v>0</v>
      </c>
      <c r="E57" s="301"/>
    </row>
    <row r="58" spans="1:5">
      <c r="A58" s="140" t="s">
        <v>398</v>
      </c>
      <c r="B58" s="20">
        <v>1500</v>
      </c>
      <c r="C58" s="20">
        <v>1500</v>
      </c>
      <c r="D58" s="145"/>
      <c r="E58" s="302"/>
    </row>
    <row r="59" spans="1:5">
      <c r="A59" s="140" t="s">
        <v>396</v>
      </c>
      <c r="B59" s="20">
        <v>48</v>
      </c>
      <c r="C59" s="20">
        <v>48</v>
      </c>
      <c r="D59" s="145"/>
      <c r="E59" s="302"/>
    </row>
    <row r="60" spans="1:5">
      <c r="A60" s="71" t="s">
        <v>397</v>
      </c>
      <c r="B60" s="20">
        <v>530</v>
      </c>
      <c r="C60" s="20">
        <v>530</v>
      </c>
      <c r="D60" s="145"/>
      <c r="E60" s="302"/>
    </row>
    <row r="61" spans="1:5">
      <c r="A61" s="81" t="s">
        <v>399</v>
      </c>
      <c r="B61" s="97">
        <v>0</v>
      </c>
      <c r="C61" s="97">
        <v>0</v>
      </c>
      <c r="D61" s="130"/>
      <c r="E61" s="301"/>
    </row>
    <row r="62" spans="1:5">
      <c r="A62" s="186"/>
      <c r="B62" s="187"/>
      <c r="C62" s="187"/>
      <c r="D62" s="187"/>
      <c r="E62" s="305"/>
    </row>
    <row r="63" spans="1:5">
      <c r="A63" s="185" t="s">
        <v>126</v>
      </c>
      <c r="B63" s="155">
        <f>SUM(B64:B65)</f>
        <v>7800</v>
      </c>
      <c r="C63" s="155">
        <f>SUM(C64:C65)</f>
        <v>7800</v>
      </c>
      <c r="D63" s="158">
        <f>SUM(D64:D65)</f>
        <v>0</v>
      </c>
      <c r="E63" s="306"/>
    </row>
    <row r="64" spans="1:5">
      <c r="A64" s="71" t="s">
        <v>134</v>
      </c>
      <c r="B64" s="26">
        <v>5800</v>
      </c>
      <c r="C64" s="26">
        <v>5800</v>
      </c>
      <c r="D64" s="94"/>
      <c r="E64" s="302"/>
    </row>
    <row r="65" spans="1:5">
      <c r="A65" s="71" t="s">
        <v>135</v>
      </c>
      <c r="B65" s="26">
        <v>2000</v>
      </c>
      <c r="C65" s="26">
        <v>2000</v>
      </c>
      <c r="D65" s="94"/>
      <c r="E65" s="302"/>
    </row>
    <row r="66" spans="1:5">
      <c r="A66" s="186"/>
      <c r="B66" s="168"/>
      <c r="C66" s="168"/>
      <c r="D66" s="168"/>
      <c r="E66" s="307"/>
    </row>
    <row r="67" spans="1:5">
      <c r="A67" s="460" t="s">
        <v>595</v>
      </c>
      <c r="B67" s="461"/>
      <c r="C67" s="461">
        <f>C68+C69</f>
        <v>2128</v>
      </c>
      <c r="D67" s="461"/>
      <c r="E67" s="307"/>
    </row>
    <row r="68" spans="1:5">
      <c r="A68" s="18" t="s">
        <v>597</v>
      </c>
      <c r="B68" s="26"/>
      <c r="C68" s="26">
        <v>30</v>
      </c>
      <c r="D68" s="26"/>
      <c r="E68" s="459"/>
    </row>
    <row r="69" spans="1:5">
      <c r="A69" s="18" t="s">
        <v>596</v>
      </c>
      <c r="B69" s="26"/>
      <c r="C69" s="26">
        <v>2098</v>
      </c>
      <c r="D69" s="26"/>
      <c r="E69" s="459"/>
    </row>
    <row r="70" spans="1:5">
      <c r="A70" s="189"/>
      <c r="B70" s="190"/>
      <c r="C70" s="190"/>
      <c r="D70" s="190"/>
      <c r="E70" s="309"/>
    </row>
    <row r="71" spans="1:5">
      <c r="A71" s="149" t="s">
        <v>142</v>
      </c>
      <c r="B71" s="150">
        <f>+B72</f>
        <v>421</v>
      </c>
      <c r="C71" s="150">
        <f>+C72+C73</f>
        <v>5358</v>
      </c>
      <c r="D71" s="150">
        <f>+D72</f>
        <v>0</v>
      </c>
      <c r="E71" s="308"/>
    </row>
    <row r="72" spans="1:5">
      <c r="A72" s="71" t="s">
        <v>146</v>
      </c>
      <c r="B72" s="26">
        <v>421</v>
      </c>
      <c r="C72" s="26">
        <v>421</v>
      </c>
      <c r="D72" s="94"/>
      <c r="E72" s="302"/>
    </row>
    <row r="73" spans="1:5">
      <c r="A73" s="18" t="s">
        <v>598</v>
      </c>
      <c r="B73" s="26"/>
      <c r="C73" s="26">
        <v>4937</v>
      </c>
      <c r="D73" s="168"/>
      <c r="E73" s="307"/>
    </row>
    <row r="74" spans="1:5">
      <c r="A74" s="186"/>
      <c r="B74" s="168"/>
      <c r="C74" s="168"/>
      <c r="D74" s="168"/>
      <c r="E74" s="307"/>
    </row>
    <row r="75" spans="1:5">
      <c r="A75" s="142" t="s">
        <v>143</v>
      </c>
      <c r="B75" s="29">
        <f>B71+B19+B10+B63+B32+B42</f>
        <v>260471</v>
      </c>
      <c r="C75" s="29">
        <f>C71+C19+C27+C10+C63+C32+C67+C42</f>
        <v>451578</v>
      </c>
      <c r="D75" s="29">
        <f>D71+D19+D10+D63+D32+D42</f>
        <v>0</v>
      </c>
      <c r="E75" s="308"/>
    </row>
    <row r="76" spans="1:5">
      <c r="A76" s="192"/>
      <c r="B76" s="193"/>
      <c r="C76" s="193"/>
      <c r="D76" s="193"/>
      <c r="E76" s="310"/>
    </row>
    <row r="77" spans="1:5">
      <c r="A77" s="142" t="s">
        <v>144</v>
      </c>
      <c r="B77" s="29">
        <f>SUM(B78:B79)</f>
        <v>68118</v>
      </c>
      <c r="C77" s="29">
        <f>SUM(C78:C79)</f>
        <v>68118</v>
      </c>
      <c r="D77" s="147">
        <f>D78+D79</f>
        <v>0</v>
      </c>
      <c r="E77" s="311"/>
    </row>
    <row r="78" spans="1:5" ht="38.25">
      <c r="A78" s="288" t="s">
        <v>529</v>
      </c>
      <c r="B78" s="26">
        <v>54651</v>
      </c>
      <c r="C78" s="26">
        <v>54651</v>
      </c>
      <c r="D78" s="94">
        <v>0</v>
      </c>
      <c r="E78" s="302"/>
    </row>
    <row r="79" spans="1:5">
      <c r="A79" s="288" t="s">
        <v>528</v>
      </c>
      <c r="B79" s="26">
        <v>13467</v>
      </c>
      <c r="C79" s="26">
        <v>13467</v>
      </c>
      <c r="D79" s="94">
        <v>0</v>
      </c>
      <c r="E79" s="302"/>
    </row>
    <row r="80" spans="1:5">
      <c r="A80" s="186"/>
      <c r="B80" s="168"/>
      <c r="C80" s="168"/>
      <c r="D80" s="168"/>
      <c r="E80" s="307"/>
    </row>
    <row r="81" spans="1:5">
      <c r="A81" s="194"/>
      <c r="B81" s="195"/>
      <c r="C81" s="195"/>
      <c r="D81" s="195"/>
      <c r="E81" s="307"/>
    </row>
    <row r="82" spans="1:5">
      <c r="A82" s="156" t="s">
        <v>145</v>
      </c>
      <c r="B82" s="29">
        <f>B75+B77</f>
        <v>328589</v>
      </c>
      <c r="C82" s="29">
        <f>C75+C77</f>
        <v>519696</v>
      </c>
      <c r="D82" s="29">
        <f>D75+D77</f>
        <v>0</v>
      </c>
      <c r="E82" s="308"/>
    </row>
    <row r="83" spans="1:5">
      <c r="A83" s="192"/>
      <c r="B83" s="193"/>
      <c r="C83" s="193"/>
      <c r="D83" s="193"/>
      <c r="E83" s="312"/>
    </row>
    <row r="84" spans="1:5">
      <c r="A84" s="398" t="s">
        <v>510</v>
      </c>
      <c r="B84" s="399">
        <v>61767</v>
      </c>
      <c r="C84" s="399">
        <v>62796</v>
      </c>
      <c r="D84" s="399"/>
      <c r="E84" s="310"/>
    </row>
    <row r="85" spans="1:5">
      <c r="A85" s="398" t="s">
        <v>549</v>
      </c>
      <c r="B85" s="399">
        <v>42012</v>
      </c>
      <c r="C85" s="399">
        <v>43757</v>
      </c>
      <c r="D85" s="399"/>
      <c r="E85" s="310"/>
    </row>
    <row r="86" spans="1:5">
      <c r="A86" s="192"/>
      <c r="B86" s="193"/>
      <c r="C86" s="193"/>
      <c r="D86" s="193"/>
      <c r="E86" s="310"/>
    </row>
    <row r="87" spans="1:5">
      <c r="A87" s="149" t="s">
        <v>550</v>
      </c>
      <c r="B87" s="150">
        <f>61562+22822</f>
        <v>84384</v>
      </c>
      <c r="C87" s="150">
        <v>85958</v>
      </c>
      <c r="D87" s="150"/>
      <c r="E87" s="308"/>
    </row>
    <row r="88" spans="1:5">
      <c r="A88" s="198"/>
      <c r="B88" s="199"/>
      <c r="C88" s="199"/>
      <c r="D88" s="199"/>
      <c r="E88" s="310"/>
    </row>
    <row r="89" spans="1:5" ht="13.5" thickBot="1">
      <c r="A89" s="196" t="s">
        <v>551</v>
      </c>
      <c r="B89" s="197">
        <f>B82+B84+B85-B87</f>
        <v>347984</v>
      </c>
      <c r="C89" s="197">
        <f>C82+C84+C85-C87</f>
        <v>540291</v>
      </c>
      <c r="D89" s="197">
        <f>SUM(D82:D87)</f>
        <v>0</v>
      </c>
      <c r="E89" s="313"/>
    </row>
    <row r="90" spans="1:5">
      <c r="C90" s="2"/>
      <c r="D90" s="2"/>
    </row>
    <row r="91" spans="1:5">
      <c r="C91" s="2"/>
      <c r="D91" s="2"/>
    </row>
    <row r="92" spans="1:5">
      <c r="C92" s="2"/>
      <c r="D92" s="2"/>
    </row>
    <row r="93" spans="1:5">
      <c r="C93" s="2"/>
      <c r="D93" s="2"/>
    </row>
    <row r="94" spans="1:5">
      <c r="C94" s="2"/>
      <c r="D94" s="2"/>
    </row>
    <row r="206" spans="5:47" s="22" customFormat="1">
      <c r="E206" s="314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</row>
    <row r="207" spans="5:47" s="91" customFormat="1">
      <c r="E207" s="315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</row>
    <row r="208" spans="5:47" s="28" customFormat="1">
      <c r="E208" s="314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</row>
    <row r="281" spans="1:13">
      <c r="A281"/>
      <c r="B281"/>
      <c r="C281"/>
      <c r="D281"/>
      <c r="E281" s="316"/>
      <c r="F281"/>
      <c r="G281"/>
      <c r="H281"/>
      <c r="I281"/>
      <c r="J281"/>
      <c r="K281"/>
      <c r="L281"/>
      <c r="M281"/>
    </row>
    <row r="282" spans="1:13">
      <c r="A282"/>
      <c r="B282"/>
      <c r="C282"/>
      <c r="D282"/>
      <c r="E282" s="316"/>
      <c r="F282"/>
      <c r="G282"/>
      <c r="H282"/>
      <c r="I282"/>
      <c r="J282"/>
      <c r="K282"/>
      <c r="L282"/>
      <c r="M282"/>
    </row>
    <row r="283" spans="1:13">
      <c r="A283"/>
      <c r="B283"/>
      <c r="C283"/>
      <c r="D283"/>
      <c r="E283" s="316"/>
      <c r="F283"/>
      <c r="G283"/>
      <c r="H283"/>
      <c r="I283"/>
      <c r="J283" t="s">
        <v>78</v>
      </c>
      <c r="K283"/>
      <c r="L283"/>
      <c r="M283"/>
    </row>
    <row r="284" spans="1:13">
      <c r="A284"/>
      <c r="B284"/>
      <c r="C284"/>
      <c r="D284"/>
      <c r="E284" s="316"/>
      <c r="F284"/>
      <c r="G284"/>
      <c r="H284"/>
      <c r="I284"/>
      <c r="J284" s="473"/>
      <c r="K284" s="474"/>
      <c r="L284"/>
      <c r="M284"/>
    </row>
    <row r="285" spans="1:13">
      <c r="A285"/>
      <c r="B285"/>
      <c r="C285"/>
      <c r="D285"/>
      <c r="E285" s="316"/>
      <c r="F285"/>
      <c r="G285"/>
      <c r="H285"/>
      <c r="I285"/>
      <c r="J285"/>
      <c r="K285"/>
      <c r="L285"/>
      <c r="M285"/>
    </row>
    <row r="286" spans="1:13" ht="15">
      <c r="A286"/>
      <c r="B286"/>
      <c r="C286"/>
      <c r="D286" s="103"/>
      <c r="E286" s="317"/>
      <c r="F286" s="103"/>
      <c r="G286" s="103"/>
      <c r="H286" s="103"/>
      <c r="I286" s="103"/>
      <c r="J286" s="103"/>
      <c r="K286"/>
      <c r="L286"/>
      <c r="M286"/>
    </row>
    <row r="287" spans="1:13" ht="15">
      <c r="A287"/>
      <c r="B287"/>
      <c r="C287"/>
      <c r="D287" s="103"/>
      <c r="E287" s="317"/>
      <c r="F287" s="103"/>
      <c r="G287" s="103"/>
      <c r="H287" s="103"/>
      <c r="I287" s="103"/>
      <c r="J287" s="103"/>
      <c r="K287"/>
      <c r="L287"/>
      <c r="M287"/>
    </row>
    <row r="288" spans="1:13">
      <c r="A288"/>
      <c r="B288"/>
      <c r="C288"/>
      <c r="D288"/>
      <c r="E288" s="316"/>
      <c r="F288"/>
      <c r="G288"/>
      <c r="H288"/>
      <c r="I288"/>
      <c r="J288"/>
      <c r="K288"/>
      <c r="L288"/>
      <c r="M288"/>
    </row>
    <row r="289" spans="1:13" ht="13.5" customHeight="1">
      <c r="A289"/>
      <c r="B289"/>
      <c r="C289"/>
      <c r="D289"/>
      <c r="E289" s="316"/>
      <c r="F289" s="475"/>
      <c r="G289" s="474"/>
      <c r="H289" s="474"/>
      <c r="I289" s="474"/>
      <c r="J289"/>
      <c r="K289"/>
      <c r="L289"/>
      <c r="M289"/>
    </row>
    <row r="290" spans="1:13" ht="13.5" customHeight="1">
      <c r="A290" s="104"/>
      <c r="B290" s="104"/>
      <c r="C290" s="104"/>
      <c r="D290"/>
      <c r="E290" s="316"/>
      <c r="F290"/>
      <c r="G290"/>
      <c r="H290"/>
      <c r="I290"/>
      <c r="J290"/>
      <c r="K290"/>
      <c r="L290"/>
      <c r="M290"/>
    </row>
    <row r="291" spans="1:13" ht="13.5" customHeight="1">
      <c r="A291" s="104"/>
      <c r="B291" s="104"/>
      <c r="C291" s="104"/>
      <c r="D291"/>
      <c r="E291" s="316"/>
      <c r="F291"/>
      <c r="G291"/>
      <c r="H291"/>
      <c r="I291"/>
      <c r="J291"/>
      <c r="K291"/>
      <c r="L291"/>
      <c r="M291"/>
    </row>
    <row r="292" spans="1:13" ht="13.5" customHeight="1">
      <c r="A292"/>
      <c r="B292"/>
      <c r="C292"/>
      <c r="D292"/>
      <c r="E292" s="316"/>
      <c r="F292"/>
      <c r="G292"/>
      <c r="H292"/>
      <c r="I292"/>
      <c r="J292"/>
      <c r="K292"/>
      <c r="L292"/>
      <c r="M292"/>
    </row>
    <row r="293" spans="1:13">
      <c r="A293" s="67"/>
      <c r="B293" s="64"/>
      <c r="C293" s="64"/>
      <c r="D293" s="63"/>
    </row>
    <row r="294" spans="1:13">
      <c r="A294" s="67"/>
      <c r="B294" s="64"/>
      <c r="C294" s="63"/>
      <c r="D294" s="63"/>
    </row>
    <row r="295" spans="1:13">
      <c r="A295" s="67"/>
      <c r="B295" s="64"/>
      <c r="C295" s="63"/>
      <c r="D295" s="63"/>
    </row>
    <row r="296" spans="1:13">
      <c r="A296" s="63"/>
      <c r="B296" s="64"/>
      <c r="C296" s="63"/>
      <c r="D296" s="63"/>
    </row>
    <row r="297" spans="1:13">
      <c r="A297" s="67"/>
      <c r="B297" s="64"/>
      <c r="C297" s="63"/>
      <c r="D297" s="63"/>
    </row>
    <row r="298" spans="1:13">
      <c r="A298" s="63"/>
      <c r="B298" s="64"/>
      <c r="C298" s="64"/>
      <c r="D298" s="63"/>
    </row>
    <row r="299" spans="1:13">
      <c r="A299" s="63"/>
      <c r="B299" s="64"/>
      <c r="C299" s="63"/>
      <c r="D299" s="63"/>
    </row>
    <row r="300" spans="1:13">
      <c r="A300" s="63"/>
      <c r="B300" s="64"/>
      <c r="C300" s="64"/>
      <c r="D300" s="63"/>
    </row>
    <row r="301" spans="1:13">
      <c r="A301" s="63"/>
      <c r="B301" s="64"/>
      <c r="C301" s="63"/>
      <c r="D301" s="63"/>
    </row>
    <row r="302" spans="1:13">
      <c r="A302" s="63"/>
      <c r="B302" s="64"/>
      <c r="C302" s="63"/>
      <c r="D302" s="63"/>
    </row>
    <row r="303" spans="1:13">
      <c r="A303" s="63"/>
      <c r="B303" s="64"/>
      <c r="C303" s="64"/>
      <c r="D303" s="63"/>
    </row>
    <row r="304" spans="1:13">
      <c r="A304" s="63"/>
      <c r="B304" s="64"/>
      <c r="C304" s="63"/>
      <c r="D304" s="63"/>
    </row>
    <row r="305" spans="1:4">
      <c r="A305" s="67"/>
      <c r="B305" s="64"/>
      <c r="C305" s="63"/>
      <c r="D305" s="63"/>
    </row>
    <row r="306" spans="1:4">
      <c r="A306" s="67"/>
      <c r="B306" s="64"/>
      <c r="C306" s="63"/>
      <c r="D306" s="63"/>
    </row>
    <row r="307" spans="1:4">
      <c r="A307" s="67"/>
      <c r="B307" s="64"/>
      <c r="C307" s="63"/>
      <c r="D307" s="63"/>
    </row>
    <row r="308" spans="1:4">
      <c r="A308" s="63"/>
      <c r="B308" s="64"/>
      <c r="C308" s="63"/>
      <c r="D308" s="63"/>
    </row>
    <row r="309" spans="1:4">
      <c r="A309" s="67"/>
      <c r="B309" s="64"/>
      <c r="C309" s="63"/>
      <c r="D309" s="63"/>
    </row>
    <row r="310" spans="1:4">
      <c r="A310" s="63"/>
      <c r="B310" s="64"/>
      <c r="C310" s="63"/>
      <c r="D310" s="63"/>
    </row>
    <row r="311" spans="1:4">
      <c r="A311" s="67"/>
      <c r="B311" s="64"/>
      <c r="C311" s="63"/>
      <c r="D311" s="63"/>
    </row>
    <row r="312" spans="1:4">
      <c r="A312" s="63"/>
      <c r="B312" s="64"/>
      <c r="C312" s="63"/>
      <c r="D312" s="63"/>
    </row>
    <row r="313" spans="1:4">
      <c r="A313" s="63"/>
      <c r="B313" s="64"/>
      <c r="C313" s="63"/>
      <c r="D313" s="63"/>
    </row>
    <row r="314" spans="1:4">
      <c r="A314" s="67"/>
      <c r="B314" s="64"/>
      <c r="C314" s="64"/>
      <c r="D314" s="63"/>
    </row>
    <row r="315" spans="1:4">
      <c r="A315" s="67"/>
      <c r="B315" s="64"/>
      <c r="C315" s="64"/>
      <c r="D315" s="63"/>
    </row>
    <row r="316" spans="1:4">
      <c r="A316" s="67"/>
      <c r="B316" s="64"/>
      <c r="C316" s="64"/>
      <c r="D316" s="63"/>
    </row>
    <row r="317" spans="1:4">
      <c r="A317" s="67"/>
      <c r="B317" s="64"/>
      <c r="C317" s="64"/>
      <c r="D317" s="63"/>
    </row>
    <row r="318" spans="1:4">
      <c r="A318" s="67"/>
      <c r="B318" s="64"/>
      <c r="C318" s="64"/>
      <c r="D318" s="63"/>
    </row>
    <row r="319" spans="1:4">
      <c r="A319" s="65"/>
      <c r="B319" s="64"/>
      <c r="C319" s="63"/>
      <c r="D319" s="63"/>
    </row>
    <row r="320" spans="1:4">
      <c r="A320" s="63"/>
      <c r="B320" s="66"/>
      <c r="C320" s="66"/>
      <c r="D320" s="66"/>
    </row>
    <row r="321" spans="1:4">
      <c r="A321" s="63"/>
      <c r="B321" s="64"/>
      <c r="C321" s="63"/>
      <c r="D321" s="63"/>
    </row>
    <row r="322" spans="1:4">
      <c r="A322" s="63"/>
      <c r="B322" s="64"/>
      <c r="C322" s="63"/>
      <c r="D322" s="63"/>
    </row>
    <row r="323" spans="1:4">
      <c r="A323" s="63"/>
      <c r="B323" s="64"/>
      <c r="C323" s="63"/>
      <c r="D323" s="63"/>
    </row>
    <row r="324" spans="1:4">
      <c r="A324" s="63"/>
      <c r="B324" s="64"/>
      <c r="C324" s="63"/>
      <c r="D324" s="63"/>
    </row>
    <row r="325" spans="1:4">
      <c r="A325" s="63"/>
      <c r="B325" s="64"/>
      <c r="C325" s="63"/>
      <c r="D325" s="63"/>
    </row>
    <row r="326" spans="1:4">
      <c r="A326" s="63"/>
      <c r="B326" s="64"/>
      <c r="C326" s="63"/>
      <c r="D326" s="63"/>
    </row>
    <row r="327" spans="1:4">
      <c r="A327" s="63"/>
      <c r="B327" s="64"/>
      <c r="C327" s="63"/>
      <c r="D327" s="63"/>
    </row>
    <row r="328" spans="1:4">
      <c r="A328" s="63"/>
      <c r="B328" s="64"/>
      <c r="C328" s="63"/>
      <c r="D328" s="63"/>
    </row>
    <row r="329" spans="1:4">
      <c r="A329" s="63"/>
      <c r="B329" s="64"/>
      <c r="C329" s="63"/>
      <c r="D329" s="63"/>
    </row>
    <row r="330" spans="1:4">
      <c r="A330" s="63"/>
      <c r="B330" s="64"/>
      <c r="C330" s="63"/>
      <c r="D330" s="63"/>
    </row>
    <row r="331" spans="1:4">
      <c r="A331" s="63"/>
      <c r="B331" s="64"/>
      <c r="C331" s="63"/>
      <c r="D331" s="63"/>
    </row>
    <row r="332" spans="1:4">
      <c r="A332" s="63"/>
      <c r="B332" s="64"/>
      <c r="C332" s="63"/>
      <c r="D332" s="63"/>
    </row>
    <row r="333" spans="1:4">
      <c r="A333" s="65"/>
      <c r="B333" s="64"/>
      <c r="C333" s="63"/>
      <c r="D333" s="63"/>
    </row>
    <row r="334" spans="1:4">
      <c r="A334" s="65"/>
      <c r="B334" s="66"/>
      <c r="C334" s="65"/>
      <c r="D334" s="63"/>
    </row>
    <row r="335" spans="1:4">
      <c r="A335" s="63"/>
      <c r="B335" s="66"/>
      <c r="C335" s="65"/>
      <c r="D335" s="63"/>
    </row>
    <row r="336" spans="1:4">
      <c r="A336" s="63"/>
      <c r="B336" s="64"/>
      <c r="C336" s="63"/>
      <c r="D336" s="63"/>
    </row>
    <row r="337" spans="1:4">
      <c r="A337" s="63"/>
      <c r="B337" s="64"/>
      <c r="C337" s="63"/>
      <c r="D337" s="63"/>
    </row>
    <row r="338" spans="1:4">
      <c r="A338" s="65"/>
      <c r="B338" s="64"/>
      <c r="C338" s="63"/>
      <c r="D338" s="63"/>
    </row>
    <row r="339" spans="1:4">
      <c r="A339" s="65"/>
      <c r="B339" s="66"/>
      <c r="C339" s="65"/>
      <c r="D339" s="65"/>
    </row>
    <row r="340" spans="1:4">
      <c r="A340" s="65"/>
      <c r="B340" s="66"/>
      <c r="C340" s="65"/>
      <c r="D340" s="65"/>
    </row>
    <row r="341" spans="1:4">
      <c r="A341" s="65"/>
      <c r="B341" s="64"/>
      <c r="C341" s="63"/>
      <c r="D341" s="63"/>
    </row>
    <row r="342" spans="1:4">
      <c r="A342" s="65"/>
      <c r="B342" s="64"/>
      <c r="C342" s="63"/>
      <c r="D342" s="63"/>
    </row>
    <row r="343" spans="1:4">
      <c r="A343" s="63"/>
      <c r="B343" s="64"/>
      <c r="C343" s="63"/>
      <c r="D343" s="63"/>
    </row>
    <row r="344" spans="1:4">
      <c r="A344" s="65"/>
      <c r="B344" s="64"/>
      <c r="C344" s="63"/>
      <c r="D344" s="63"/>
    </row>
    <row r="345" spans="1:4">
      <c r="A345" s="63"/>
      <c r="B345" s="66"/>
      <c r="C345" s="65"/>
      <c r="D345" s="65"/>
    </row>
    <row r="346" spans="1:4">
      <c r="A346" s="63"/>
      <c r="B346" s="64"/>
      <c r="C346" s="63"/>
      <c r="D346" s="63"/>
    </row>
    <row r="347" spans="1:4">
      <c r="A347" s="67"/>
      <c r="B347" s="64"/>
      <c r="C347" s="64"/>
      <c r="D347" s="63"/>
    </row>
    <row r="348" spans="1:4">
      <c r="A348" s="67"/>
      <c r="B348" s="64"/>
      <c r="C348" s="64"/>
      <c r="D348" s="64"/>
    </row>
    <row r="349" spans="1:4">
      <c r="A349" s="67"/>
      <c r="B349" s="64"/>
      <c r="C349" s="63"/>
      <c r="D349" s="63"/>
    </row>
    <row r="350" spans="1:4">
      <c r="A350" s="67"/>
      <c r="B350" s="64"/>
      <c r="C350" s="63"/>
      <c r="D350" s="63"/>
    </row>
    <row r="351" spans="1:4">
      <c r="A351" s="67"/>
      <c r="B351" s="64"/>
      <c r="C351" s="64"/>
      <c r="D351" s="64"/>
    </row>
    <row r="352" spans="1:4">
      <c r="A352" s="63"/>
      <c r="B352" s="64"/>
      <c r="C352" s="63"/>
      <c r="D352" s="63"/>
    </row>
    <row r="353" spans="1:4">
      <c r="A353" s="63"/>
      <c r="B353" s="64"/>
      <c r="C353" s="63"/>
      <c r="D353" s="63"/>
    </row>
    <row r="354" spans="1:4">
      <c r="A354" s="67"/>
      <c r="B354" s="64"/>
      <c r="C354" s="63"/>
      <c r="D354" s="63"/>
    </row>
    <row r="355" spans="1:4">
      <c r="A355" s="67"/>
      <c r="B355" s="64"/>
      <c r="C355" s="64"/>
      <c r="D355" s="64"/>
    </row>
    <row r="356" spans="1:4">
      <c r="A356" s="67"/>
      <c r="B356" s="68"/>
      <c r="C356" s="64"/>
      <c r="D356" s="63"/>
    </row>
    <row r="357" spans="1:4">
      <c r="A357" s="67"/>
      <c r="B357" s="68"/>
      <c r="C357" s="64"/>
      <c r="D357" s="63"/>
    </row>
    <row r="358" spans="1:4">
      <c r="A358" s="67"/>
      <c r="B358" s="68"/>
      <c r="C358" s="64"/>
      <c r="D358" s="63"/>
    </row>
    <row r="359" spans="1:4">
      <c r="A359" s="67"/>
      <c r="B359" s="64"/>
      <c r="C359" s="64"/>
      <c r="D359" s="63"/>
    </row>
    <row r="360" spans="1:4">
      <c r="A360" s="67"/>
      <c r="B360" s="64"/>
      <c r="C360" s="64"/>
      <c r="D360" s="64"/>
    </row>
    <row r="361" spans="1:4">
      <c r="A361" s="67"/>
      <c r="B361" s="64"/>
      <c r="C361" s="64"/>
      <c r="D361" s="63"/>
    </row>
    <row r="362" spans="1:4">
      <c r="A362" s="63"/>
      <c r="B362" s="64"/>
      <c r="C362" s="64"/>
      <c r="D362" s="63"/>
    </row>
    <row r="363" spans="1:4">
      <c r="A363" s="63"/>
      <c r="B363" s="64"/>
      <c r="C363" s="64"/>
      <c r="D363" s="63"/>
    </row>
    <row r="364" spans="1:4">
      <c r="A364" s="63"/>
      <c r="B364" s="64"/>
      <c r="C364" s="64"/>
      <c r="D364" s="64"/>
    </row>
    <row r="365" spans="1:4">
      <c r="A365" s="63"/>
      <c r="B365" s="64"/>
      <c r="C365" s="63"/>
      <c r="D365" s="63"/>
    </row>
    <row r="366" spans="1:4">
      <c r="A366" s="63"/>
      <c r="B366" s="64"/>
      <c r="C366" s="63"/>
      <c r="D366" s="63"/>
    </row>
    <row r="367" spans="1:4">
      <c r="A367" s="63"/>
      <c r="B367" s="64"/>
      <c r="C367" s="63"/>
      <c r="D367" s="63"/>
    </row>
    <row r="368" spans="1:4">
      <c r="A368" s="67"/>
      <c r="B368" s="64"/>
      <c r="C368" s="63"/>
      <c r="D368" s="63"/>
    </row>
    <row r="369" spans="1:4">
      <c r="A369" s="67"/>
      <c r="B369" s="64"/>
      <c r="C369" s="64"/>
      <c r="D369" s="64"/>
    </row>
    <row r="370" spans="1:4">
      <c r="A370" s="67"/>
      <c r="B370" s="64"/>
      <c r="C370" s="69"/>
      <c r="D370" s="63"/>
    </row>
    <row r="371" spans="1:4">
      <c r="A371" s="63"/>
      <c r="B371" s="64"/>
      <c r="C371" s="64"/>
      <c r="D371" s="63"/>
    </row>
    <row r="372" spans="1:4">
      <c r="A372" s="65"/>
      <c r="B372" s="64"/>
      <c r="C372" s="63"/>
      <c r="D372" s="63"/>
    </row>
    <row r="373" spans="1:4">
      <c r="A373" s="9"/>
      <c r="B373" s="66"/>
      <c r="C373" s="66"/>
      <c r="D373" s="66"/>
    </row>
    <row r="374" spans="1:4">
      <c r="A374" s="9"/>
      <c r="B374" s="8"/>
      <c r="C374" s="9"/>
      <c r="D374" s="9"/>
    </row>
    <row r="375" spans="1:4">
      <c r="A375" s="9"/>
      <c r="B375" s="8"/>
      <c r="C375" s="9"/>
      <c r="D375" s="9"/>
    </row>
    <row r="376" spans="1:4">
      <c r="A376" s="9"/>
      <c r="B376" s="8"/>
      <c r="C376" s="9"/>
      <c r="D376" s="9"/>
    </row>
    <row r="377" spans="1:4">
      <c r="A377" s="9"/>
      <c r="B377" s="8"/>
      <c r="C377" s="9"/>
      <c r="D377" s="9"/>
    </row>
    <row r="378" spans="1:4">
      <c r="A378" s="9"/>
      <c r="B378" s="8"/>
      <c r="C378" s="9"/>
      <c r="D378" s="9"/>
    </row>
    <row r="379" spans="1:4">
      <c r="A379" s="9"/>
      <c r="B379" s="8"/>
      <c r="C379" s="9"/>
      <c r="D379" s="9"/>
    </row>
    <row r="380" spans="1:4">
      <c r="A380" s="9"/>
      <c r="B380" s="8"/>
      <c r="C380" s="9"/>
      <c r="D380" s="9"/>
    </row>
    <row r="381" spans="1:4">
      <c r="A381" s="9"/>
      <c r="B381" s="8"/>
      <c r="C381" s="9"/>
      <c r="D381" s="9"/>
    </row>
    <row r="382" spans="1:4">
      <c r="A382" s="9"/>
      <c r="B382" s="8"/>
      <c r="C382" s="9"/>
      <c r="D382" s="9"/>
    </row>
    <row r="383" spans="1:4">
      <c r="A383" s="9"/>
      <c r="B383" s="8"/>
      <c r="C383" s="9"/>
      <c r="D383" s="9"/>
    </row>
    <row r="384" spans="1:4">
      <c r="A384" s="9"/>
      <c r="B384" s="8"/>
      <c r="C384" s="9"/>
      <c r="D384" s="9"/>
    </row>
    <row r="385" spans="1:4">
      <c r="A385" s="9"/>
      <c r="B385" s="8"/>
      <c r="C385" s="9"/>
      <c r="D385" s="9"/>
    </row>
    <row r="386" spans="1:4">
      <c r="A386" s="9"/>
      <c r="B386" s="8"/>
      <c r="C386" s="9"/>
      <c r="D386" s="9"/>
    </row>
    <row r="387" spans="1:4">
      <c r="A387" s="9"/>
      <c r="B387" s="8"/>
      <c r="C387" s="9"/>
      <c r="D387" s="9"/>
    </row>
    <row r="388" spans="1:4">
      <c r="A388" s="9"/>
      <c r="B388" s="8"/>
      <c r="C388" s="9"/>
      <c r="D388" s="9"/>
    </row>
    <row r="389" spans="1:4">
      <c r="A389" s="9"/>
      <c r="B389" s="8"/>
      <c r="C389" s="9"/>
      <c r="D389" s="9"/>
    </row>
    <row r="390" spans="1:4">
      <c r="A390" s="9"/>
      <c r="B390" s="8"/>
      <c r="C390" s="9"/>
      <c r="D390" s="9"/>
    </row>
    <row r="391" spans="1:4">
      <c r="A391" s="9"/>
      <c r="B391" s="8"/>
      <c r="C391" s="9"/>
      <c r="D391" s="9"/>
    </row>
    <row r="392" spans="1:4">
      <c r="A392" s="9"/>
      <c r="B392" s="8"/>
      <c r="C392" s="9"/>
      <c r="D392" s="9"/>
    </row>
    <row r="393" spans="1:4">
      <c r="A393" s="9"/>
      <c r="B393" s="8"/>
      <c r="C393" s="9"/>
      <c r="D393" s="9"/>
    </row>
    <row r="394" spans="1:4">
      <c r="A394" s="9"/>
      <c r="B394" s="8"/>
      <c r="C394" s="9"/>
      <c r="D394" s="9"/>
    </row>
    <row r="395" spans="1:4">
      <c r="A395" s="9"/>
      <c r="B395" s="8"/>
      <c r="C395" s="9"/>
      <c r="D395" s="9"/>
    </row>
    <row r="396" spans="1:4">
      <c r="A396" s="9"/>
      <c r="B396" s="8"/>
      <c r="C396" s="9"/>
      <c r="D396" s="9"/>
    </row>
    <row r="397" spans="1:4">
      <c r="A397" s="9"/>
      <c r="B397" s="8"/>
      <c r="C397" s="9"/>
      <c r="D397" s="9"/>
    </row>
    <row r="398" spans="1:4">
      <c r="A398" s="9"/>
      <c r="B398" s="8"/>
      <c r="C398" s="9"/>
      <c r="D398" s="9"/>
    </row>
    <row r="399" spans="1:4">
      <c r="A399" s="9"/>
      <c r="B399" s="8"/>
      <c r="C399" s="9"/>
      <c r="D399" s="9"/>
    </row>
    <row r="400" spans="1:4">
      <c r="A400" s="9"/>
      <c r="B400" s="8"/>
      <c r="C400" s="9"/>
      <c r="D400" s="9"/>
    </row>
    <row r="401" spans="1:4">
      <c r="A401" s="9"/>
      <c r="B401" s="8"/>
      <c r="C401" s="9"/>
      <c r="D401" s="9"/>
    </row>
    <row r="402" spans="1:4">
      <c r="A402" s="9"/>
      <c r="B402" s="8"/>
      <c r="C402" s="9"/>
      <c r="D402" s="9"/>
    </row>
    <row r="403" spans="1:4">
      <c r="A403" s="9"/>
      <c r="B403" s="8"/>
      <c r="C403" s="9"/>
      <c r="D403" s="9"/>
    </row>
    <row r="404" spans="1:4">
      <c r="A404" s="9"/>
      <c r="B404" s="8"/>
      <c r="C404" s="9"/>
      <c r="D404" s="9"/>
    </row>
    <row r="405" spans="1:4">
      <c r="A405" s="9"/>
      <c r="B405" s="8"/>
      <c r="C405" s="9"/>
      <c r="D405" s="9"/>
    </row>
    <row r="406" spans="1:4">
      <c r="A406" s="9"/>
      <c r="B406" s="8"/>
      <c r="C406" s="9"/>
      <c r="D406" s="9"/>
    </row>
    <row r="407" spans="1:4">
      <c r="A407" s="9"/>
      <c r="B407" s="8"/>
      <c r="C407" s="9"/>
      <c r="D407" s="9"/>
    </row>
    <row r="408" spans="1:4">
      <c r="A408" s="9"/>
      <c r="B408" s="8"/>
      <c r="C408" s="9"/>
      <c r="D408" s="9"/>
    </row>
    <row r="409" spans="1:4">
      <c r="A409" s="9"/>
      <c r="B409" s="8"/>
      <c r="C409" s="9"/>
      <c r="D409" s="9"/>
    </row>
    <row r="410" spans="1:4">
      <c r="A410" s="9"/>
      <c r="B410" s="8"/>
      <c r="C410" s="9"/>
      <c r="D410" s="9"/>
    </row>
    <row r="411" spans="1:4">
      <c r="A411" s="9"/>
      <c r="B411" s="8"/>
      <c r="C411" s="9"/>
      <c r="D411" s="9"/>
    </row>
    <row r="412" spans="1:4">
      <c r="A412" s="9"/>
      <c r="B412" s="8"/>
      <c r="C412" s="9"/>
      <c r="D412" s="9"/>
    </row>
    <row r="413" spans="1:4">
      <c r="A413" s="9"/>
      <c r="B413" s="8"/>
      <c r="C413" s="9"/>
      <c r="D413" s="9"/>
    </row>
    <row r="414" spans="1:4">
      <c r="A414" s="9"/>
      <c r="B414" s="8"/>
      <c r="C414" s="9"/>
      <c r="D414" s="9"/>
    </row>
    <row r="415" spans="1:4">
      <c r="B415" s="8"/>
      <c r="C415" s="9"/>
      <c r="D415" s="9"/>
    </row>
  </sheetData>
  <mergeCells count="6">
    <mergeCell ref="J284:K284"/>
    <mergeCell ref="F289:I289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r:id="rId1"/>
  <headerFooter alignWithMargins="0"/>
  <rowBreaks count="6" manualBreakCount="6">
    <brk id="61" max="3" man="1"/>
    <brk id="93" max="4" man="1"/>
    <brk id="154" max="16383" man="1"/>
    <brk id="179" max="16383" man="1"/>
    <brk id="224" max="16383" man="1"/>
    <brk id="28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69"/>
  <sheetViews>
    <sheetView view="pageBreakPreview" topLeftCell="A3" zoomScaleSheetLayoutView="100" workbookViewId="0">
      <selection activeCell="A3" sqref="A3:D3"/>
    </sheetView>
  </sheetViews>
  <sheetFormatPr defaultRowHeight="12.75"/>
  <cols>
    <col min="1" max="1" width="52.5703125" customWidth="1"/>
    <col min="2" max="2" width="14.42578125" customWidth="1"/>
    <col min="3" max="4" width="13.140625" customWidth="1"/>
    <col min="5" max="5" width="14.7109375" bestFit="1" customWidth="1"/>
  </cols>
  <sheetData>
    <row r="1" spans="1:5">
      <c r="A1" s="487" t="s">
        <v>61</v>
      </c>
      <c r="B1" s="472"/>
      <c r="C1" s="472"/>
      <c r="D1" s="472"/>
    </row>
    <row r="2" spans="1:5">
      <c r="A2" s="487" t="s">
        <v>562</v>
      </c>
      <c r="B2" s="472"/>
      <c r="C2" s="472"/>
      <c r="D2" s="472"/>
    </row>
    <row r="3" spans="1:5" ht="27.75" customHeight="1">
      <c r="A3" s="488" t="s">
        <v>631</v>
      </c>
      <c r="B3" s="489"/>
      <c r="C3" s="488"/>
      <c r="D3" s="488"/>
    </row>
    <row r="4" spans="1:5">
      <c r="A4" s="1"/>
      <c r="B4" s="2"/>
      <c r="C4" s="480" t="s">
        <v>454</v>
      </c>
      <c r="D4" s="480"/>
    </row>
    <row r="5" spans="1:5" ht="13.5" thickBot="1">
      <c r="A5" s="1"/>
      <c r="B5" s="2"/>
      <c r="C5" s="486" t="s">
        <v>457</v>
      </c>
      <c r="D5" s="486"/>
    </row>
    <row r="6" spans="1:5" ht="13.5" thickBot="1">
      <c r="A6" s="481" t="s">
        <v>160</v>
      </c>
      <c r="B6" s="482"/>
      <c r="C6" s="482"/>
      <c r="D6" s="482"/>
      <c r="E6" s="483"/>
    </row>
    <row r="7" spans="1:5">
      <c r="A7" s="174" t="s">
        <v>32</v>
      </c>
      <c r="B7" s="175" t="s">
        <v>28</v>
      </c>
      <c r="C7" s="176"/>
      <c r="D7" s="177" t="s">
        <v>29</v>
      </c>
      <c r="E7" s="484" t="s">
        <v>153</v>
      </c>
    </row>
    <row r="8" spans="1:5" ht="13.5" thickBot="1">
      <c r="A8" s="15"/>
      <c r="B8" s="25" t="s">
        <v>71</v>
      </c>
      <c r="C8" s="16" t="s">
        <v>30</v>
      </c>
      <c r="D8" s="144"/>
      <c r="E8" s="485"/>
    </row>
    <row r="9" spans="1:5">
      <c r="A9" s="9"/>
      <c r="B9" s="172"/>
      <c r="C9" s="173"/>
      <c r="D9" s="171"/>
      <c r="E9" s="178"/>
    </row>
    <row r="10" spans="1:5">
      <c r="A10" s="154" t="s">
        <v>33</v>
      </c>
      <c r="B10" s="155">
        <f>SUM(B11:B13)</f>
        <v>93167</v>
      </c>
      <c r="C10" s="155">
        <f>SUM(C11:C13)</f>
        <v>173637</v>
      </c>
      <c r="D10" s="158">
        <f>SUM(D11:D13)</f>
        <v>0</v>
      </c>
      <c r="E10" s="161"/>
    </row>
    <row r="11" spans="1:5">
      <c r="A11" s="18" t="s">
        <v>148</v>
      </c>
      <c r="B11" s="26">
        <v>45720</v>
      </c>
      <c r="C11" s="26">
        <f>B11+121+34+100+19511+29786+6170+173+318+1275+272</f>
        <v>103480</v>
      </c>
      <c r="D11" s="153"/>
      <c r="E11" s="160"/>
    </row>
    <row r="12" spans="1:5">
      <c r="A12" s="18" t="s">
        <v>149</v>
      </c>
      <c r="B12" s="26">
        <v>8054</v>
      </c>
      <c r="C12" s="26">
        <f>B12+5+24+2146+3277+679+38+70+281+27+66</f>
        <v>14667</v>
      </c>
      <c r="D12" s="153"/>
      <c r="E12" s="160"/>
    </row>
    <row r="13" spans="1:5">
      <c r="A13" s="139" t="s">
        <v>150</v>
      </c>
      <c r="B13" s="26">
        <v>39393</v>
      </c>
      <c r="C13" s="26">
        <f>B13+282+30+140+2628+477+400+476+5204+3669+2791</f>
        <v>55490</v>
      </c>
      <c r="D13" s="153"/>
      <c r="E13" s="160"/>
    </row>
    <row r="14" spans="1:5">
      <c r="A14" s="167"/>
      <c r="B14" s="168"/>
      <c r="C14" s="168"/>
      <c r="D14" s="169"/>
      <c r="E14" s="170"/>
    </row>
    <row r="15" spans="1:5">
      <c r="A15" s="156" t="s">
        <v>34</v>
      </c>
      <c r="B15" s="29">
        <v>15314</v>
      </c>
      <c r="C15" s="29">
        <v>15314</v>
      </c>
      <c r="D15" s="158"/>
      <c r="E15" s="161"/>
    </row>
    <row r="16" spans="1:5">
      <c r="A16" s="156" t="s">
        <v>35</v>
      </c>
      <c r="B16" s="29">
        <v>10914</v>
      </c>
      <c r="C16" s="29">
        <f>B16+11588+19976+320+2700+1660+1166+4319</f>
        <v>52643</v>
      </c>
      <c r="D16" s="158"/>
      <c r="E16" s="161"/>
    </row>
    <row r="17" spans="1:5">
      <c r="A17" s="156" t="s">
        <v>161</v>
      </c>
      <c r="B17" s="29">
        <v>801</v>
      </c>
      <c r="C17" s="29">
        <f>B17+2098</f>
        <v>2899</v>
      </c>
      <c r="D17" s="158"/>
      <c r="E17" s="161"/>
    </row>
    <row r="18" spans="1:5">
      <c r="A18" s="179"/>
      <c r="B18" s="180"/>
      <c r="C18" s="180"/>
      <c r="D18" s="180"/>
      <c r="E18" s="181"/>
    </row>
    <row r="19" spans="1:5">
      <c r="A19" s="156" t="s">
        <v>52</v>
      </c>
      <c r="B19" s="29">
        <f>B20+B24+B29</f>
        <v>76837</v>
      </c>
      <c r="C19" s="29">
        <f>C20+C24+C29</f>
        <v>83901</v>
      </c>
      <c r="D19" s="147">
        <f>D20+D24+D29</f>
        <v>0</v>
      </c>
      <c r="E19" s="161"/>
    </row>
    <row r="20" spans="1:5" s="104" customFormat="1">
      <c r="A20" s="83" t="s">
        <v>53</v>
      </c>
      <c r="B20" s="82">
        <f>SUM(B21:B22)</f>
        <v>477</v>
      </c>
      <c r="C20" s="82">
        <f>SUM(C21:C23)</f>
        <v>843</v>
      </c>
      <c r="D20" s="122">
        <f>SUM(D21:D22)</f>
        <v>0</v>
      </c>
      <c r="E20" s="160"/>
    </row>
    <row r="21" spans="1:5">
      <c r="A21" s="18" t="s">
        <v>334</v>
      </c>
      <c r="B21" s="48">
        <v>272</v>
      </c>
      <c r="C21" s="48">
        <v>272</v>
      </c>
      <c r="D21" s="153"/>
      <c r="E21" s="160"/>
    </row>
    <row r="22" spans="1:5">
      <c r="A22" s="18" t="s">
        <v>120</v>
      </c>
      <c r="B22" s="48">
        <v>205</v>
      </c>
      <c r="C22" s="48">
        <v>205</v>
      </c>
      <c r="D22" s="153"/>
      <c r="E22" s="160"/>
    </row>
    <row r="23" spans="1:5">
      <c r="A23" s="18" t="s">
        <v>600</v>
      </c>
      <c r="B23" s="48"/>
      <c r="C23" s="48">
        <f>306+60</f>
        <v>366</v>
      </c>
      <c r="D23" s="153"/>
      <c r="E23" s="160"/>
    </row>
    <row r="24" spans="1:5" s="104" customFormat="1">
      <c r="A24" s="83" t="s">
        <v>147</v>
      </c>
      <c r="B24" s="82">
        <f>SUM(B25:B28)</f>
        <v>75560</v>
      </c>
      <c r="C24" s="82">
        <f>SUM(C25:C28)</f>
        <v>82258</v>
      </c>
      <c r="D24" s="122">
        <f>SUM(D25:D28)</f>
        <v>0</v>
      </c>
      <c r="E24" s="160"/>
    </row>
    <row r="25" spans="1:5">
      <c r="A25" s="18" t="s">
        <v>80</v>
      </c>
      <c r="B25" s="26">
        <f>53510+988+743</f>
        <v>55241</v>
      </c>
      <c r="C25" s="26">
        <f>B25+2221+1682+192</f>
        <v>59336</v>
      </c>
      <c r="D25" s="153"/>
      <c r="E25" s="160"/>
    </row>
    <row r="26" spans="1:5" ht="15" customHeight="1">
      <c r="A26" s="139" t="s">
        <v>151</v>
      </c>
      <c r="B26" s="26">
        <v>500</v>
      </c>
      <c r="C26" s="26">
        <v>500</v>
      </c>
      <c r="D26" s="153"/>
      <c r="E26" s="160"/>
    </row>
    <row r="27" spans="1:5">
      <c r="A27" s="18" t="s">
        <v>81</v>
      </c>
      <c r="B27" s="105">
        <v>15222</v>
      </c>
      <c r="C27" s="48">
        <f>B27+2430+95+78</f>
        <v>17825</v>
      </c>
      <c r="D27" s="153"/>
      <c r="E27" s="160"/>
    </row>
    <row r="28" spans="1:5">
      <c r="A28" s="18" t="s">
        <v>82</v>
      </c>
      <c r="B28" s="48">
        <v>4597</v>
      </c>
      <c r="C28" s="48">
        <v>4597</v>
      </c>
      <c r="D28" s="153"/>
      <c r="E28" s="160"/>
    </row>
    <row r="29" spans="1:5" s="104" customFormat="1">
      <c r="A29" s="83" t="s">
        <v>152</v>
      </c>
      <c r="B29" s="82">
        <v>800</v>
      </c>
      <c r="C29" s="82">
        <v>800</v>
      </c>
      <c r="D29" s="131"/>
      <c r="E29" s="160"/>
    </row>
    <row r="30" spans="1:5" s="104" customFormat="1">
      <c r="A30" s="200"/>
      <c r="B30" s="187"/>
      <c r="C30" s="187"/>
      <c r="D30" s="187"/>
      <c r="E30" s="170"/>
    </row>
    <row r="31" spans="1:5">
      <c r="A31" s="149" t="s">
        <v>54</v>
      </c>
      <c r="B31" s="150">
        <f>B32+B38</f>
        <v>3328</v>
      </c>
      <c r="C31" s="150">
        <f>C32+C38</f>
        <v>5512</v>
      </c>
      <c r="D31" s="150">
        <f>D32+D39</f>
        <v>0</v>
      </c>
      <c r="E31" s="159"/>
    </row>
    <row r="32" spans="1:5" s="104" customFormat="1">
      <c r="A32" s="83" t="s">
        <v>68</v>
      </c>
      <c r="B32" s="82">
        <f>SUM(B33:B37)</f>
        <v>1528</v>
      </c>
      <c r="C32" s="82">
        <f>SUM(C33:C37)</f>
        <v>3712</v>
      </c>
      <c r="D32" s="122">
        <f>SUM(D33:D38)</f>
        <v>0</v>
      </c>
      <c r="E32" s="160"/>
    </row>
    <row r="33" spans="1:5">
      <c r="A33" s="18" t="s">
        <v>89</v>
      </c>
      <c r="B33" s="26">
        <v>1320</v>
      </c>
      <c r="C33" s="18">
        <v>1320</v>
      </c>
      <c r="D33" s="153"/>
      <c r="E33" s="160"/>
    </row>
    <row r="34" spans="1:5">
      <c r="A34" s="18" t="s">
        <v>90</v>
      </c>
      <c r="B34" s="26">
        <v>86</v>
      </c>
      <c r="C34" s="18">
        <v>86</v>
      </c>
      <c r="D34" s="153"/>
      <c r="E34" s="160"/>
    </row>
    <row r="35" spans="1:5">
      <c r="A35" s="18" t="s">
        <v>601</v>
      </c>
      <c r="B35" s="26"/>
      <c r="C35" s="18">
        <f>1284+900</f>
        <v>2184</v>
      </c>
      <c r="D35" s="153"/>
      <c r="E35" s="160"/>
    </row>
    <row r="36" spans="1:5">
      <c r="A36" s="18" t="s">
        <v>91</v>
      </c>
      <c r="B36" s="26">
        <v>62</v>
      </c>
      <c r="C36" s="18">
        <v>62</v>
      </c>
      <c r="D36" s="153"/>
      <c r="E36" s="160"/>
    </row>
    <row r="37" spans="1:5">
      <c r="A37" s="18" t="s">
        <v>519</v>
      </c>
      <c r="B37" s="26">
        <v>60</v>
      </c>
      <c r="C37" s="18">
        <v>60</v>
      </c>
      <c r="D37" s="153"/>
      <c r="E37" s="160"/>
    </row>
    <row r="38" spans="1:5">
      <c r="A38" s="83" t="s">
        <v>441</v>
      </c>
      <c r="B38" s="82">
        <f>SUM(B39:B41)</f>
        <v>1800</v>
      </c>
      <c r="C38" s="82">
        <f>SUM(C39:C41)</f>
        <v>1800</v>
      </c>
      <c r="D38" s="153"/>
      <c r="E38" s="160"/>
    </row>
    <row r="39" spans="1:5" s="104" customFormat="1">
      <c r="A39" s="18" t="s">
        <v>65</v>
      </c>
      <c r="B39" s="26">
        <v>1200</v>
      </c>
      <c r="C39" s="359">
        <v>1200</v>
      </c>
      <c r="D39" s="122">
        <f>SUM(D40:D42)</f>
        <v>0</v>
      </c>
      <c r="E39" s="160"/>
    </row>
    <row r="40" spans="1:5">
      <c r="A40" s="18" t="s">
        <v>66</v>
      </c>
      <c r="B40" s="26">
        <v>200</v>
      </c>
      <c r="C40" s="26">
        <v>200</v>
      </c>
      <c r="D40" s="153"/>
      <c r="E40" s="160"/>
    </row>
    <row r="41" spans="1:5">
      <c r="A41" s="18" t="s">
        <v>67</v>
      </c>
      <c r="B41" s="26">
        <v>400</v>
      </c>
      <c r="C41" s="94">
        <v>400</v>
      </c>
      <c r="D41" s="153"/>
      <c r="E41" s="160"/>
    </row>
    <row r="42" spans="1:5">
      <c r="A42" s="186"/>
      <c r="B42" s="168"/>
      <c r="C42" s="26"/>
      <c r="D42" s="153"/>
      <c r="E42" s="160"/>
    </row>
    <row r="43" spans="1:5">
      <c r="A43" s="149" t="s">
        <v>75</v>
      </c>
      <c r="B43" s="150">
        <f>SUM(B44:B45)</f>
        <v>84384</v>
      </c>
      <c r="C43" s="150">
        <f>SUM(C44:C45)</f>
        <v>85958</v>
      </c>
      <c r="D43" s="151">
        <f>SUM(D44:D44)</f>
        <v>0</v>
      </c>
      <c r="E43" s="170"/>
    </row>
    <row r="44" spans="1:5">
      <c r="A44" s="41" t="s">
        <v>79</v>
      </c>
      <c r="B44" s="48">
        <v>61562</v>
      </c>
      <c r="C44" s="359">
        <f>B44+1029</f>
        <v>62591</v>
      </c>
      <c r="D44" s="148"/>
      <c r="E44" s="159"/>
    </row>
    <row r="45" spans="1:5">
      <c r="A45" s="111" t="s">
        <v>526</v>
      </c>
      <c r="B45" s="48">
        <v>22822</v>
      </c>
      <c r="C45" s="359">
        <f>B45+299+246</f>
        <v>23367</v>
      </c>
      <c r="D45" s="19"/>
      <c r="E45" s="159"/>
    </row>
    <row r="46" spans="1:5">
      <c r="A46" s="188"/>
      <c r="B46" s="169"/>
      <c r="C46" s="187"/>
      <c r="D46" s="395"/>
      <c r="E46" s="160"/>
    </row>
    <row r="47" spans="1:5">
      <c r="A47" s="156" t="s">
        <v>62</v>
      </c>
      <c r="B47" s="29">
        <f>SUM(B48:B48)</f>
        <v>2000</v>
      </c>
      <c r="C47" s="29">
        <f>SUM(C48:C48)</f>
        <v>2000</v>
      </c>
      <c r="D47" s="29">
        <f>SUM(D48:D48)</f>
        <v>0</v>
      </c>
      <c r="E47" s="170"/>
    </row>
    <row r="48" spans="1:5">
      <c r="A48" s="18" t="s">
        <v>36</v>
      </c>
      <c r="B48" s="26">
        <v>2000</v>
      </c>
      <c r="C48" s="18">
        <v>2000</v>
      </c>
      <c r="D48" s="153"/>
      <c r="E48" s="160"/>
    </row>
    <row r="49" spans="1:5">
      <c r="A49" s="186"/>
      <c r="B49" s="168"/>
      <c r="C49" s="186"/>
      <c r="D49" s="169"/>
      <c r="E49" s="160"/>
    </row>
    <row r="50" spans="1:5">
      <c r="A50" s="156" t="s">
        <v>163</v>
      </c>
      <c r="B50" s="29">
        <f>B51+B54</f>
        <v>35601</v>
      </c>
      <c r="C50" s="29">
        <f>C51+C54</f>
        <v>91589</v>
      </c>
      <c r="D50" s="158">
        <v>0</v>
      </c>
      <c r="E50" s="170"/>
    </row>
    <row r="51" spans="1:5">
      <c r="A51" s="32" t="s">
        <v>37</v>
      </c>
      <c r="B51" s="26">
        <f>B52+B53</f>
        <v>18127</v>
      </c>
      <c r="C51" s="26">
        <f>C52+C53</f>
        <v>37296</v>
      </c>
      <c r="D51" s="148"/>
      <c r="E51" s="159"/>
    </row>
    <row r="52" spans="1:5">
      <c r="A52" s="32" t="s">
        <v>38</v>
      </c>
      <c r="B52" s="26">
        <v>13738</v>
      </c>
      <c r="C52" s="26">
        <f>B52+1500-988-287-960-673-1394+624+168</f>
        <v>11728</v>
      </c>
      <c r="D52" s="148"/>
      <c r="E52" s="160"/>
    </row>
    <row r="53" spans="1:5" ht="38.25">
      <c r="A53" s="138" t="s">
        <v>602</v>
      </c>
      <c r="B53" s="26">
        <v>4389</v>
      </c>
      <c r="C53" s="26">
        <f>B53+4813+7347+4813+3300+906</f>
        <v>25568</v>
      </c>
      <c r="D53" s="148"/>
      <c r="E53" s="160"/>
    </row>
    <row r="54" spans="1:5">
      <c r="A54" s="32" t="s">
        <v>39</v>
      </c>
      <c r="B54" s="26">
        <f>B56+B55</f>
        <v>17474</v>
      </c>
      <c r="C54" s="26">
        <f>C56+C55+C57</f>
        <v>54293</v>
      </c>
      <c r="D54" s="148"/>
      <c r="E54" s="160"/>
    </row>
    <row r="55" spans="1:5">
      <c r="A55" s="138" t="s">
        <v>159</v>
      </c>
      <c r="B55" s="26">
        <v>4007</v>
      </c>
      <c r="C55" s="26">
        <f>B55-548</f>
        <v>3459</v>
      </c>
      <c r="D55" s="148"/>
      <c r="E55" s="160"/>
    </row>
    <row r="56" spans="1:5">
      <c r="A56" s="32" t="s">
        <v>548</v>
      </c>
      <c r="B56" s="26">
        <v>13467</v>
      </c>
      <c r="C56" s="26">
        <v>13467</v>
      </c>
      <c r="D56" s="148"/>
      <c r="E56" s="160"/>
    </row>
    <row r="57" spans="1:5">
      <c r="A57" s="201" t="s">
        <v>603</v>
      </c>
      <c r="B57" s="168"/>
      <c r="C57" s="168">
        <v>37367</v>
      </c>
      <c r="D57" s="195"/>
      <c r="E57" s="160"/>
    </row>
    <row r="58" spans="1:5">
      <c r="A58" s="27" t="s">
        <v>503</v>
      </c>
      <c r="B58" s="19">
        <v>6243</v>
      </c>
      <c r="C58" s="27">
        <v>6243</v>
      </c>
      <c r="D58" s="148"/>
      <c r="E58" s="170"/>
    </row>
    <row r="59" spans="1:5">
      <c r="A59" s="194"/>
      <c r="B59" s="195"/>
      <c r="C59" s="194"/>
      <c r="D59" s="195"/>
      <c r="E59" s="160"/>
    </row>
    <row r="60" spans="1:5">
      <c r="A60" s="156" t="s">
        <v>63</v>
      </c>
      <c r="B60" s="29">
        <f>B10+B15+B16+B19+B31+B43+B47+B50+B58+B17</f>
        <v>328589</v>
      </c>
      <c r="C60" s="29">
        <f>C10+C15+C16+C19+C31+C43+C47+C50+C58+C17</f>
        <v>519696</v>
      </c>
      <c r="D60" s="29">
        <f>D10+D15+D16+D19+D31+D43+D47+D50+D58+D17</f>
        <v>0</v>
      </c>
      <c r="E60" s="170"/>
    </row>
    <row r="61" spans="1:5">
      <c r="A61" s="202"/>
      <c r="B61" s="401"/>
      <c r="C61" s="401"/>
      <c r="D61" s="401"/>
      <c r="E61" s="159"/>
    </row>
    <row r="62" spans="1:5">
      <c r="A62" s="398" t="s">
        <v>511</v>
      </c>
      <c r="B62" s="399">
        <v>61767</v>
      </c>
      <c r="C62" s="399">
        <v>62796</v>
      </c>
      <c r="D62" s="399"/>
      <c r="E62" s="203"/>
    </row>
    <row r="63" spans="1:5">
      <c r="A63" s="398" t="s">
        <v>583</v>
      </c>
      <c r="B63" s="399">
        <v>42012</v>
      </c>
      <c r="C63" s="399">
        <v>43757</v>
      </c>
      <c r="D63" s="399"/>
      <c r="E63" s="403"/>
    </row>
    <row r="64" spans="1:5">
      <c r="A64" s="400"/>
      <c r="B64" s="402"/>
      <c r="C64" s="402"/>
      <c r="D64" s="402"/>
      <c r="E64" s="403"/>
    </row>
    <row r="65" spans="1:5">
      <c r="A65" s="404" t="s">
        <v>76</v>
      </c>
      <c r="B65" s="405">
        <v>84384</v>
      </c>
      <c r="C65" s="405">
        <v>85958</v>
      </c>
      <c r="D65" s="399"/>
      <c r="E65" s="403"/>
    </row>
    <row r="66" spans="1:5">
      <c r="A66" s="205"/>
      <c r="B66" s="168"/>
      <c r="C66" s="168"/>
      <c r="D66" s="195"/>
      <c r="E66" s="204"/>
    </row>
    <row r="67" spans="1:5">
      <c r="A67" s="157" t="s">
        <v>77</v>
      </c>
      <c r="B67" s="150">
        <f>B60+B62+B63-B65</f>
        <v>347984</v>
      </c>
      <c r="C67" s="150">
        <f>C60+C62+C63-C65</f>
        <v>540291</v>
      </c>
      <c r="D67" s="150">
        <f>SUM(D60:D65)</f>
        <v>0</v>
      </c>
      <c r="E67" s="170"/>
    </row>
    <row r="68" spans="1:5">
      <c r="A68" s="1"/>
      <c r="B68" s="2"/>
      <c r="C68" s="1"/>
      <c r="D68" s="1"/>
      <c r="E68" s="159"/>
    </row>
    <row r="69" spans="1:5">
      <c r="A69" s="1"/>
      <c r="B69" s="2"/>
      <c r="C69" s="1"/>
      <c r="D69" s="1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rowBreaks count="1" manualBreakCount="1">
    <brk id="49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view="pageBreakPreview" zoomScaleSheetLayoutView="100" workbookViewId="0">
      <selection activeCell="A7" sqref="A7:E7"/>
    </sheetView>
  </sheetViews>
  <sheetFormatPr defaultRowHeight="12.75"/>
  <cols>
    <col min="1" max="1" width="52.28515625" customWidth="1"/>
    <col min="2" max="2" width="11.85546875" customWidth="1"/>
    <col min="3" max="4" width="12.140625" customWidth="1"/>
    <col min="5" max="5" width="10.7109375" customWidth="1"/>
  </cols>
  <sheetData>
    <row r="1" spans="1:5">
      <c r="A1" s="487" t="s">
        <v>61</v>
      </c>
      <c r="B1" s="472"/>
      <c r="C1" s="472"/>
      <c r="D1" s="472"/>
    </row>
    <row r="2" spans="1:5">
      <c r="A2" s="487" t="s">
        <v>562</v>
      </c>
      <c r="B2" s="472"/>
      <c r="C2" s="472"/>
      <c r="D2" s="472"/>
    </row>
    <row r="3" spans="1:5">
      <c r="A3" s="492"/>
      <c r="B3" s="477"/>
      <c r="C3" s="492"/>
      <c r="D3" s="492"/>
    </row>
    <row r="4" spans="1:5">
      <c r="A4" s="33"/>
      <c r="B4" s="34"/>
      <c r="C4" s="33"/>
      <c r="D4" s="33"/>
    </row>
    <row r="5" spans="1:5">
      <c r="A5" s="491" t="s">
        <v>58</v>
      </c>
      <c r="B5" s="472"/>
      <c r="C5" s="472"/>
      <c r="D5" s="472"/>
    </row>
    <row r="6" spans="1:5">
      <c r="A6" s="33"/>
      <c r="B6" s="34"/>
      <c r="C6" s="33"/>
      <c r="D6" s="33"/>
    </row>
    <row r="7" spans="1:5" ht="25.5" customHeight="1">
      <c r="A7" s="493" t="s">
        <v>632</v>
      </c>
      <c r="B7" s="493"/>
      <c r="C7" s="493"/>
      <c r="D7" s="493"/>
      <c r="E7" s="493"/>
    </row>
    <row r="8" spans="1:5">
      <c r="A8" s="473" t="s">
        <v>460</v>
      </c>
      <c r="B8" s="473"/>
      <c r="C8" s="473"/>
      <c r="D8" s="473"/>
      <c r="E8" s="473"/>
    </row>
    <row r="9" spans="1:5">
      <c r="A9" s="35" t="s">
        <v>64</v>
      </c>
      <c r="B9" s="36"/>
      <c r="C9" s="490" t="s">
        <v>455</v>
      </c>
      <c r="D9" s="490"/>
    </row>
    <row r="10" spans="1:5">
      <c r="A10" s="83" t="s">
        <v>40</v>
      </c>
      <c r="B10" s="48" t="s">
        <v>72</v>
      </c>
      <c r="C10" s="41" t="s">
        <v>164</v>
      </c>
      <c r="D10" s="41" t="s">
        <v>29</v>
      </c>
      <c r="E10" s="116" t="s">
        <v>153</v>
      </c>
    </row>
    <row r="11" spans="1:5">
      <c r="A11" s="162" t="s">
        <v>55</v>
      </c>
      <c r="B11" s="150">
        <f>SUM(B12+B13)</f>
        <v>0</v>
      </c>
      <c r="C11" s="150">
        <f>SUM(C12+C13)</f>
        <v>0</v>
      </c>
      <c r="D11" s="150">
        <f>SUM(D12+D13)</f>
        <v>0</v>
      </c>
      <c r="E11" s="161"/>
    </row>
    <row r="12" spans="1:5">
      <c r="A12" s="116" t="s">
        <v>552</v>
      </c>
      <c r="B12" s="48">
        <v>0</v>
      </c>
      <c r="C12" s="102"/>
      <c r="D12" s="102"/>
      <c r="E12" s="163"/>
    </row>
    <row r="13" spans="1:5">
      <c r="A13" s="116" t="s">
        <v>553</v>
      </c>
      <c r="B13" s="48">
        <v>0</v>
      </c>
      <c r="C13" s="102"/>
      <c r="D13" s="102"/>
      <c r="E13" s="163"/>
    </row>
    <row r="14" spans="1:5">
      <c r="A14" s="149" t="s">
        <v>83</v>
      </c>
      <c r="B14" s="150">
        <f>SUM(B15+B22)</f>
        <v>15471</v>
      </c>
      <c r="C14" s="150">
        <f>SUM(C15+C22)</f>
        <v>15314</v>
      </c>
      <c r="D14" s="150">
        <f>SUM(D15+D22)</f>
        <v>0</v>
      </c>
      <c r="E14" s="161"/>
    </row>
    <row r="15" spans="1:5">
      <c r="A15" s="83" t="s">
        <v>85</v>
      </c>
      <c r="B15" s="82">
        <f>SUM(B16:B21)</f>
        <v>10231</v>
      </c>
      <c r="C15" s="82">
        <f>SUM(C16:C21)</f>
        <v>10074</v>
      </c>
      <c r="D15" s="82">
        <f>SUM(D16:D18)</f>
        <v>0</v>
      </c>
      <c r="E15" s="206"/>
    </row>
    <row r="16" spans="1:5">
      <c r="A16" s="116" t="s">
        <v>461</v>
      </c>
      <c r="B16" s="48">
        <v>5000</v>
      </c>
      <c r="C16" s="48">
        <v>5000</v>
      </c>
      <c r="D16" s="48"/>
      <c r="E16" s="163"/>
    </row>
    <row r="17" spans="1:5">
      <c r="A17" s="116" t="s">
        <v>462</v>
      </c>
      <c r="B17" s="48">
        <v>816</v>
      </c>
      <c r="C17" s="41">
        <v>816</v>
      </c>
      <c r="D17" s="41"/>
      <c r="E17" s="163"/>
    </row>
    <row r="18" spans="1:5">
      <c r="A18" s="116" t="s">
        <v>463</v>
      </c>
      <c r="B18" s="48">
        <v>200</v>
      </c>
      <c r="C18" s="41">
        <v>200</v>
      </c>
      <c r="D18" s="41"/>
      <c r="E18" s="163"/>
    </row>
    <row r="19" spans="1:5">
      <c r="A19" s="116" t="s">
        <v>509</v>
      </c>
      <c r="B19" s="48">
        <v>1700</v>
      </c>
      <c r="C19" s="41">
        <v>1700</v>
      </c>
      <c r="D19" s="41"/>
      <c r="E19" s="163"/>
    </row>
    <row r="20" spans="1:5">
      <c r="A20" s="116" t="s">
        <v>464</v>
      </c>
      <c r="B20" s="407">
        <v>2385</v>
      </c>
      <c r="C20" s="41">
        <v>2228</v>
      </c>
      <c r="D20" s="41"/>
      <c r="E20" s="163"/>
    </row>
    <row r="21" spans="1:5">
      <c r="A21" s="116" t="s">
        <v>554</v>
      </c>
      <c r="B21" s="48">
        <v>130</v>
      </c>
      <c r="C21" s="41">
        <v>130</v>
      </c>
      <c r="D21" s="41"/>
      <c r="E21" s="163"/>
    </row>
    <row r="22" spans="1:5">
      <c r="A22" s="207" t="s">
        <v>155</v>
      </c>
      <c r="B22" s="208">
        <f>SUM(B23:B27)</f>
        <v>5240</v>
      </c>
      <c r="C22" s="208">
        <f>SUM(C23:C27)</f>
        <v>5240</v>
      </c>
      <c r="D22" s="208">
        <f>SUM(D23:D27)</f>
        <v>0</v>
      </c>
      <c r="E22" s="209"/>
    </row>
    <row r="23" spans="1:5">
      <c r="A23" s="116" t="s">
        <v>459</v>
      </c>
      <c r="B23" s="48">
        <v>1412</v>
      </c>
      <c r="C23" s="41">
        <v>1412</v>
      </c>
      <c r="D23" s="41"/>
      <c r="E23" s="163"/>
    </row>
    <row r="24" spans="1:5">
      <c r="A24" s="41" t="s">
        <v>84</v>
      </c>
      <c r="B24" s="48">
        <v>3428</v>
      </c>
      <c r="C24" s="102">
        <v>3428</v>
      </c>
      <c r="D24" s="102"/>
      <c r="E24" s="163"/>
    </row>
    <row r="25" spans="1:5">
      <c r="A25" s="41" t="s">
        <v>86</v>
      </c>
      <c r="B25" s="48"/>
      <c r="C25" s="41"/>
      <c r="D25" s="41"/>
      <c r="E25" s="163"/>
    </row>
    <row r="26" spans="1:5">
      <c r="A26" s="116" t="s">
        <v>87</v>
      </c>
      <c r="B26" s="48">
        <v>400</v>
      </c>
      <c r="C26" s="41">
        <v>400</v>
      </c>
      <c r="D26" s="41"/>
      <c r="E26" s="163"/>
    </row>
    <row r="27" spans="1:5">
      <c r="A27" s="41" t="s">
        <v>154</v>
      </c>
      <c r="B27" s="48">
        <v>0</v>
      </c>
      <c r="C27" s="48"/>
      <c r="D27" s="41"/>
      <c r="E27" s="163"/>
    </row>
    <row r="28" spans="1:5">
      <c r="A28" s="210"/>
      <c r="B28" s="169"/>
      <c r="C28" s="188"/>
      <c r="D28" s="188"/>
      <c r="E28" s="211"/>
    </row>
    <row r="29" spans="1:5">
      <c r="A29" s="149" t="s">
        <v>51</v>
      </c>
      <c r="B29" s="150">
        <f>SUM(B11+B14)</f>
        <v>15471</v>
      </c>
      <c r="C29" s="150">
        <f>SUM(C11+C14)</f>
        <v>15314</v>
      </c>
      <c r="D29" s="150">
        <f>SUM(D11+D14)</f>
        <v>0</v>
      </c>
      <c r="E29" s="161"/>
    </row>
    <row r="30" spans="1:5">
      <c r="A30" s="33"/>
      <c r="B30" s="34"/>
      <c r="C30" s="33"/>
      <c r="D30" s="33"/>
    </row>
    <row r="31" spans="1:5">
      <c r="A31" s="33"/>
      <c r="B31" s="34"/>
      <c r="C31" s="33"/>
      <c r="D31" s="33"/>
    </row>
    <row r="32" spans="1:5">
      <c r="A32" s="33"/>
      <c r="B32" s="34"/>
      <c r="C32" s="33"/>
      <c r="D32" s="33"/>
    </row>
  </sheetData>
  <mergeCells count="7">
    <mergeCell ref="C9:D9"/>
    <mergeCell ref="A5:D5"/>
    <mergeCell ref="A1:D1"/>
    <mergeCell ref="A2:D2"/>
    <mergeCell ref="A3:D3"/>
    <mergeCell ref="A8:E8"/>
    <mergeCell ref="A7:E7"/>
  </mergeCells>
  <phoneticPr fontId="5" type="noConversion"/>
  <pageMargins left="0.75" right="0.75" top="1" bottom="1" header="0.5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0"/>
  <sheetViews>
    <sheetView view="pageBreakPreview" zoomScaleSheetLayoutView="100" workbookViewId="0">
      <selection activeCell="A4" sqref="A4:D4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487" t="s">
        <v>61</v>
      </c>
      <c r="B1" s="472"/>
      <c r="C1" s="472"/>
      <c r="D1" s="472"/>
    </row>
    <row r="2" spans="1:4">
      <c r="A2" s="487" t="s">
        <v>562</v>
      </c>
      <c r="B2" s="472"/>
      <c r="C2" s="472"/>
      <c r="D2" s="472"/>
    </row>
    <row r="3" spans="1:4">
      <c r="A3" s="491" t="s">
        <v>59</v>
      </c>
      <c r="B3" s="472"/>
      <c r="C3" s="472"/>
      <c r="D3" s="472"/>
    </row>
    <row r="4" spans="1:4" ht="26.25" customHeight="1">
      <c r="A4" s="496" t="s">
        <v>633</v>
      </c>
      <c r="B4" s="468"/>
      <c r="C4" s="468"/>
      <c r="D4" s="468"/>
    </row>
    <row r="5" spans="1:4">
      <c r="A5" s="353"/>
      <c r="B5" s="351"/>
      <c r="C5" s="351"/>
      <c r="D5" s="351" t="s">
        <v>458</v>
      </c>
    </row>
    <row r="6" spans="1:4" ht="13.5" thickBot="1">
      <c r="A6" s="33"/>
      <c r="B6" s="34"/>
      <c r="C6" s="494" t="s">
        <v>455</v>
      </c>
      <c r="D6" s="495"/>
    </row>
    <row r="7" spans="1:4" ht="13.5" thickBot="1">
      <c r="A7" s="50" t="s">
        <v>41</v>
      </c>
      <c r="B7" s="87" t="s">
        <v>72</v>
      </c>
      <c r="C7" s="88" t="s">
        <v>42</v>
      </c>
      <c r="D7" s="89" t="s">
        <v>29</v>
      </c>
    </row>
    <row r="8" spans="1:4" ht="13.5" thickBot="1">
      <c r="A8" s="356" t="s">
        <v>466</v>
      </c>
      <c r="B8" s="99">
        <v>5800</v>
      </c>
      <c r="C8" s="99">
        <v>5800</v>
      </c>
      <c r="D8" s="98"/>
    </row>
    <row r="9" spans="1:4" ht="13.5" thickBot="1">
      <c r="A9" s="356" t="s">
        <v>467</v>
      </c>
      <c r="B9" s="99">
        <v>2000</v>
      </c>
      <c r="C9" s="99">
        <v>2000</v>
      </c>
      <c r="D9" s="100"/>
    </row>
    <row r="10" spans="1:4" ht="13.5" thickBot="1">
      <c r="A10" s="356" t="s">
        <v>604</v>
      </c>
      <c r="B10" s="99"/>
      <c r="C10" s="99">
        <v>32553</v>
      </c>
      <c r="D10" s="98"/>
    </row>
    <row r="11" spans="1:4" ht="13.5" thickBot="1">
      <c r="A11" s="463" t="s">
        <v>606</v>
      </c>
      <c r="B11" s="54">
        <v>421</v>
      </c>
      <c r="C11" s="54">
        <v>421</v>
      </c>
      <c r="D11" s="101"/>
    </row>
    <row r="12" spans="1:4" ht="13.5" thickBot="1">
      <c r="A12" s="357" t="s">
        <v>469</v>
      </c>
      <c r="B12" s="99">
        <v>13467</v>
      </c>
      <c r="C12" s="99">
        <v>13467</v>
      </c>
      <c r="D12" s="98"/>
    </row>
    <row r="13" spans="1:4">
      <c r="A13" s="287" t="s">
        <v>556</v>
      </c>
      <c r="B13" s="37">
        <v>8700</v>
      </c>
      <c r="C13" s="48">
        <v>8700</v>
      </c>
      <c r="D13" s="48"/>
    </row>
    <row r="14" spans="1:4">
      <c r="A14" s="136" t="s">
        <v>555</v>
      </c>
      <c r="B14" s="48"/>
      <c r="C14" s="48">
        <v>4937</v>
      </c>
      <c r="D14" s="82"/>
    </row>
    <row r="15" spans="1:4">
      <c r="A15" s="462" t="s">
        <v>605</v>
      </c>
      <c r="B15" s="64"/>
      <c r="C15" s="64">
        <f>39027+2700</f>
        <v>41727</v>
      </c>
      <c r="D15" s="66"/>
    </row>
    <row r="16" spans="1:4" ht="13.5" thickBot="1">
      <c r="A16" s="95" t="s">
        <v>468</v>
      </c>
      <c r="B16" s="56">
        <f>B8+B9+B10+B11+B12+B13+B14</f>
        <v>30388</v>
      </c>
      <c r="C16" s="56">
        <f>SUM(C8:C15)</f>
        <v>109605</v>
      </c>
      <c r="D16" s="56">
        <f>SUM(D8:D14)</f>
        <v>0</v>
      </c>
    </row>
    <row r="17" spans="1:4">
      <c r="A17" s="33"/>
      <c r="B17" s="34"/>
      <c r="C17" s="33"/>
      <c r="D17" s="33"/>
    </row>
    <row r="18" spans="1:4" ht="13.5" thickBot="1">
      <c r="A18" s="33"/>
      <c r="B18" s="34"/>
      <c r="C18" s="495" t="s">
        <v>43</v>
      </c>
      <c r="D18" s="495"/>
    </row>
    <row r="19" spans="1:4" ht="13.5" thickBot="1">
      <c r="A19" s="55" t="s">
        <v>44</v>
      </c>
      <c r="B19" s="57" t="s">
        <v>72</v>
      </c>
      <c r="C19" s="58" t="s">
        <v>42</v>
      </c>
      <c r="D19" s="59" t="s">
        <v>29</v>
      </c>
    </row>
    <row r="20" spans="1:4">
      <c r="A20" s="40" t="s">
        <v>60</v>
      </c>
      <c r="B20" s="60">
        <v>0</v>
      </c>
      <c r="C20" s="60">
        <f>SUM(C21:C21)</f>
        <v>0</v>
      </c>
      <c r="D20" s="60">
        <f>SUM(D21:D21)</f>
        <v>0</v>
      </c>
    </row>
    <row r="21" spans="1:4">
      <c r="A21" s="40" t="s">
        <v>92</v>
      </c>
      <c r="B21" s="39"/>
      <c r="C21" s="40"/>
      <c r="D21" s="40"/>
    </row>
    <row r="22" spans="1:4">
      <c r="A22" s="51" t="s">
        <v>45</v>
      </c>
      <c r="B22" s="19">
        <f>SUM(B23:B24)</f>
        <v>2000</v>
      </c>
      <c r="C22" s="19">
        <f>SUM(C23:C24)</f>
        <v>2000</v>
      </c>
      <c r="D22" s="19"/>
    </row>
    <row r="23" spans="1:4">
      <c r="A23" s="42" t="s">
        <v>46</v>
      </c>
      <c r="B23" s="37">
        <v>2000</v>
      </c>
      <c r="C23" s="38">
        <v>2000</v>
      </c>
      <c r="D23" s="61"/>
    </row>
    <row r="24" spans="1:4">
      <c r="A24" s="43" t="s">
        <v>47</v>
      </c>
      <c r="B24" s="44">
        <v>0</v>
      </c>
      <c r="C24" s="46"/>
      <c r="D24" s="47"/>
    </row>
    <row r="25" spans="1:4">
      <c r="A25" s="42" t="s">
        <v>69</v>
      </c>
      <c r="B25" s="60">
        <v>0</v>
      </c>
      <c r="C25" s="60">
        <v>0</v>
      </c>
      <c r="D25" s="60"/>
    </row>
    <row r="26" spans="1:4">
      <c r="A26" s="46" t="s">
        <v>93</v>
      </c>
      <c r="B26" s="49">
        <v>0</v>
      </c>
      <c r="C26" s="85">
        <v>0</v>
      </c>
      <c r="D26" s="30"/>
    </row>
    <row r="27" spans="1:4">
      <c r="A27" s="86" t="s">
        <v>48</v>
      </c>
      <c r="B27" s="19">
        <f>SUM(B28:B32)</f>
        <v>10800</v>
      </c>
      <c r="C27" s="19">
        <f>SUM(C28:C33)</f>
        <v>12460</v>
      </c>
      <c r="D27" s="19"/>
    </row>
    <row r="28" spans="1:4">
      <c r="A28" s="42" t="s">
        <v>70</v>
      </c>
      <c r="B28" s="70">
        <v>2000</v>
      </c>
      <c r="C28" s="70">
        <v>2000</v>
      </c>
      <c r="D28" s="37"/>
    </row>
    <row r="29" spans="1:4">
      <c r="A29" s="42" t="s">
        <v>88</v>
      </c>
      <c r="B29" s="92">
        <v>5800</v>
      </c>
      <c r="C29" s="92">
        <v>5800</v>
      </c>
      <c r="D29" s="93"/>
    </row>
    <row r="30" spans="1:4" hidden="1">
      <c r="A30" s="358" t="s">
        <v>472</v>
      </c>
      <c r="B30" s="92"/>
      <c r="C30" s="92"/>
      <c r="D30" s="93"/>
    </row>
    <row r="31" spans="1:4" hidden="1">
      <c r="A31" s="358" t="s">
        <v>471</v>
      </c>
      <c r="B31" s="92"/>
      <c r="C31" s="92"/>
      <c r="D31" s="93"/>
    </row>
    <row r="32" spans="1:4">
      <c r="A32" s="358" t="s">
        <v>470</v>
      </c>
      <c r="B32" s="92">
        <v>3000</v>
      </c>
      <c r="C32" s="92">
        <v>3000</v>
      </c>
      <c r="D32" s="93"/>
    </row>
    <row r="33" spans="1:4">
      <c r="A33" s="358" t="s">
        <v>607</v>
      </c>
      <c r="B33" s="92"/>
      <c r="C33" s="92">
        <v>1660</v>
      </c>
      <c r="D33" s="93"/>
    </row>
    <row r="34" spans="1:4">
      <c r="A34" s="51" t="s">
        <v>49</v>
      </c>
      <c r="B34" s="60">
        <f>SUM(B35:B35)</f>
        <v>0</v>
      </c>
      <c r="C34" s="60">
        <f>SUM(C35:C40)</f>
        <v>40738</v>
      </c>
      <c r="D34" s="60"/>
    </row>
    <row r="35" spans="1:4">
      <c r="A35" s="358" t="s">
        <v>609</v>
      </c>
      <c r="B35" s="53"/>
      <c r="C35" s="53">
        <v>5485</v>
      </c>
      <c r="D35" s="37"/>
    </row>
    <row r="36" spans="1:4">
      <c r="A36" s="358" t="s">
        <v>610</v>
      </c>
      <c r="B36" s="53"/>
      <c r="C36" s="53">
        <v>11588</v>
      </c>
      <c r="D36" s="37"/>
    </row>
    <row r="37" spans="1:4">
      <c r="A37" s="358" t="s">
        <v>611</v>
      </c>
      <c r="B37" s="53"/>
      <c r="C37" s="53">
        <v>19976</v>
      </c>
      <c r="D37" s="37"/>
    </row>
    <row r="38" spans="1:4">
      <c r="A38" s="358" t="s">
        <v>612</v>
      </c>
      <c r="B38" s="53"/>
      <c r="C38" s="53">
        <v>320</v>
      </c>
      <c r="D38" s="37"/>
    </row>
    <row r="39" spans="1:4">
      <c r="A39" s="358" t="s">
        <v>613</v>
      </c>
      <c r="B39" s="53"/>
      <c r="C39" s="53">
        <v>2700</v>
      </c>
      <c r="D39" s="37"/>
    </row>
    <row r="40" spans="1:4">
      <c r="A40" s="358" t="s">
        <v>614</v>
      </c>
      <c r="B40" s="53"/>
      <c r="C40" s="53">
        <v>669</v>
      </c>
      <c r="D40" s="37"/>
    </row>
    <row r="41" spans="1:4">
      <c r="A41" s="38" t="s">
        <v>56</v>
      </c>
      <c r="B41" s="19">
        <f>SUM(B42)</f>
        <v>114</v>
      </c>
      <c r="C41" s="19">
        <v>114</v>
      </c>
      <c r="D41" s="19"/>
    </row>
    <row r="42" spans="1:4">
      <c r="A42" s="45" t="s">
        <v>364</v>
      </c>
      <c r="B42" s="37">
        <v>114</v>
      </c>
      <c r="C42" s="465">
        <v>114</v>
      </c>
      <c r="D42" s="37"/>
    </row>
    <row r="43" spans="1:4">
      <c r="A43" s="51" t="s">
        <v>73</v>
      </c>
      <c r="B43" s="19">
        <f>B45+B44</f>
        <v>17474</v>
      </c>
      <c r="C43" s="19">
        <f>SUM(C44:C46)</f>
        <v>54293</v>
      </c>
      <c r="D43" s="19">
        <f>SUM(D44:D45)</f>
        <v>0</v>
      </c>
    </row>
    <row r="44" spans="1:4">
      <c r="A44" s="52" t="s">
        <v>50</v>
      </c>
      <c r="B44" s="37">
        <v>4007</v>
      </c>
      <c r="C44" s="37">
        <f>B44-548</f>
        <v>3459</v>
      </c>
      <c r="D44" s="164"/>
    </row>
    <row r="45" spans="1:4" ht="13.5" thickBot="1">
      <c r="A45" s="52" t="s">
        <v>94</v>
      </c>
      <c r="B45" s="39">
        <v>13467</v>
      </c>
      <c r="C45" s="39">
        <v>13467</v>
      </c>
      <c r="D45" s="165"/>
    </row>
    <row r="46" spans="1:4" ht="13.5" thickBot="1">
      <c r="A46" s="358" t="s">
        <v>608</v>
      </c>
      <c r="B46" s="39"/>
      <c r="C46" s="466">
        <v>37367</v>
      </c>
      <c r="D46" s="464"/>
    </row>
    <row r="47" spans="1:4" ht="13.5" thickBot="1">
      <c r="A47" s="62" t="s">
        <v>74</v>
      </c>
      <c r="B47" s="79">
        <f>SUM(B20+B22+B25+B26+B27+B34+B41+B43)</f>
        <v>30388</v>
      </c>
      <c r="C47" s="56">
        <f>C20+C22+C25+C26+C27+C34+C41+C43</f>
        <v>109605</v>
      </c>
      <c r="D47" s="56">
        <f>D43+D41+D34+D27+D22</f>
        <v>0</v>
      </c>
    </row>
    <row r="48" spans="1:4">
      <c r="A48" s="1"/>
      <c r="B48" s="2"/>
      <c r="C48" s="1"/>
      <c r="D48" s="1"/>
    </row>
    <row r="49" spans="1:4">
      <c r="A49" s="1"/>
      <c r="B49" s="2"/>
      <c r="C49" s="1"/>
      <c r="D49" s="1"/>
    </row>
    <row r="50" spans="1:4">
      <c r="A50" s="1"/>
      <c r="B50" s="2"/>
      <c r="C50" s="1"/>
      <c r="D50" s="1"/>
    </row>
  </sheetData>
  <mergeCells count="6">
    <mergeCell ref="A1:D1"/>
    <mergeCell ref="C6:D6"/>
    <mergeCell ref="C18:D18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SheetLayoutView="100" workbookViewId="0">
      <selection activeCell="A4" sqref="A4:D4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487" t="s">
        <v>61</v>
      </c>
      <c r="B1" s="472"/>
      <c r="C1" s="472"/>
      <c r="D1" s="472"/>
    </row>
    <row r="2" spans="1:4">
      <c r="A2" s="487" t="s">
        <v>562</v>
      </c>
      <c r="B2" s="472"/>
      <c r="C2" s="472"/>
      <c r="D2" s="472"/>
    </row>
    <row r="3" spans="1:4">
      <c r="A3" s="491" t="s">
        <v>473</v>
      </c>
      <c r="B3" s="472"/>
      <c r="C3" s="472"/>
      <c r="D3" s="472"/>
    </row>
    <row r="4" spans="1:4" ht="29.25" customHeight="1">
      <c r="A4" s="496" t="s">
        <v>627</v>
      </c>
      <c r="B4" s="468"/>
      <c r="C4" s="468"/>
      <c r="D4" s="468"/>
    </row>
    <row r="5" spans="1:4">
      <c r="A5" s="353"/>
      <c r="B5" s="351"/>
      <c r="C5" s="351"/>
      <c r="D5" s="351" t="s">
        <v>465</v>
      </c>
    </row>
    <row r="6" spans="1:4" ht="13.5" thickBot="1">
      <c r="A6" s="33"/>
      <c r="B6" s="34"/>
      <c r="C6" s="494" t="s">
        <v>455</v>
      </c>
      <c r="D6" s="495"/>
    </row>
    <row r="7" spans="1:4" ht="13.5" thickBot="1">
      <c r="A7" s="50" t="s">
        <v>41</v>
      </c>
      <c r="B7" s="87" t="s">
        <v>72</v>
      </c>
      <c r="C7" s="88" t="s">
        <v>42</v>
      </c>
      <c r="D7" s="89" t="s">
        <v>29</v>
      </c>
    </row>
    <row r="8" spans="1:4">
      <c r="A8" s="369" t="s">
        <v>474</v>
      </c>
      <c r="B8" s="360">
        <v>174477</v>
      </c>
      <c r="C8" s="360">
        <v>182547</v>
      </c>
      <c r="D8" s="370"/>
    </row>
    <row r="9" spans="1:4">
      <c r="A9" s="286" t="s">
        <v>475</v>
      </c>
      <c r="B9" s="48">
        <v>27322</v>
      </c>
      <c r="C9" s="48">
        <v>124772</v>
      </c>
      <c r="D9" s="366"/>
    </row>
    <row r="10" spans="1:4">
      <c r="A10" s="286" t="s">
        <v>476</v>
      </c>
      <c r="B10" s="48">
        <f>37650-8700</f>
        <v>28950</v>
      </c>
      <c r="C10" s="48">
        <v>28950</v>
      </c>
      <c r="D10" s="371"/>
    </row>
    <row r="11" spans="1:4">
      <c r="A11" s="363" t="s">
        <v>477</v>
      </c>
      <c r="B11" s="48">
        <v>12801</v>
      </c>
      <c r="C11" s="48">
        <v>17043</v>
      </c>
      <c r="D11" s="371"/>
    </row>
    <row r="12" spans="1:4">
      <c r="A12" s="363" t="s">
        <v>616</v>
      </c>
      <c r="B12" s="48"/>
      <c r="C12" s="48">
        <v>2128</v>
      </c>
      <c r="D12" s="371"/>
    </row>
    <row r="13" spans="1:4">
      <c r="A13" s="363" t="s">
        <v>582</v>
      </c>
      <c r="B13" s="48">
        <f>B14+B15</f>
        <v>54651</v>
      </c>
      <c r="C13" s="48">
        <f>C14+C15</f>
        <v>54651</v>
      </c>
      <c r="D13" s="371"/>
    </row>
    <row r="14" spans="1:4">
      <c r="A14" s="363" t="s">
        <v>478</v>
      </c>
      <c r="B14" s="48">
        <v>24769</v>
      </c>
      <c r="C14" s="48">
        <v>24769</v>
      </c>
      <c r="D14" s="366"/>
    </row>
    <row r="15" spans="1:4">
      <c r="A15" s="363" t="s">
        <v>479</v>
      </c>
      <c r="B15" s="48">
        <v>29882</v>
      </c>
      <c r="C15" s="48">
        <v>29882</v>
      </c>
      <c r="D15" s="371"/>
    </row>
    <row r="16" spans="1:4" ht="13.5" thickBot="1">
      <c r="A16" s="372" t="s">
        <v>504</v>
      </c>
      <c r="B16" s="339">
        <f>B8+B9+B10+B11+B13</f>
        <v>298201</v>
      </c>
      <c r="C16" s="339">
        <f>C8+C9+C10+C11+C13+C12</f>
        <v>410091</v>
      </c>
      <c r="D16" s="373">
        <f>SUM(D8:D15)</f>
        <v>0</v>
      </c>
    </row>
    <row r="17" spans="1:4">
      <c r="A17" s="33"/>
      <c r="B17" s="34"/>
      <c r="C17" s="33"/>
      <c r="D17" s="33"/>
    </row>
    <row r="18" spans="1:4" ht="13.5" thickBot="1">
      <c r="A18" s="33"/>
      <c r="B18" s="34"/>
      <c r="C18" s="495" t="s">
        <v>43</v>
      </c>
      <c r="D18" s="495"/>
    </row>
    <row r="19" spans="1:4" ht="13.5" thickBot="1">
      <c r="A19" s="55" t="s">
        <v>44</v>
      </c>
      <c r="B19" s="57" t="s">
        <v>72</v>
      </c>
      <c r="C19" s="58" t="s">
        <v>42</v>
      </c>
      <c r="D19" s="375" t="s">
        <v>29</v>
      </c>
    </row>
    <row r="20" spans="1:4">
      <c r="A20" s="96" t="s">
        <v>272</v>
      </c>
      <c r="B20" s="60">
        <f>B21+B22+B23</f>
        <v>93167</v>
      </c>
      <c r="C20" s="60">
        <f>C21+C22+C23+C24</f>
        <v>172968</v>
      </c>
      <c r="D20" s="361">
        <f>D21+D22+D23</f>
        <v>0</v>
      </c>
    </row>
    <row r="21" spans="1:4">
      <c r="A21" s="286" t="s">
        <v>480</v>
      </c>
      <c r="B21" s="48">
        <v>45720</v>
      </c>
      <c r="C21" s="41">
        <v>103480</v>
      </c>
      <c r="D21" s="362"/>
    </row>
    <row r="22" spans="1:4">
      <c r="A22" s="363" t="s">
        <v>169</v>
      </c>
      <c r="B22" s="359">
        <v>8054</v>
      </c>
      <c r="C22" s="359">
        <v>14667</v>
      </c>
      <c r="D22" s="333"/>
    </row>
    <row r="23" spans="1:4">
      <c r="A23" s="363" t="s">
        <v>481</v>
      </c>
      <c r="B23" s="48">
        <v>39393</v>
      </c>
      <c r="C23" s="41">
        <v>55490</v>
      </c>
      <c r="D23" s="362"/>
    </row>
    <row r="24" spans="1:4">
      <c r="A24" s="467" t="s">
        <v>615</v>
      </c>
      <c r="B24" s="44"/>
      <c r="C24" s="46">
        <v>-669</v>
      </c>
      <c r="D24" s="376"/>
    </row>
    <row r="25" spans="1:4">
      <c r="A25" s="364" t="s">
        <v>482</v>
      </c>
      <c r="B25" s="82">
        <v>15314</v>
      </c>
      <c r="C25" s="19">
        <v>15314</v>
      </c>
      <c r="D25" s="333"/>
    </row>
    <row r="26" spans="1:4">
      <c r="A26" s="81" t="s">
        <v>483</v>
      </c>
      <c r="B26" s="82">
        <v>801</v>
      </c>
      <c r="C26" s="83">
        <v>2899</v>
      </c>
      <c r="D26" s="365"/>
    </row>
    <row r="27" spans="1:4">
      <c r="A27" s="364" t="s">
        <v>484</v>
      </c>
      <c r="B27" s="82">
        <v>76837</v>
      </c>
      <c r="C27" s="19">
        <v>83901</v>
      </c>
      <c r="D27" s="333"/>
    </row>
    <row r="28" spans="1:4">
      <c r="A28" s="364" t="s">
        <v>485</v>
      </c>
      <c r="B28" s="82">
        <v>3328</v>
      </c>
      <c r="C28" s="26">
        <v>5512</v>
      </c>
      <c r="D28" s="366"/>
    </row>
    <row r="29" spans="1:4">
      <c r="A29" s="364" t="s">
        <v>486</v>
      </c>
      <c r="B29" s="82">
        <v>84384</v>
      </c>
      <c r="C29" s="26">
        <v>85958</v>
      </c>
      <c r="D29" s="333"/>
    </row>
    <row r="30" spans="1:4">
      <c r="A30" s="396" t="s">
        <v>506</v>
      </c>
      <c r="B30" s="335">
        <v>6243</v>
      </c>
      <c r="C30" s="92">
        <v>6243</v>
      </c>
      <c r="D30" s="367"/>
    </row>
    <row r="31" spans="1:4">
      <c r="A31" s="397" t="s">
        <v>73</v>
      </c>
      <c r="B31" s="84">
        <f>B32+B33</f>
        <v>18127</v>
      </c>
      <c r="C31" s="84">
        <f>C32+C33</f>
        <v>37296</v>
      </c>
      <c r="D31" s="361">
        <f>D33</f>
        <v>0</v>
      </c>
    </row>
    <row r="32" spans="1:4">
      <c r="A32" s="368" t="s">
        <v>50</v>
      </c>
      <c r="B32" s="48">
        <v>13738</v>
      </c>
      <c r="C32" s="48">
        <v>11728</v>
      </c>
      <c r="D32" s="374"/>
    </row>
    <row r="33" spans="1:4">
      <c r="A33" s="368" t="s">
        <v>94</v>
      </c>
      <c r="B33" s="48">
        <v>4389</v>
      </c>
      <c r="C33" s="48">
        <v>25568</v>
      </c>
      <c r="D33" s="374"/>
    </row>
    <row r="34" spans="1:4" ht="13.5" thickBot="1">
      <c r="A34" s="62" t="s">
        <v>505</v>
      </c>
      <c r="B34" s="79">
        <f>SUM(B20+B25+B26+B27+B28+B29+B30+B31)</f>
        <v>298201</v>
      </c>
      <c r="C34" s="79">
        <f>SUM(C20+C25+C26+C27+C28+C29+C30+C31)</f>
        <v>410091</v>
      </c>
      <c r="D34" s="101">
        <f>SUM(D20+D25+D26+D27+D28+D29+D31)</f>
        <v>0</v>
      </c>
    </row>
    <row r="35" spans="1:4">
      <c r="A35" s="1"/>
      <c r="B35" s="2"/>
      <c r="C35" s="1"/>
      <c r="D35" s="1"/>
    </row>
    <row r="36" spans="1:4">
      <c r="A36" s="1"/>
      <c r="B36" s="2"/>
      <c r="C36" s="1"/>
      <c r="D36" s="1"/>
    </row>
    <row r="37" spans="1:4">
      <c r="A37" s="1"/>
      <c r="B37" s="2"/>
      <c r="C37" s="1"/>
      <c r="D37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M235"/>
  <sheetViews>
    <sheetView view="pageBreakPreview" zoomScaleSheetLayoutView="100" workbookViewId="0">
      <selection activeCell="A5" sqref="A5:M5"/>
    </sheetView>
  </sheetViews>
  <sheetFormatPr defaultRowHeight="12.75"/>
  <cols>
    <col min="1" max="1" width="28.28515625" customWidth="1"/>
    <col min="9" max="9" width="10" customWidth="1"/>
  </cols>
  <sheetData>
    <row r="2" spans="1:13" ht="15">
      <c r="A2" s="499" t="s">
        <v>561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</row>
    <row r="3" spans="1:13" ht="15">
      <c r="D3" s="103"/>
      <c r="E3" s="103"/>
      <c r="F3" s="103"/>
      <c r="G3" s="103"/>
      <c r="H3" s="103"/>
      <c r="I3" s="103"/>
      <c r="J3" s="103"/>
    </row>
    <row r="5" spans="1:13">
      <c r="A5" s="473" t="s">
        <v>634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</row>
    <row r="6" spans="1:13">
      <c r="A6" s="104"/>
      <c r="B6" s="104"/>
      <c r="C6" s="104"/>
      <c r="K6" s="473" t="s">
        <v>487</v>
      </c>
      <c r="L6" s="473"/>
      <c r="M6" s="473"/>
    </row>
    <row r="7" spans="1:13">
      <c r="A7" s="104"/>
      <c r="B7" s="104"/>
      <c r="C7" s="104"/>
      <c r="L7" t="s">
        <v>455</v>
      </c>
    </row>
    <row r="8" spans="1:13">
      <c r="A8" s="106" t="s">
        <v>95</v>
      </c>
      <c r="B8" s="107"/>
      <c r="C8" s="108" t="s">
        <v>96</v>
      </c>
      <c r="D8" s="109"/>
      <c r="E8" s="110" t="s">
        <v>97</v>
      </c>
      <c r="F8" s="111"/>
      <c r="G8" s="112"/>
      <c r="H8" s="113" t="s">
        <v>98</v>
      </c>
      <c r="I8" s="114"/>
      <c r="J8" s="112"/>
      <c r="K8" s="110"/>
      <c r="L8" s="108" t="s">
        <v>99</v>
      </c>
      <c r="M8" s="112"/>
    </row>
    <row r="9" spans="1:13">
      <c r="A9" s="115" t="s">
        <v>100</v>
      </c>
      <c r="B9" s="110" t="s">
        <v>101</v>
      </c>
      <c r="C9" s="112"/>
      <c r="D9" s="116" t="s">
        <v>29</v>
      </c>
      <c r="E9" s="110" t="s">
        <v>102</v>
      </c>
      <c r="F9" s="112"/>
      <c r="G9" s="110" t="s">
        <v>29</v>
      </c>
      <c r="H9" s="110" t="s">
        <v>103</v>
      </c>
      <c r="I9" s="112"/>
      <c r="J9" s="116" t="s">
        <v>29</v>
      </c>
      <c r="K9" s="110" t="s">
        <v>104</v>
      </c>
      <c r="L9" s="112"/>
      <c r="M9" s="116" t="s">
        <v>29</v>
      </c>
    </row>
    <row r="10" spans="1:13">
      <c r="A10" s="117"/>
      <c r="B10" s="116" t="s">
        <v>71</v>
      </c>
      <c r="C10" s="116" t="s">
        <v>30</v>
      </c>
      <c r="D10" s="116"/>
      <c r="E10" s="116" t="s">
        <v>71</v>
      </c>
      <c r="F10" s="116" t="s">
        <v>30</v>
      </c>
      <c r="G10" s="116"/>
      <c r="H10" s="116" t="s">
        <v>105</v>
      </c>
      <c r="I10" s="116" t="s">
        <v>30</v>
      </c>
      <c r="J10" s="116"/>
      <c r="K10" s="116" t="s">
        <v>71</v>
      </c>
      <c r="L10" s="116" t="s">
        <v>30</v>
      </c>
      <c r="M10" s="116"/>
    </row>
    <row r="11" spans="1:13">
      <c r="A11" s="116" t="s">
        <v>6</v>
      </c>
      <c r="B11" s="118">
        <v>13413</v>
      </c>
      <c r="C11" s="118">
        <f>B11+318</f>
        <v>13731</v>
      </c>
      <c r="D11" s="118"/>
      <c r="E11" s="118">
        <v>2737</v>
      </c>
      <c r="F11" s="118">
        <f>E11+70</f>
        <v>2807</v>
      </c>
      <c r="G11" s="118"/>
      <c r="H11" s="118">
        <v>8245</v>
      </c>
      <c r="I11" s="118">
        <f>H11+400+140</f>
        <v>8785</v>
      </c>
      <c r="J11" s="118"/>
      <c r="K11" s="118">
        <f>B11+E11+H11</f>
        <v>24395</v>
      </c>
      <c r="L11" s="118">
        <f>C11+F11+I11</f>
        <v>25323</v>
      </c>
      <c r="M11" s="118">
        <f>D11+G11+J11</f>
        <v>0</v>
      </c>
    </row>
    <row r="12" spans="1:13">
      <c r="A12" s="116" t="s">
        <v>7</v>
      </c>
      <c r="B12" s="118">
        <v>982</v>
      </c>
      <c r="C12" s="118">
        <v>982</v>
      </c>
      <c r="D12" s="118"/>
      <c r="E12" s="118">
        <v>344</v>
      </c>
      <c r="F12" s="118">
        <f>E12</f>
        <v>344</v>
      </c>
      <c r="G12" s="118"/>
      <c r="H12" s="118">
        <v>882</v>
      </c>
      <c r="I12" s="118">
        <v>882</v>
      </c>
      <c r="J12" s="118"/>
      <c r="K12" s="118">
        <f t="shared" ref="K12:K30" si="0">B12+E12+H12</f>
        <v>2208</v>
      </c>
      <c r="L12" s="118">
        <f t="shared" ref="L12:L30" si="1">C12+F12+I12</f>
        <v>2208</v>
      </c>
      <c r="M12" s="118">
        <f t="shared" ref="M12:M32" si="2">D12+G12+J12</f>
        <v>0</v>
      </c>
    </row>
    <row r="13" spans="1:13">
      <c r="A13" s="116" t="s">
        <v>8</v>
      </c>
      <c r="B13" s="118"/>
      <c r="C13" s="118">
        <v>272</v>
      </c>
      <c r="D13" s="118"/>
      <c r="E13" s="118"/>
      <c r="F13" s="118">
        <v>66</v>
      </c>
      <c r="G13" s="118"/>
      <c r="H13" s="118">
        <v>1621</v>
      </c>
      <c r="I13" s="118">
        <f>H13+282+477</f>
        <v>2380</v>
      </c>
      <c r="J13" s="118"/>
      <c r="K13" s="118">
        <f t="shared" si="0"/>
        <v>1621</v>
      </c>
      <c r="L13" s="118">
        <f t="shared" si="1"/>
        <v>2718</v>
      </c>
      <c r="M13" s="118">
        <f t="shared" si="2"/>
        <v>0</v>
      </c>
    </row>
    <row r="14" spans="1:13">
      <c r="A14" s="116" t="s">
        <v>9</v>
      </c>
      <c r="B14" s="118"/>
      <c r="C14" s="118"/>
      <c r="D14" s="118"/>
      <c r="E14" s="118"/>
      <c r="F14" s="118"/>
      <c r="G14" s="118"/>
      <c r="H14" s="118">
        <v>400</v>
      </c>
      <c r="I14" s="118">
        <v>400</v>
      </c>
      <c r="J14" s="118"/>
      <c r="K14" s="118">
        <f t="shared" si="0"/>
        <v>400</v>
      </c>
      <c r="L14" s="118">
        <f t="shared" si="1"/>
        <v>400</v>
      </c>
      <c r="M14" s="118">
        <f t="shared" si="2"/>
        <v>0</v>
      </c>
    </row>
    <row r="15" spans="1:13">
      <c r="A15" s="116" t="s">
        <v>10</v>
      </c>
      <c r="B15" s="118"/>
      <c r="C15" s="118"/>
      <c r="D15" s="118"/>
      <c r="E15" s="118"/>
      <c r="F15" s="118"/>
      <c r="G15" s="118"/>
      <c r="H15" s="118">
        <v>383</v>
      </c>
      <c r="I15" s="118">
        <v>383</v>
      </c>
      <c r="J15" s="118"/>
      <c r="K15" s="118">
        <f t="shared" si="0"/>
        <v>383</v>
      </c>
      <c r="L15" s="118">
        <f t="shared" si="1"/>
        <v>383</v>
      </c>
      <c r="M15" s="118">
        <f t="shared" si="2"/>
        <v>0</v>
      </c>
    </row>
    <row r="16" spans="1:13">
      <c r="A16" s="116" t="s">
        <v>11</v>
      </c>
      <c r="B16" s="118"/>
      <c r="C16" s="118"/>
      <c r="D16" s="118"/>
      <c r="E16" s="118"/>
      <c r="F16" s="118"/>
      <c r="G16" s="118"/>
      <c r="H16" s="118">
        <v>1278</v>
      </c>
      <c r="I16" s="118">
        <v>1278</v>
      </c>
      <c r="J16" s="118"/>
      <c r="K16" s="118">
        <f t="shared" si="0"/>
        <v>1278</v>
      </c>
      <c r="L16" s="118">
        <f t="shared" si="1"/>
        <v>1278</v>
      </c>
      <c r="M16" s="118">
        <f t="shared" si="2"/>
        <v>0</v>
      </c>
    </row>
    <row r="17" spans="1:13">
      <c r="A17" s="116" t="s">
        <v>354</v>
      </c>
      <c r="B17" s="118"/>
      <c r="C17" s="118"/>
      <c r="D17" s="118"/>
      <c r="E17" s="118"/>
      <c r="F17" s="118"/>
      <c r="G17" s="118"/>
      <c r="H17" s="118">
        <v>38</v>
      </c>
      <c r="I17" s="118">
        <v>38</v>
      </c>
      <c r="J17" s="118"/>
      <c r="K17" s="118">
        <f t="shared" si="0"/>
        <v>38</v>
      </c>
      <c r="L17" s="118">
        <f t="shared" si="1"/>
        <v>38</v>
      </c>
      <c r="M17" s="118"/>
    </row>
    <row r="18" spans="1:13">
      <c r="A18" s="116" t="s">
        <v>193</v>
      </c>
      <c r="B18" s="118"/>
      <c r="C18" s="118"/>
      <c r="D18" s="118"/>
      <c r="E18" s="118"/>
      <c r="F18" s="118"/>
      <c r="G18" s="118"/>
      <c r="H18" s="118">
        <v>5070</v>
      </c>
      <c r="I18" s="118">
        <v>5070</v>
      </c>
      <c r="J18" s="118"/>
      <c r="K18" s="118">
        <f t="shared" si="0"/>
        <v>5070</v>
      </c>
      <c r="L18" s="118">
        <f t="shared" si="1"/>
        <v>5070</v>
      </c>
      <c r="M18" s="118">
        <f t="shared" si="2"/>
        <v>0</v>
      </c>
    </row>
    <row r="19" spans="1:13">
      <c r="A19" s="116" t="s">
        <v>12</v>
      </c>
      <c r="B19" s="118">
        <v>1474</v>
      </c>
      <c r="C19" s="118">
        <v>1474</v>
      </c>
      <c r="D19" s="118"/>
      <c r="E19" s="118">
        <v>293</v>
      </c>
      <c r="F19" s="118">
        <v>293</v>
      </c>
      <c r="G19" s="118"/>
      <c r="H19" s="118">
        <v>1595</v>
      </c>
      <c r="I19" s="118">
        <v>1595</v>
      </c>
      <c r="J19" s="118"/>
      <c r="K19" s="118">
        <f t="shared" si="0"/>
        <v>3362</v>
      </c>
      <c r="L19" s="118">
        <f t="shared" si="1"/>
        <v>3362</v>
      </c>
      <c r="M19" s="118">
        <f t="shared" si="2"/>
        <v>0</v>
      </c>
    </row>
    <row r="20" spans="1:13">
      <c r="A20" s="116" t="s">
        <v>13</v>
      </c>
      <c r="B20" s="118">
        <v>2867</v>
      </c>
      <c r="C20" s="118">
        <f>B20+121</f>
        <v>2988</v>
      </c>
      <c r="D20" s="118"/>
      <c r="E20" s="118">
        <v>475</v>
      </c>
      <c r="F20" s="118">
        <f>E20+27</f>
        <v>502</v>
      </c>
      <c r="G20" s="118"/>
      <c r="H20" s="118">
        <v>605</v>
      </c>
      <c r="I20" s="118">
        <v>605</v>
      </c>
      <c r="J20" s="118"/>
      <c r="K20" s="118">
        <f t="shared" si="0"/>
        <v>3947</v>
      </c>
      <c r="L20" s="118">
        <f t="shared" si="1"/>
        <v>4095</v>
      </c>
      <c r="M20" s="118">
        <f t="shared" si="2"/>
        <v>0</v>
      </c>
    </row>
    <row r="21" spans="1:13">
      <c r="A21" s="116" t="s">
        <v>107</v>
      </c>
      <c r="B21" s="118">
        <v>550</v>
      </c>
      <c r="C21" s="118">
        <v>550</v>
      </c>
      <c r="D21" s="118"/>
      <c r="E21" s="118">
        <v>124</v>
      </c>
      <c r="F21" s="118">
        <v>124</v>
      </c>
      <c r="G21" s="118"/>
      <c r="H21" s="118">
        <v>755</v>
      </c>
      <c r="I21" s="118">
        <v>755</v>
      </c>
      <c r="J21" s="118"/>
      <c r="K21" s="118">
        <f t="shared" si="0"/>
        <v>1429</v>
      </c>
      <c r="L21" s="118">
        <f t="shared" si="1"/>
        <v>1429</v>
      </c>
      <c r="M21" s="118">
        <f t="shared" si="2"/>
        <v>0</v>
      </c>
    </row>
    <row r="22" spans="1:13">
      <c r="A22" s="116" t="s">
        <v>557</v>
      </c>
      <c r="B22" s="118">
        <v>600</v>
      </c>
      <c r="C22" s="118">
        <v>600</v>
      </c>
      <c r="D22" s="118"/>
      <c r="E22" s="118">
        <v>132</v>
      </c>
      <c r="F22" s="118">
        <v>132</v>
      </c>
      <c r="G22" s="118"/>
      <c r="H22" s="118">
        <v>370</v>
      </c>
      <c r="I22" s="118">
        <v>370</v>
      </c>
      <c r="J22" s="118"/>
      <c r="K22" s="118">
        <f t="shared" si="0"/>
        <v>1102</v>
      </c>
      <c r="L22" s="118">
        <f t="shared" si="1"/>
        <v>1102</v>
      </c>
      <c r="M22" s="118"/>
    </row>
    <row r="23" spans="1:13">
      <c r="A23" s="116" t="s">
        <v>14</v>
      </c>
      <c r="B23" s="118">
        <v>3402</v>
      </c>
      <c r="C23" s="118">
        <f>B23+34</f>
        <v>3436</v>
      </c>
      <c r="D23" s="118"/>
      <c r="E23" s="118">
        <v>659</v>
      </c>
      <c r="F23" s="118">
        <f>E23+5</f>
        <v>664</v>
      </c>
      <c r="G23" s="118"/>
      <c r="H23" s="118">
        <v>822</v>
      </c>
      <c r="I23" s="118">
        <v>822</v>
      </c>
      <c r="J23" s="118"/>
      <c r="K23" s="118">
        <f t="shared" si="0"/>
        <v>4883</v>
      </c>
      <c r="L23" s="118">
        <f t="shared" si="1"/>
        <v>4922</v>
      </c>
      <c r="M23" s="118">
        <f t="shared" si="2"/>
        <v>0</v>
      </c>
    </row>
    <row r="24" spans="1:13">
      <c r="A24" s="116" t="s">
        <v>558</v>
      </c>
      <c r="B24" s="118">
        <v>60</v>
      </c>
      <c r="C24" s="118">
        <v>60</v>
      </c>
      <c r="D24" s="118"/>
      <c r="E24" s="118">
        <v>12</v>
      </c>
      <c r="F24" s="118">
        <v>12</v>
      </c>
      <c r="G24" s="118"/>
      <c r="H24" s="118">
        <v>0</v>
      </c>
      <c r="I24" s="118"/>
      <c r="J24" s="118"/>
      <c r="K24" s="118">
        <f t="shared" si="0"/>
        <v>72</v>
      </c>
      <c r="L24" s="118">
        <f t="shared" si="1"/>
        <v>72</v>
      </c>
      <c r="M24" s="118"/>
    </row>
    <row r="25" spans="1:13">
      <c r="A25" s="116" t="s">
        <v>15</v>
      </c>
      <c r="B25" s="118">
        <v>0</v>
      </c>
      <c r="C25" s="118"/>
      <c r="D25" s="118"/>
      <c r="E25" s="118">
        <v>0</v>
      </c>
      <c r="F25" s="118"/>
      <c r="G25" s="118"/>
      <c r="H25" s="118">
        <v>896</v>
      </c>
      <c r="I25" s="118">
        <v>896</v>
      </c>
      <c r="J25" s="118"/>
      <c r="K25" s="118">
        <f t="shared" si="0"/>
        <v>896</v>
      </c>
      <c r="L25" s="118">
        <f t="shared" si="1"/>
        <v>896</v>
      </c>
      <c r="M25" s="118">
        <f t="shared" si="2"/>
        <v>0</v>
      </c>
    </row>
    <row r="26" spans="1:13">
      <c r="A26" s="116" t="s">
        <v>16</v>
      </c>
      <c r="B26" s="118">
        <v>420</v>
      </c>
      <c r="C26" s="118">
        <v>420</v>
      </c>
      <c r="D26" s="118"/>
      <c r="E26" s="118">
        <v>86</v>
      </c>
      <c r="F26" s="118">
        <v>86</v>
      </c>
      <c r="G26" s="118"/>
      <c r="H26" s="118">
        <v>210</v>
      </c>
      <c r="I26" s="118">
        <v>210</v>
      </c>
      <c r="J26" s="118"/>
      <c r="K26" s="118">
        <f t="shared" si="0"/>
        <v>716</v>
      </c>
      <c r="L26" s="118">
        <f t="shared" si="1"/>
        <v>716</v>
      </c>
      <c r="M26" s="118">
        <f t="shared" si="2"/>
        <v>0</v>
      </c>
    </row>
    <row r="27" spans="1:13">
      <c r="A27" s="116" t="s">
        <v>165</v>
      </c>
      <c r="B27" s="118">
        <v>1648</v>
      </c>
      <c r="C27" s="118">
        <f>B27+173+100+1275</f>
        <v>3196</v>
      </c>
      <c r="D27" s="118"/>
      <c r="E27" s="118">
        <v>373</v>
      </c>
      <c r="F27" s="118">
        <f>E27+38+24+281</f>
        <v>716</v>
      </c>
      <c r="G27" s="118"/>
      <c r="H27" s="118">
        <v>6029</v>
      </c>
      <c r="I27" s="118">
        <f>H27+476+30</f>
        <v>6535</v>
      </c>
      <c r="J27" s="118"/>
      <c r="K27" s="118">
        <f t="shared" si="0"/>
        <v>8050</v>
      </c>
      <c r="L27" s="118">
        <f t="shared" si="1"/>
        <v>10447</v>
      </c>
      <c r="M27" s="118">
        <f t="shared" si="2"/>
        <v>0</v>
      </c>
    </row>
    <row r="28" spans="1:13">
      <c r="A28" s="116" t="s">
        <v>17</v>
      </c>
      <c r="B28" s="118">
        <v>107</v>
      </c>
      <c r="C28" s="118">
        <v>107</v>
      </c>
      <c r="D28" s="118"/>
      <c r="E28" s="118">
        <v>29</v>
      </c>
      <c r="F28" s="118">
        <v>29</v>
      </c>
      <c r="G28" s="118"/>
      <c r="H28" s="118">
        <v>927</v>
      </c>
      <c r="I28" s="118">
        <f>H28+1234</f>
        <v>2161</v>
      </c>
      <c r="J28" s="118"/>
      <c r="K28" s="118">
        <f t="shared" si="0"/>
        <v>1063</v>
      </c>
      <c r="L28" s="118">
        <f t="shared" si="1"/>
        <v>2297</v>
      </c>
      <c r="M28" s="118">
        <f t="shared" si="2"/>
        <v>0</v>
      </c>
    </row>
    <row r="29" spans="1:13">
      <c r="A29" s="116" t="s">
        <v>18</v>
      </c>
      <c r="B29" s="118"/>
      <c r="C29" s="118"/>
      <c r="D29" s="118"/>
      <c r="E29" s="118"/>
      <c r="F29" s="118"/>
      <c r="G29" s="118"/>
      <c r="H29" s="118">
        <v>9076</v>
      </c>
      <c r="I29" s="118">
        <v>9076</v>
      </c>
      <c r="J29" s="118"/>
      <c r="K29" s="118">
        <f t="shared" si="0"/>
        <v>9076</v>
      </c>
      <c r="L29" s="118">
        <f t="shared" si="1"/>
        <v>9076</v>
      </c>
      <c r="M29" s="118">
        <f t="shared" si="2"/>
        <v>0</v>
      </c>
    </row>
    <row r="30" spans="1:13">
      <c r="A30" s="116" t="s">
        <v>514</v>
      </c>
      <c r="B30" s="118"/>
      <c r="C30" s="118"/>
      <c r="D30" s="118"/>
      <c r="E30" s="118"/>
      <c r="F30" s="118"/>
      <c r="G30" s="118"/>
      <c r="H30" s="118">
        <v>191</v>
      </c>
      <c r="I30" s="118">
        <f>H30+1394</f>
        <v>1585</v>
      </c>
      <c r="J30" s="118"/>
      <c r="K30" s="118">
        <f t="shared" si="0"/>
        <v>191</v>
      </c>
      <c r="L30" s="118">
        <f t="shared" si="1"/>
        <v>1585</v>
      </c>
      <c r="M30" s="118"/>
    </row>
    <row r="31" spans="1:13" s="65" customFormat="1">
      <c r="A31" s="166" t="s">
        <v>99</v>
      </c>
      <c r="B31" s="97">
        <f>SUM(B11:B30)</f>
        <v>25523</v>
      </c>
      <c r="C31" s="97">
        <f t="shared" ref="C31:J31" si="3">SUM(C11:C30)</f>
        <v>27816</v>
      </c>
      <c r="D31" s="97">
        <f t="shared" si="3"/>
        <v>0</v>
      </c>
      <c r="E31" s="97">
        <f t="shared" si="3"/>
        <v>5264</v>
      </c>
      <c r="F31" s="97">
        <f t="shared" si="3"/>
        <v>5775</v>
      </c>
      <c r="G31" s="97">
        <f t="shared" si="3"/>
        <v>0</v>
      </c>
      <c r="H31" s="97">
        <f t="shared" si="3"/>
        <v>39393</v>
      </c>
      <c r="I31" s="97">
        <f t="shared" si="3"/>
        <v>43826</v>
      </c>
      <c r="J31" s="97">
        <f t="shared" si="3"/>
        <v>0</v>
      </c>
      <c r="K31" s="97">
        <f>SUM(K11:K30)</f>
        <v>70180</v>
      </c>
      <c r="L31" s="97">
        <f>SUM(L11:L30)</f>
        <v>77417</v>
      </c>
      <c r="M31" s="97">
        <f>SUM(M11:M29)</f>
        <v>0</v>
      </c>
    </row>
    <row r="32" spans="1:13" s="35" customFormat="1">
      <c r="A32" s="86" t="s">
        <v>121</v>
      </c>
      <c r="B32" s="105">
        <v>7192</v>
      </c>
      <c r="C32" s="105">
        <v>7192</v>
      </c>
      <c r="D32" s="105"/>
      <c r="E32" s="105">
        <v>1034</v>
      </c>
      <c r="F32" s="105">
        <v>1034</v>
      </c>
      <c r="G32" s="105"/>
      <c r="H32" s="105"/>
      <c r="I32" s="105"/>
      <c r="J32" s="105"/>
      <c r="K32" s="118">
        <f t="shared" ref="K32:K38" si="4">SUM(B32+E32+H32)</f>
        <v>8226</v>
      </c>
      <c r="L32" s="118">
        <f t="shared" ref="L32" si="5">C32+F32+I32</f>
        <v>8226</v>
      </c>
      <c r="M32" s="118">
        <f t="shared" si="2"/>
        <v>0</v>
      </c>
    </row>
    <row r="33" spans="1:13" s="35" customFormat="1">
      <c r="A33" s="287" t="s">
        <v>560</v>
      </c>
      <c r="B33" s="137">
        <v>8848</v>
      </c>
      <c r="C33" s="137">
        <v>8848</v>
      </c>
      <c r="D33" s="137"/>
      <c r="E33" s="137">
        <v>1195</v>
      </c>
      <c r="F33" s="137">
        <v>1195</v>
      </c>
      <c r="G33" s="137"/>
      <c r="H33" s="137"/>
      <c r="I33" s="137"/>
      <c r="J33" s="137"/>
      <c r="K33" s="118">
        <f t="shared" si="4"/>
        <v>10043</v>
      </c>
      <c r="L33" s="119">
        <f t="shared" ref="L33:M36" si="6">C33+F33+I33</f>
        <v>10043</v>
      </c>
      <c r="M33" s="118">
        <f t="shared" si="6"/>
        <v>0</v>
      </c>
    </row>
    <row r="34" spans="1:13" s="35" customFormat="1">
      <c r="A34" s="287" t="s">
        <v>489</v>
      </c>
      <c r="B34" s="137">
        <v>3340</v>
      </c>
      <c r="C34" s="137">
        <v>3340</v>
      </c>
      <c r="D34" s="137"/>
      <c r="E34" s="137">
        <v>451</v>
      </c>
      <c r="F34" s="137">
        <v>451</v>
      </c>
      <c r="G34" s="137"/>
      <c r="H34" s="137"/>
      <c r="I34" s="137"/>
      <c r="J34" s="137"/>
      <c r="K34" s="118">
        <f t="shared" si="4"/>
        <v>3791</v>
      </c>
      <c r="L34" s="119">
        <f t="shared" si="6"/>
        <v>3791</v>
      </c>
      <c r="M34" s="118">
        <f t="shared" si="6"/>
        <v>0</v>
      </c>
    </row>
    <row r="35" spans="1:13" s="35" customFormat="1">
      <c r="A35" s="287" t="s">
        <v>559</v>
      </c>
      <c r="B35" s="137">
        <v>817</v>
      </c>
      <c r="C35" s="137">
        <v>817</v>
      </c>
      <c r="D35" s="137"/>
      <c r="E35" s="137">
        <v>110</v>
      </c>
      <c r="F35" s="137">
        <v>110</v>
      </c>
      <c r="G35" s="137"/>
      <c r="H35" s="137"/>
      <c r="I35" s="137"/>
      <c r="J35" s="137"/>
      <c r="K35" s="118">
        <f t="shared" si="4"/>
        <v>927</v>
      </c>
      <c r="L35" s="119">
        <f t="shared" si="6"/>
        <v>927</v>
      </c>
      <c r="M35" s="118">
        <f t="shared" si="6"/>
        <v>0</v>
      </c>
    </row>
    <row r="36" spans="1:13" s="35" customFormat="1">
      <c r="A36" s="287" t="s">
        <v>617</v>
      </c>
      <c r="B36" s="137"/>
      <c r="C36" s="137">
        <v>19511</v>
      </c>
      <c r="D36" s="137"/>
      <c r="E36" s="137"/>
      <c r="F36" s="137">
        <v>2146</v>
      </c>
      <c r="G36" s="137"/>
      <c r="H36" s="137"/>
      <c r="I36" s="137">
        <v>5204</v>
      </c>
      <c r="J36" s="137"/>
      <c r="K36" s="119"/>
      <c r="L36" s="119">
        <f t="shared" si="6"/>
        <v>26861</v>
      </c>
      <c r="M36" s="119"/>
    </row>
    <row r="37" spans="1:13" s="35" customFormat="1">
      <c r="A37" s="287" t="s">
        <v>618</v>
      </c>
      <c r="B37" s="137"/>
      <c r="C37" s="137">
        <v>29786</v>
      </c>
      <c r="D37" s="137"/>
      <c r="E37" s="137"/>
      <c r="F37" s="137">
        <v>3277</v>
      </c>
      <c r="G37" s="137"/>
      <c r="H37" s="137"/>
      <c r="I37" s="137">
        <v>3669</v>
      </c>
      <c r="J37" s="137"/>
      <c r="K37" s="119">
        <f t="shared" si="4"/>
        <v>0</v>
      </c>
      <c r="L37" s="119">
        <f>C37+F37+I37</f>
        <v>36732</v>
      </c>
      <c r="M37" s="119"/>
    </row>
    <row r="38" spans="1:13" s="35" customFormat="1">
      <c r="A38" s="287" t="s">
        <v>619</v>
      </c>
      <c r="B38" s="137"/>
      <c r="C38" s="137">
        <v>6170</v>
      </c>
      <c r="D38" s="137"/>
      <c r="E38" s="137"/>
      <c r="F38" s="137">
        <v>679</v>
      </c>
      <c r="G38" s="137"/>
      <c r="H38" s="137"/>
      <c r="I38" s="137">
        <v>2791</v>
      </c>
      <c r="J38" s="137"/>
      <c r="K38" s="119">
        <f t="shared" si="4"/>
        <v>0</v>
      </c>
      <c r="L38" s="119">
        <f>C38+F38+I38</f>
        <v>9640</v>
      </c>
      <c r="M38" s="119"/>
    </row>
    <row r="39" spans="1:13" s="35" customFormat="1" ht="13.5" thickBot="1">
      <c r="A39" s="51" t="s">
        <v>158</v>
      </c>
      <c r="B39" s="137">
        <f>SUM(B32:B38)</f>
        <v>20197</v>
      </c>
      <c r="C39" s="137">
        <f t="shared" ref="C39:M39" si="7">SUM(C32:C38)</f>
        <v>75664</v>
      </c>
      <c r="D39" s="137">
        <f t="shared" si="7"/>
        <v>0</v>
      </c>
      <c r="E39" s="137">
        <f t="shared" si="7"/>
        <v>2790</v>
      </c>
      <c r="F39" s="137">
        <f t="shared" si="7"/>
        <v>8892</v>
      </c>
      <c r="G39" s="137">
        <f t="shared" si="7"/>
        <v>0</v>
      </c>
      <c r="H39" s="137">
        <f t="shared" si="7"/>
        <v>0</v>
      </c>
      <c r="I39" s="137">
        <f t="shared" si="7"/>
        <v>11664</v>
      </c>
      <c r="J39" s="137">
        <f t="shared" si="7"/>
        <v>0</v>
      </c>
      <c r="K39" s="137">
        <f t="shared" si="7"/>
        <v>22987</v>
      </c>
      <c r="L39" s="137">
        <f t="shared" si="7"/>
        <v>96220</v>
      </c>
      <c r="M39" s="137">
        <f t="shared" si="7"/>
        <v>0</v>
      </c>
    </row>
    <row r="40" spans="1:13">
      <c r="A40" s="497" t="s">
        <v>108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  <row r="41" spans="1:13" ht="13.5" thickBot="1">
      <c r="A41" s="498"/>
      <c r="B41" s="120">
        <f t="shared" ref="B41:M41" si="8">B31+B39</f>
        <v>45720</v>
      </c>
      <c r="C41" s="120">
        <f t="shared" si="8"/>
        <v>103480</v>
      </c>
      <c r="D41" s="120">
        <f t="shared" si="8"/>
        <v>0</v>
      </c>
      <c r="E41" s="120">
        <f t="shared" si="8"/>
        <v>8054</v>
      </c>
      <c r="F41" s="120">
        <f t="shared" si="8"/>
        <v>14667</v>
      </c>
      <c r="G41" s="120">
        <f t="shared" si="8"/>
        <v>0</v>
      </c>
      <c r="H41" s="120">
        <f t="shared" si="8"/>
        <v>39393</v>
      </c>
      <c r="I41" s="120">
        <f t="shared" si="8"/>
        <v>55490</v>
      </c>
      <c r="J41" s="120">
        <f t="shared" si="8"/>
        <v>0</v>
      </c>
      <c r="K41" s="120">
        <f t="shared" si="8"/>
        <v>93167</v>
      </c>
      <c r="L41" s="120">
        <f t="shared" si="8"/>
        <v>173637</v>
      </c>
      <c r="M41" s="120">
        <f t="shared" si="8"/>
        <v>0</v>
      </c>
    </row>
    <row r="42" spans="1:13"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2:13"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2:13"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2:13"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2:13"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  <row r="53" spans="2:13"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</row>
    <row r="54" spans="2:13"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</row>
    <row r="55" spans="2:13"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</row>
    <row r="56" spans="2:13"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</row>
    <row r="57" spans="2:13"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</row>
    <row r="58" spans="2:13"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</row>
    <row r="59" spans="2:13"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</row>
    <row r="60" spans="2:13"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</row>
    <row r="61" spans="2:13"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</row>
    <row r="62" spans="2:13"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</row>
    <row r="63" spans="2:13"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</row>
    <row r="64" spans="2:13"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</row>
    <row r="65" spans="2:13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</row>
    <row r="66" spans="2:13"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</row>
    <row r="67" spans="2:13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</row>
    <row r="68" spans="2:13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</row>
    <row r="69" spans="2:13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</row>
    <row r="70" spans="2:13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</row>
    <row r="71" spans="2:13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</row>
    <row r="72" spans="2:13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</row>
    <row r="73" spans="2:13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  <row r="74" spans="2:13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</row>
    <row r="75" spans="2:13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</row>
    <row r="76" spans="2:13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</row>
    <row r="77" spans="2:13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</row>
    <row r="78" spans="2:13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</row>
    <row r="79" spans="2:13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</row>
    <row r="80" spans="2:13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</row>
    <row r="81" spans="2:13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</row>
    <row r="82" spans="2:13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</row>
    <row r="83" spans="2:13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</row>
    <row r="84" spans="2:13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</row>
    <row r="85" spans="2:13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</row>
    <row r="86" spans="2:13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</row>
    <row r="87" spans="2:13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</row>
    <row r="88" spans="2:13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</row>
    <row r="89" spans="2:13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</row>
    <row r="90" spans="2:13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</row>
    <row r="91" spans="2:13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</row>
    <row r="92" spans="2:13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</row>
    <row r="93" spans="2:13"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</row>
    <row r="94" spans="2:13"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</row>
    <row r="95" spans="2:13"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</row>
    <row r="96" spans="2:13"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</row>
    <row r="97" spans="2:13"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</row>
    <row r="98" spans="2:13"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</row>
    <row r="99" spans="2:13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</row>
    <row r="100" spans="2:13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</row>
    <row r="101" spans="2:13"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</row>
    <row r="102" spans="2:13"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</row>
    <row r="103" spans="2:13"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</row>
    <row r="104" spans="2:13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</row>
    <row r="105" spans="2:13"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</row>
    <row r="106" spans="2:13"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</row>
    <row r="107" spans="2:13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</row>
    <row r="108" spans="2:13"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</row>
    <row r="109" spans="2:13"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</row>
    <row r="110" spans="2:13"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</row>
    <row r="111" spans="2:13"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</row>
    <row r="112" spans="2:13"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</row>
    <row r="113" spans="2:13"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</row>
    <row r="114" spans="2:13"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</row>
    <row r="115" spans="2:13"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</row>
    <row r="116" spans="2:13"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</row>
    <row r="117" spans="2:13"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</row>
    <row r="118" spans="2:13"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</row>
    <row r="119" spans="2:13"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</row>
    <row r="120" spans="2:13"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</row>
    <row r="121" spans="2:13"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</row>
    <row r="122" spans="2:13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</row>
    <row r="123" spans="2:13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</row>
    <row r="124" spans="2:13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</row>
    <row r="125" spans="2:13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</row>
    <row r="126" spans="2:13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</row>
    <row r="127" spans="2:13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</row>
    <row r="128" spans="2:13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</row>
    <row r="129" spans="2:13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</row>
    <row r="130" spans="2:13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</row>
    <row r="131" spans="2:13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</row>
    <row r="132" spans="2:13">
      <c r="B132" s="121"/>
      <c r="C132" s="121"/>
      <c r="D132" s="121"/>
      <c r="K132" s="121"/>
    </row>
    <row r="133" spans="2:13">
      <c r="B133" s="121"/>
      <c r="C133" s="121"/>
      <c r="D133" s="121"/>
      <c r="K133" s="121"/>
    </row>
    <row r="134" spans="2:13">
      <c r="B134" s="121"/>
      <c r="C134" s="121"/>
      <c r="D134" s="121"/>
      <c r="K134" s="121"/>
    </row>
    <row r="135" spans="2:13">
      <c r="B135" s="121"/>
      <c r="C135" s="121"/>
      <c r="D135" s="121"/>
      <c r="K135" s="121"/>
    </row>
    <row r="136" spans="2:13">
      <c r="B136" s="121"/>
      <c r="C136" s="121"/>
      <c r="D136" s="121"/>
      <c r="K136" s="121"/>
    </row>
    <row r="137" spans="2:13">
      <c r="B137" s="121"/>
      <c r="C137" s="121"/>
      <c r="D137" s="121"/>
      <c r="K137" s="121"/>
    </row>
    <row r="138" spans="2:13">
      <c r="B138" s="121"/>
      <c r="C138" s="121"/>
      <c r="D138" s="121"/>
      <c r="K138" s="121"/>
    </row>
    <row r="139" spans="2:13">
      <c r="B139" s="121"/>
      <c r="C139" s="121"/>
      <c r="D139" s="121"/>
      <c r="K139" s="121"/>
    </row>
    <row r="140" spans="2:13">
      <c r="B140" s="121"/>
      <c r="C140" s="121"/>
      <c r="D140" s="121"/>
      <c r="K140" s="121"/>
    </row>
    <row r="141" spans="2:13">
      <c r="B141" s="121"/>
      <c r="C141" s="121"/>
      <c r="D141" s="121"/>
      <c r="K141" s="121"/>
    </row>
    <row r="142" spans="2:13">
      <c r="B142" s="121"/>
      <c r="C142" s="121"/>
      <c r="D142" s="121"/>
      <c r="K142" s="121"/>
    </row>
    <row r="143" spans="2:13">
      <c r="B143" s="121"/>
      <c r="C143" s="121"/>
      <c r="D143" s="121"/>
      <c r="K143" s="121"/>
    </row>
    <row r="144" spans="2:13">
      <c r="B144" s="121"/>
      <c r="C144" s="121"/>
      <c r="D144" s="121"/>
      <c r="K144" s="121"/>
    </row>
    <row r="145" spans="2:11">
      <c r="B145" s="121"/>
      <c r="C145" s="121"/>
      <c r="D145" s="121"/>
      <c r="K145" s="121"/>
    </row>
    <row r="146" spans="2:11">
      <c r="B146" s="121"/>
      <c r="C146" s="121"/>
      <c r="D146" s="121"/>
      <c r="K146" s="121"/>
    </row>
    <row r="147" spans="2:11">
      <c r="B147" s="121"/>
      <c r="C147" s="121"/>
      <c r="D147" s="121"/>
      <c r="K147" s="121"/>
    </row>
    <row r="148" spans="2:11">
      <c r="B148" s="121"/>
      <c r="C148" s="121"/>
      <c r="D148" s="121"/>
      <c r="K148" s="121"/>
    </row>
    <row r="149" spans="2:11">
      <c r="B149" s="121"/>
      <c r="C149" s="121"/>
      <c r="D149" s="121"/>
      <c r="K149" s="121"/>
    </row>
    <row r="150" spans="2:11">
      <c r="B150" s="121"/>
      <c r="C150" s="121"/>
      <c r="D150" s="121"/>
      <c r="K150" s="121"/>
    </row>
    <row r="151" spans="2:11">
      <c r="B151" s="121"/>
      <c r="C151" s="121"/>
      <c r="D151" s="121"/>
      <c r="K151" s="121"/>
    </row>
    <row r="152" spans="2:11">
      <c r="B152" s="121"/>
      <c r="C152" s="121"/>
      <c r="D152" s="121"/>
      <c r="K152" s="121"/>
    </row>
    <row r="153" spans="2:11">
      <c r="B153" s="121"/>
      <c r="C153" s="121"/>
      <c r="D153" s="121"/>
      <c r="K153" s="121"/>
    </row>
    <row r="154" spans="2:11">
      <c r="B154" s="121"/>
      <c r="C154" s="121"/>
      <c r="D154" s="121"/>
      <c r="K154" s="121"/>
    </row>
    <row r="155" spans="2:11">
      <c r="B155" s="121"/>
      <c r="C155" s="121"/>
      <c r="D155" s="121"/>
      <c r="K155" s="121"/>
    </row>
    <row r="156" spans="2:11">
      <c r="B156" s="121"/>
      <c r="C156" s="121"/>
      <c r="D156" s="121"/>
      <c r="K156" s="121"/>
    </row>
    <row r="157" spans="2:11">
      <c r="B157" s="121"/>
      <c r="C157" s="121"/>
      <c r="D157" s="121"/>
      <c r="K157" s="121"/>
    </row>
    <row r="158" spans="2:11">
      <c r="B158" s="121"/>
      <c r="C158" s="121"/>
      <c r="D158" s="121"/>
      <c r="K158" s="121"/>
    </row>
    <row r="159" spans="2:11">
      <c r="B159" s="121"/>
      <c r="C159" s="121"/>
      <c r="D159" s="121"/>
      <c r="K159" s="121"/>
    </row>
    <row r="160" spans="2:11">
      <c r="B160" s="121"/>
      <c r="C160" s="121"/>
      <c r="D160" s="121"/>
      <c r="K160" s="121"/>
    </row>
    <row r="161" spans="2:11">
      <c r="B161" s="121"/>
      <c r="C161" s="121"/>
      <c r="D161" s="121"/>
      <c r="K161" s="121"/>
    </row>
    <row r="162" spans="2:11">
      <c r="B162" s="121"/>
      <c r="C162" s="121"/>
      <c r="D162" s="121"/>
      <c r="K162" s="121"/>
    </row>
    <row r="163" spans="2:11">
      <c r="B163" s="121"/>
      <c r="C163" s="121"/>
      <c r="D163" s="121"/>
      <c r="K163" s="121"/>
    </row>
    <row r="164" spans="2:11">
      <c r="B164" s="121"/>
      <c r="C164" s="121"/>
      <c r="D164" s="121"/>
      <c r="K164" s="121"/>
    </row>
    <row r="165" spans="2:11">
      <c r="B165" s="121"/>
      <c r="C165" s="121"/>
      <c r="D165" s="121"/>
      <c r="K165" s="121"/>
    </row>
    <row r="166" spans="2:11">
      <c r="B166" s="121"/>
      <c r="C166" s="121"/>
      <c r="D166" s="121"/>
      <c r="K166" s="121"/>
    </row>
    <row r="167" spans="2:11">
      <c r="B167" s="121"/>
      <c r="C167" s="121"/>
      <c r="D167" s="121"/>
      <c r="K167" s="121"/>
    </row>
    <row r="168" spans="2:11">
      <c r="B168" s="121"/>
      <c r="C168" s="121"/>
      <c r="D168" s="121"/>
      <c r="K168" s="121"/>
    </row>
    <row r="169" spans="2:11">
      <c r="B169" s="121"/>
      <c r="C169" s="121"/>
      <c r="D169" s="121"/>
      <c r="K169" s="121"/>
    </row>
    <row r="170" spans="2:11">
      <c r="B170" s="121"/>
      <c r="C170" s="121"/>
      <c r="D170" s="121"/>
      <c r="K170" s="121"/>
    </row>
    <row r="171" spans="2:11">
      <c r="B171" s="121"/>
      <c r="C171" s="121"/>
      <c r="D171" s="121"/>
      <c r="K171" s="121"/>
    </row>
    <row r="172" spans="2:11">
      <c r="B172" s="121"/>
      <c r="C172" s="121"/>
      <c r="D172" s="121"/>
      <c r="K172" s="121"/>
    </row>
    <row r="173" spans="2:11">
      <c r="B173" s="121"/>
      <c r="C173" s="121"/>
      <c r="D173" s="121"/>
      <c r="K173" s="121"/>
    </row>
    <row r="174" spans="2:11">
      <c r="B174" s="121"/>
      <c r="C174" s="121"/>
      <c r="D174" s="121"/>
      <c r="K174" s="121"/>
    </row>
    <row r="175" spans="2:11">
      <c r="B175" s="121"/>
      <c r="C175" s="121"/>
      <c r="D175" s="121"/>
      <c r="K175" s="121"/>
    </row>
    <row r="176" spans="2:11">
      <c r="B176" s="121"/>
      <c r="C176" s="121"/>
      <c r="D176" s="121"/>
      <c r="K176" s="121"/>
    </row>
    <row r="177" spans="2:11">
      <c r="B177" s="121"/>
      <c r="C177" s="121"/>
      <c r="D177" s="121"/>
      <c r="K177" s="121"/>
    </row>
    <row r="178" spans="2:11">
      <c r="B178" s="121"/>
      <c r="C178" s="121"/>
      <c r="D178" s="121"/>
      <c r="K178" s="121"/>
    </row>
    <row r="179" spans="2:11">
      <c r="B179" s="121"/>
      <c r="C179" s="121"/>
      <c r="D179" s="121"/>
      <c r="K179" s="121"/>
    </row>
    <row r="180" spans="2:11">
      <c r="B180" s="121"/>
      <c r="C180" s="121"/>
      <c r="D180" s="121"/>
      <c r="K180" s="121"/>
    </row>
    <row r="181" spans="2:11">
      <c r="B181" s="121"/>
      <c r="C181" s="121"/>
      <c r="D181" s="121"/>
      <c r="K181" s="121"/>
    </row>
    <row r="182" spans="2:11">
      <c r="B182" s="121"/>
      <c r="C182" s="121"/>
      <c r="D182" s="121"/>
      <c r="K182" s="121"/>
    </row>
    <row r="183" spans="2:11">
      <c r="B183" s="121"/>
      <c r="C183" s="121"/>
      <c r="D183" s="121"/>
      <c r="K183" s="121"/>
    </row>
    <row r="184" spans="2:11">
      <c r="B184" s="121"/>
      <c r="C184" s="121"/>
      <c r="D184" s="121"/>
      <c r="K184" s="121"/>
    </row>
    <row r="185" spans="2:11">
      <c r="B185" s="121"/>
      <c r="C185" s="121"/>
      <c r="D185" s="121"/>
      <c r="K185" s="121"/>
    </row>
    <row r="186" spans="2:11">
      <c r="B186" s="121"/>
      <c r="C186" s="121"/>
      <c r="D186" s="121"/>
      <c r="K186" s="121"/>
    </row>
    <row r="187" spans="2:11">
      <c r="B187" s="121"/>
      <c r="C187" s="121"/>
      <c r="D187" s="121"/>
      <c r="K187" s="121"/>
    </row>
    <row r="188" spans="2:11">
      <c r="B188" s="121"/>
      <c r="C188" s="121"/>
      <c r="D188" s="121"/>
      <c r="K188" s="121"/>
    </row>
    <row r="189" spans="2:11">
      <c r="B189" s="121"/>
      <c r="C189" s="121"/>
      <c r="D189" s="121"/>
      <c r="K189" s="121"/>
    </row>
    <row r="190" spans="2:11">
      <c r="B190" s="121"/>
      <c r="C190" s="121"/>
      <c r="D190" s="121"/>
      <c r="K190" s="121"/>
    </row>
    <row r="191" spans="2:11">
      <c r="B191" s="121"/>
      <c r="C191" s="121"/>
      <c r="D191" s="121"/>
      <c r="K191" s="121"/>
    </row>
    <row r="192" spans="2:11">
      <c r="B192" s="121"/>
      <c r="C192" s="121"/>
      <c r="D192" s="121"/>
      <c r="K192" s="121"/>
    </row>
    <row r="193" spans="2:11">
      <c r="B193" s="121"/>
      <c r="C193" s="121"/>
      <c r="D193" s="121"/>
      <c r="K193" s="121"/>
    </row>
    <row r="194" spans="2:11">
      <c r="B194" s="121"/>
      <c r="C194" s="121"/>
      <c r="D194" s="121"/>
      <c r="K194" s="121"/>
    </row>
    <row r="195" spans="2:11">
      <c r="B195" s="121"/>
      <c r="C195" s="121"/>
      <c r="D195" s="121"/>
      <c r="K195" s="121"/>
    </row>
    <row r="196" spans="2:11">
      <c r="B196" s="121"/>
      <c r="C196" s="121"/>
      <c r="D196" s="121"/>
      <c r="K196" s="121"/>
    </row>
    <row r="197" spans="2:11">
      <c r="B197" s="121"/>
      <c r="C197" s="121"/>
      <c r="D197" s="121"/>
      <c r="K197" s="121"/>
    </row>
    <row r="198" spans="2:11">
      <c r="B198" s="121"/>
      <c r="C198" s="121"/>
      <c r="D198" s="121"/>
      <c r="K198" s="121"/>
    </row>
    <row r="199" spans="2:11">
      <c r="B199" s="121"/>
      <c r="C199" s="121"/>
      <c r="D199" s="121"/>
      <c r="K199" s="121"/>
    </row>
    <row r="200" spans="2:11">
      <c r="B200" s="121"/>
      <c r="C200" s="121"/>
      <c r="D200" s="121"/>
      <c r="K200" s="121"/>
    </row>
    <row r="201" spans="2:11">
      <c r="C201" s="121"/>
      <c r="D201" s="121"/>
      <c r="K201" s="121"/>
    </row>
    <row r="202" spans="2:11">
      <c r="C202" s="121"/>
      <c r="D202" s="121"/>
      <c r="K202" s="121"/>
    </row>
    <row r="203" spans="2:11">
      <c r="C203" s="121"/>
      <c r="D203" s="121"/>
      <c r="K203" s="121"/>
    </row>
    <row r="204" spans="2:11">
      <c r="C204" s="121"/>
      <c r="D204" s="121"/>
      <c r="K204" s="121"/>
    </row>
    <row r="205" spans="2:11">
      <c r="C205" s="121"/>
      <c r="D205" s="121"/>
      <c r="K205" s="121"/>
    </row>
    <row r="206" spans="2:11">
      <c r="C206" s="121"/>
      <c r="D206" s="121"/>
      <c r="K206" s="121"/>
    </row>
    <row r="207" spans="2:11">
      <c r="C207" s="121"/>
      <c r="D207" s="121"/>
      <c r="K207" s="121"/>
    </row>
    <row r="208" spans="2:11">
      <c r="C208" s="121"/>
      <c r="D208" s="121"/>
      <c r="K208" s="121"/>
    </row>
    <row r="209" spans="3:11">
      <c r="C209" s="121"/>
      <c r="D209" s="121"/>
      <c r="K209" s="121"/>
    </row>
    <row r="210" spans="3:11">
      <c r="C210" s="121"/>
      <c r="D210" s="121"/>
      <c r="K210" s="121"/>
    </row>
    <row r="211" spans="3:11">
      <c r="C211" s="121"/>
      <c r="D211" s="121"/>
      <c r="K211" s="121"/>
    </row>
    <row r="212" spans="3:11">
      <c r="C212" s="121"/>
      <c r="D212" s="121"/>
      <c r="K212" s="121"/>
    </row>
    <row r="213" spans="3:11">
      <c r="C213" s="121"/>
      <c r="D213" s="121"/>
      <c r="K213" s="121"/>
    </row>
    <row r="214" spans="3:11">
      <c r="C214" s="121"/>
      <c r="D214" s="121"/>
      <c r="K214" s="121"/>
    </row>
    <row r="215" spans="3:11">
      <c r="K215" s="121"/>
    </row>
    <row r="216" spans="3:11">
      <c r="K216" s="121"/>
    </row>
    <row r="217" spans="3:11">
      <c r="K217" s="121"/>
    </row>
    <row r="218" spans="3:11">
      <c r="K218" s="121"/>
    </row>
    <row r="219" spans="3:11">
      <c r="K219" s="121"/>
    </row>
    <row r="220" spans="3:11">
      <c r="K220" s="121"/>
    </row>
    <row r="221" spans="3:11">
      <c r="K221" s="121"/>
    </row>
    <row r="222" spans="3:11">
      <c r="K222" s="121"/>
    </row>
    <row r="223" spans="3:11">
      <c r="K223" s="121"/>
    </row>
    <row r="224" spans="3:11">
      <c r="K224" s="121"/>
    </row>
    <row r="225" spans="11:11">
      <c r="K225" s="121"/>
    </row>
    <row r="226" spans="11:11">
      <c r="K226" s="121"/>
    </row>
    <row r="227" spans="11:11">
      <c r="K227" s="121"/>
    </row>
    <row r="228" spans="11:11">
      <c r="K228" s="121"/>
    </row>
    <row r="229" spans="11:11">
      <c r="K229" s="121"/>
    </row>
    <row r="230" spans="11:11">
      <c r="K230" s="121"/>
    </row>
    <row r="231" spans="11:11">
      <c r="K231" s="121"/>
    </row>
    <row r="232" spans="11:11">
      <c r="K232" s="121"/>
    </row>
    <row r="233" spans="11:11">
      <c r="K233" s="121"/>
    </row>
    <row r="234" spans="11:11">
      <c r="K234" s="121"/>
    </row>
    <row r="235" spans="11:11">
      <c r="K235" s="121"/>
    </row>
  </sheetData>
  <mergeCells count="4">
    <mergeCell ref="A40:A41"/>
    <mergeCell ref="A2:M2"/>
    <mergeCell ref="A5:M5"/>
    <mergeCell ref="K6:M6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7:M196"/>
  <sheetViews>
    <sheetView view="pageBreakPreview" zoomScaleSheetLayoutView="100" workbookViewId="0">
      <selection activeCell="A10" sqref="A10:D10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13">
      <c r="A7" s="476" t="s">
        <v>110</v>
      </c>
      <c r="B7" s="477"/>
      <c r="C7" s="477"/>
      <c r="D7" s="477"/>
    </row>
    <row r="8" spans="1:13">
      <c r="A8" s="476" t="s">
        <v>562</v>
      </c>
      <c r="B8" s="477"/>
      <c r="C8" s="477"/>
      <c r="D8" s="477"/>
    </row>
    <row r="9" spans="1:13">
      <c r="A9" s="473"/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</row>
    <row r="10" spans="1:13" ht="24.75" customHeight="1">
      <c r="A10" s="501" t="s">
        <v>635</v>
      </c>
      <c r="B10" s="501"/>
      <c r="C10" s="501"/>
      <c r="D10" s="501"/>
    </row>
    <row r="11" spans="1:13">
      <c r="A11" s="480"/>
      <c r="B11" s="500"/>
      <c r="C11" s="480"/>
      <c r="D11" s="480"/>
    </row>
    <row r="12" spans="1:13">
      <c r="C12" s="480" t="s">
        <v>490</v>
      </c>
      <c r="D12" s="480"/>
    </row>
    <row r="13" spans="1:13" ht="13.5" thickBot="1">
      <c r="D13" s="1" t="s">
        <v>455</v>
      </c>
    </row>
    <row r="14" spans="1:13">
      <c r="A14" s="3" t="s">
        <v>25</v>
      </c>
      <c r="B14" s="4"/>
      <c r="C14" s="5"/>
      <c r="D14" s="6"/>
    </row>
    <row r="15" spans="1:13" ht="13.5" thickBot="1">
      <c r="A15" s="7" t="s">
        <v>26</v>
      </c>
      <c r="B15" s="8"/>
      <c r="C15" s="9"/>
      <c r="D15" s="10"/>
    </row>
    <row r="16" spans="1:13">
      <c r="A16" s="11" t="s">
        <v>27</v>
      </c>
      <c r="B16" s="12" t="s">
        <v>28</v>
      </c>
      <c r="C16" s="13"/>
      <c r="D16" s="14" t="s">
        <v>29</v>
      </c>
    </row>
    <row r="17" spans="1:4" ht="13.5" thickBot="1">
      <c r="A17" s="15"/>
      <c r="B17" s="25" t="s">
        <v>71</v>
      </c>
      <c r="C17" s="16" t="s">
        <v>30</v>
      </c>
      <c r="D17" s="17"/>
    </row>
    <row r="18" spans="1:4">
      <c r="A18" s="380" t="s">
        <v>156</v>
      </c>
      <c r="B18" s="411"/>
      <c r="C18" s="411"/>
      <c r="D18" s="381">
        <v>0</v>
      </c>
    </row>
    <row r="19" spans="1:4">
      <c r="A19" s="71" t="s">
        <v>563</v>
      </c>
      <c r="B19" s="412">
        <v>144</v>
      </c>
      <c r="C19" s="412">
        <v>144</v>
      </c>
      <c r="D19" s="333">
        <f>SUM(D20:D22)</f>
        <v>0</v>
      </c>
    </row>
    <row r="20" spans="1:4">
      <c r="A20" s="71" t="s">
        <v>124</v>
      </c>
      <c r="B20" s="20">
        <v>2</v>
      </c>
      <c r="C20" s="20">
        <v>2</v>
      </c>
      <c r="D20" s="72"/>
    </row>
    <row r="21" spans="1:4">
      <c r="A21" s="81" t="s">
        <v>111</v>
      </c>
      <c r="B21" s="97">
        <f>B19+B20</f>
        <v>146</v>
      </c>
      <c r="C21" s="97">
        <f>SUM(C18:C20)</f>
        <v>146</v>
      </c>
      <c r="D21" s="72"/>
    </row>
    <row r="22" spans="1:4">
      <c r="A22" s="81" t="s">
        <v>119</v>
      </c>
      <c r="B22" s="97"/>
      <c r="C22" s="97"/>
      <c r="D22" s="72"/>
    </row>
    <row r="23" spans="1:4">
      <c r="A23" s="81" t="s">
        <v>19</v>
      </c>
      <c r="B23" s="97">
        <f>B24+B25</f>
        <v>61562</v>
      </c>
      <c r="C23" s="97">
        <f>C24+C25</f>
        <v>62591</v>
      </c>
      <c r="D23" s="72"/>
    </row>
    <row r="24" spans="1:4">
      <c r="A24" s="71" t="s">
        <v>492</v>
      </c>
      <c r="B24" s="413">
        <v>39754</v>
      </c>
      <c r="C24" s="413">
        <f>B24+1029</f>
        <v>40783</v>
      </c>
      <c r="D24" s="72"/>
    </row>
    <row r="25" spans="1:4" ht="13.5" thickBot="1">
      <c r="A25" s="71" t="s">
        <v>493</v>
      </c>
      <c r="B25" s="413">
        <v>21808</v>
      </c>
      <c r="C25" s="413">
        <v>21808</v>
      </c>
      <c r="D25" s="72"/>
    </row>
    <row r="26" spans="1:4" ht="13.5" thickBot="1">
      <c r="A26" s="96" t="s">
        <v>112</v>
      </c>
      <c r="B26" s="135">
        <v>59</v>
      </c>
      <c r="C26" s="135">
        <v>59</v>
      </c>
      <c r="D26" s="134"/>
    </row>
    <row r="27" spans="1:4">
      <c r="A27" s="74" t="s">
        <v>113</v>
      </c>
      <c r="B27" s="75">
        <f>B23+B22+B21+B26</f>
        <v>61767</v>
      </c>
      <c r="C27" s="75">
        <f>C26+C23+C22+C21</f>
        <v>62796</v>
      </c>
      <c r="D27" s="334"/>
    </row>
    <row r="28" spans="1:4" ht="13.5" thickBot="1">
      <c r="A28" s="76"/>
      <c r="B28" s="77"/>
      <c r="C28" s="77"/>
      <c r="D28" s="78"/>
    </row>
    <row r="29" spans="1:4">
      <c r="A29" s="9"/>
      <c r="B29" s="24"/>
      <c r="C29" s="24"/>
      <c r="D29" s="24"/>
    </row>
    <row r="30" spans="1:4">
      <c r="A30" s="9"/>
      <c r="B30" s="24"/>
      <c r="C30" s="24"/>
      <c r="D30" s="24"/>
    </row>
    <row r="31" spans="1:4">
      <c r="C31" s="2"/>
      <c r="D31" s="2"/>
    </row>
    <row r="32" spans="1:4">
      <c r="C32" s="2"/>
      <c r="D32" s="2"/>
    </row>
    <row r="33" spans="1:4">
      <c r="A33" s="487" t="s">
        <v>110</v>
      </c>
      <c r="B33" s="472"/>
      <c r="C33" s="472"/>
      <c r="D33" s="472"/>
    </row>
    <row r="34" spans="1:4">
      <c r="A34" s="487" t="s">
        <v>564</v>
      </c>
      <c r="B34" s="472"/>
      <c r="C34" s="472"/>
      <c r="D34" s="472"/>
    </row>
    <row r="35" spans="1:4">
      <c r="A35" s="492"/>
      <c r="B35" s="477"/>
      <c r="C35" s="492"/>
      <c r="D35" s="492"/>
    </row>
    <row r="38" spans="1:4">
      <c r="C38" s="480"/>
      <c r="D38" s="480"/>
    </row>
    <row r="39" spans="1:4" ht="13.5" thickBot="1">
      <c r="C39" s="502" t="s">
        <v>455</v>
      </c>
      <c r="D39" s="502"/>
    </row>
    <row r="40" spans="1:4">
      <c r="A40" s="3" t="s">
        <v>31</v>
      </c>
      <c r="B40" s="4"/>
      <c r="C40" s="5"/>
      <c r="D40" s="6"/>
    </row>
    <row r="41" spans="1:4" ht="13.5" thickBot="1">
      <c r="A41" s="7" t="s">
        <v>26</v>
      </c>
      <c r="B41" s="8"/>
      <c r="C41" s="9"/>
      <c r="D41" s="10"/>
    </row>
    <row r="42" spans="1:4">
      <c r="A42" s="11" t="s">
        <v>32</v>
      </c>
      <c r="B42" s="12" t="s">
        <v>28</v>
      </c>
      <c r="C42" s="13"/>
      <c r="D42" s="14" t="s">
        <v>29</v>
      </c>
    </row>
    <row r="43" spans="1:4" ht="13.5" thickBot="1">
      <c r="A43" s="15"/>
      <c r="B43" s="25" t="s">
        <v>71</v>
      </c>
      <c r="C43" s="16" t="s">
        <v>30</v>
      </c>
      <c r="D43" s="17"/>
    </row>
    <row r="44" spans="1:4">
      <c r="A44" s="30" t="s">
        <v>33</v>
      </c>
      <c r="B44" s="31">
        <f>SUM(B45:B48)</f>
        <v>61617</v>
      </c>
      <c r="C44" s="31">
        <f>SUM(C45:C48)</f>
        <v>62646</v>
      </c>
      <c r="D44" s="31">
        <f>SUM(D45:D47)</f>
        <v>0</v>
      </c>
    </row>
    <row r="45" spans="1:4">
      <c r="A45" s="18" t="s">
        <v>114</v>
      </c>
      <c r="B45" s="26">
        <v>40391</v>
      </c>
      <c r="C45" s="26">
        <f>B45+843</f>
        <v>41234</v>
      </c>
      <c r="D45" s="26"/>
    </row>
    <row r="46" spans="1:4">
      <c r="A46" s="18" t="s">
        <v>115</v>
      </c>
      <c r="B46" s="26">
        <v>8937</v>
      </c>
      <c r="C46" s="26">
        <f>B46+186</f>
        <v>9123</v>
      </c>
      <c r="D46" s="26"/>
    </row>
    <row r="47" spans="1:4">
      <c r="A47" s="18" t="s">
        <v>116</v>
      </c>
      <c r="B47" s="26">
        <v>12145</v>
      </c>
      <c r="C47" s="26">
        <v>12145</v>
      </c>
      <c r="D47" s="26"/>
    </row>
    <row r="48" spans="1:4">
      <c r="A48" s="18" t="s">
        <v>565</v>
      </c>
      <c r="B48" s="26">
        <v>144</v>
      </c>
      <c r="C48" s="26">
        <v>144</v>
      </c>
      <c r="D48" s="26"/>
    </row>
    <row r="49" spans="1:4">
      <c r="A49" s="83" t="s">
        <v>157</v>
      </c>
      <c r="B49" s="82">
        <v>150</v>
      </c>
      <c r="C49" s="82">
        <v>150</v>
      </c>
      <c r="D49" s="26"/>
    </row>
    <row r="50" spans="1:4">
      <c r="A50" s="27" t="s">
        <v>117</v>
      </c>
      <c r="B50" s="19">
        <v>0</v>
      </c>
      <c r="C50" s="19"/>
      <c r="D50" s="19"/>
    </row>
    <row r="51" spans="1:4">
      <c r="A51" s="27"/>
      <c r="B51" s="19"/>
      <c r="C51" s="19">
        <v>0</v>
      </c>
      <c r="D51" s="19"/>
    </row>
    <row r="52" spans="1:4">
      <c r="A52" s="18"/>
      <c r="B52" s="26"/>
      <c r="C52" s="26"/>
      <c r="D52" s="26"/>
    </row>
    <row r="53" spans="1:4">
      <c r="A53" s="83" t="s">
        <v>118</v>
      </c>
      <c r="B53" s="82">
        <f>SUM(B44+B49+B50+B51)</f>
        <v>61767</v>
      </c>
      <c r="C53" s="82">
        <f>C49+C44</f>
        <v>62796</v>
      </c>
      <c r="D53" s="26"/>
    </row>
    <row r="54" spans="1:4">
      <c r="D54" s="2"/>
    </row>
    <row r="55" spans="1:4">
      <c r="D55" s="2"/>
    </row>
    <row r="60" spans="1:4">
      <c r="A60" s="414"/>
      <c r="B60" s="415"/>
      <c r="C60" s="503"/>
      <c r="D60" s="503"/>
    </row>
    <row r="61" spans="1:4">
      <c r="A61" s="487"/>
      <c r="B61" s="472"/>
      <c r="C61" s="472"/>
      <c r="D61" s="472"/>
    </row>
    <row r="62" spans="1:4">
      <c r="A62" s="487"/>
      <c r="B62" s="472"/>
      <c r="C62" s="472"/>
      <c r="D62" s="472"/>
    </row>
    <row r="63" spans="1:4">
      <c r="A63" s="492"/>
      <c r="B63" s="477"/>
      <c r="C63" s="492"/>
      <c r="D63" s="492"/>
    </row>
    <row r="64" spans="1:4">
      <c r="A64" s="414"/>
      <c r="B64" s="415"/>
      <c r="C64" s="414"/>
      <c r="D64" s="414"/>
    </row>
    <row r="65" spans="1:4">
      <c r="A65" s="491"/>
      <c r="B65" s="472"/>
      <c r="C65" s="472"/>
      <c r="D65" s="472"/>
    </row>
    <row r="66" spans="1:4">
      <c r="A66" s="414"/>
      <c r="B66" s="415"/>
      <c r="C66" s="414"/>
      <c r="D66" s="414"/>
    </row>
    <row r="67" spans="1:4">
      <c r="A67" s="414"/>
      <c r="B67" s="415"/>
      <c r="C67" s="414"/>
      <c r="D67" s="414"/>
    </row>
    <row r="68" spans="1:4">
      <c r="A68" s="416"/>
      <c r="B68" s="66"/>
      <c r="C68" s="65"/>
      <c r="D68" s="65"/>
    </row>
    <row r="69" spans="1:4">
      <c r="A69" s="416"/>
      <c r="B69" s="417"/>
      <c r="C69" s="416"/>
      <c r="D69" s="416"/>
    </row>
    <row r="70" spans="1:4">
      <c r="A70" s="418"/>
      <c r="B70" s="417"/>
      <c r="C70" s="417"/>
      <c r="D70" s="416"/>
    </row>
    <row r="71" spans="1:4">
      <c r="A71" s="418"/>
      <c r="B71" s="417"/>
      <c r="C71" s="416"/>
      <c r="D71" s="416"/>
    </row>
    <row r="72" spans="1:4">
      <c r="A72" s="418"/>
      <c r="B72" s="417"/>
      <c r="C72" s="416"/>
      <c r="D72" s="416"/>
    </row>
    <row r="73" spans="1:4">
      <c r="A73" s="418"/>
      <c r="B73" s="417"/>
      <c r="C73" s="416"/>
      <c r="D73" s="416"/>
    </row>
    <row r="74" spans="1:4">
      <c r="A74" s="418"/>
      <c r="B74" s="417"/>
      <c r="C74" s="417"/>
      <c r="D74" s="416"/>
    </row>
    <row r="75" spans="1:4">
      <c r="A75" s="418"/>
      <c r="B75" s="417"/>
      <c r="C75" s="416"/>
      <c r="D75" s="416"/>
    </row>
    <row r="76" spans="1:4">
      <c r="A76" s="418"/>
      <c r="B76" s="417"/>
      <c r="C76" s="416"/>
      <c r="D76" s="416"/>
    </row>
    <row r="77" spans="1:4">
      <c r="A77" s="416"/>
      <c r="B77" s="417"/>
      <c r="C77" s="416"/>
      <c r="D77" s="416"/>
    </row>
    <row r="78" spans="1:4">
      <c r="A78" s="418"/>
      <c r="B78" s="417"/>
      <c r="C78" s="416"/>
      <c r="D78" s="416"/>
    </row>
    <row r="79" spans="1:4">
      <c r="A79" s="416"/>
      <c r="B79" s="417"/>
      <c r="C79" s="417"/>
      <c r="D79" s="416"/>
    </row>
    <row r="80" spans="1:4">
      <c r="A80" s="416"/>
      <c r="B80" s="417"/>
      <c r="C80" s="416"/>
      <c r="D80" s="416"/>
    </row>
    <row r="81" spans="1:4">
      <c r="A81" s="416"/>
      <c r="B81" s="417"/>
      <c r="C81" s="417"/>
      <c r="D81" s="416"/>
    </row>
    <row r="82" spans="1:4">
      <c r="A82" s="416"/>
      <c r="B82" s="417"/>
      <c r="C82" s="416"/>
      <c r="D82" s="416"/>
    </row>
    <row r="83" spans="1:4">
      <c r="A83" s="416"/>
      <c r="B83" s="417"/>
      <c r="C83" s="416"/>
      <c r="D83" s="416"/>
    </row>
    <row r="84" spans="1:4">
      <c r="A84" s="416"/>
      <c r="B84" s="417"/>
      <c r="C84" s="417"/>
      <c r="D84" s="416"/>
    </row>
    <row r="85" spans="1:4">
      <c r="A85" s="416"/>
      <c r="B85" s="417"/>
      <c r="C85" s="416"/>
      <c r="D85" s="416"/>
    </row>
    <row r="86" spans="1:4">
      <c r="A86" s="418"/>
      <c r="B86" s="417"/>
      <c r="C86" s="416"/>
      <c r="D86" s="416"/>
    </row>
    <row r="87" spans="1:4">
      <c r="A87" s="418"/>
      <c r="B87" s="417"/>
      <c r="C87" s="416"/>
      <c r="D87" s="416"/>
    </row>
    <row r="88" spans="1:4">
      <c r="A88" s="418"/>
      <c r="B88" s="417"/>
      <c r="C88" s="416"/>
      <c r="D88" s="416"/>
    </row>
    <row r="89" spans="1:4">
      <c r="A89" s="416"/>
      <c r="B89" s="417"/>
      <c r="C89" s="416"/>
      <c r="D89" s="416"/>
    </row>
    <row r="90" spans="1:4">
      <c r="A90" s="418"/>
      <c r="B90" s="417"/>
      <c r="C90" s="416"/>
      <c r="D90" s="416"/>
    </row>
    <row r="91" spans="1:4">
      <c r="A91" s="416"/>
      <c r="B91" s="417"/>
      <c r="C91" s="416"/>
      <c r="D91" s="416"/>
    </row>
    <row r="92" spans="1:4">
      <c r="A92" s="418"/>
      <c r="B92" s="417"/>
      <c r="C92" s="416"/>
      <c r="D92" s="416"/>
    </row>
    <row r="93" spans="1:4">
      <c r="A93" s="416"/>
      <c r="B93" s="417"/>
      <c r="C93" s="416"/>
      <c r="D93" s="416"/>
    </row>
    <row r="94" spans="1:4">
      <c r="A94" s="416"/>
      <c r="B94" s="417"/>
      <c r="C94" s="416"/>
      <c r="D94" s="416"/>
    </row>
    <row r="95" spans="1:4">
      <c r="A95" s="418"/>
      <c r="B95" s="417"/>
      <c r="C95" s="417"/>
      <c r="D95" s="416"/>
    </row>
    <row r="96" spans="1:4">
      <c r="A96" s="418"/>
      <c r="B96" s="417"/>
      <c r="C96" s="417"/>
      <c r="D96" s="416"/>
    </row>
    <row r="97" spans="1:4">
      <c r="A97" s="418"/>
      <c r="B97" s="417"/>
      <c r="C97" s="417"/>
      <c r="D97" s="416"/>
    </row>
    <row r="98" spans="1:4">
      <c r="A98" s="418"/>
      <c r="B98" s="417"/>
      <c r="C98" s="417"/>
      <c r="D98" s="416"/>
    </row>
    <row r="99" spans="1:4">
      <c r="A99" s="418"/>
      <c r="B99" s="417"/>
      <c r="C99" s="417"/>
      <c r="D99" s="416"/>
    </row>
    <row r="100" spans="1:4">
      <c r="A100" s="65"/>
      <c r="B100" s="417"/>
      <c r="C100" s="416"/>
      <c r="D100" s="416"/>
    </row>
    <row r="101" spans="1:4">
      <c r="A101" s="416"/>
      <c r="B101" s="66"/>
      <c r="C101" s="66"/>
      <c r="D101" s="66"/>
    </row>
    <row r="102" spans="1:4">
      <c r="A102" s="416"/>
      <c r="B102" s="417"/>
      <c r="C102" s="416"/>
      <c r="D102" s="416"/>
    </row>
    <row r="103" spans="1:4">
      <c r="A103" s="416"/>
      <c r="B103" s="417"/>
      <c r="C103" s="416"/>
      <c r="D103" s="416"/>
    </row>
    <row r="104" spans="1:4">
      <c r="A104" s="416"/>
      <c r="B104" s="417"/>
      <c r="C104" s="416"/>
      <c r="D104" s="416"/>
    </row>
    <row r="105" spans="1:4">
      <c r="A105" s="416"/>
      <c r="B105" s="417"/>
      <c r="C105" s="416"/>
      <c r="D105" s="416"/>
    </row>
    <row r="106" spans="1:4">
      <c r="A106" s="416"/>
      <c r="B106" s="417"/>
      <c r="C106" s="416"/>
      <c r="D106" s="416"/>
    </row>
    <row r="107" spans="1:4">
      <c r="A107" s="416"/>
      <c r="B107" s="417"/>
      <c r="C107" s="416"/>
      <c r="D107" s="416"/>
    </row>
    <row r="108" spans="1:4">
      <c r="A108" s="416"/>
      <c r="B108" s="417"/>
      <c r="C108" s="416"/>
      <c r="D108" s="416"/>
    </row>
    <row r="109" spans="1:4">
      <c r="A109" s="416"/>
      <c r="B109" s="417"/>
      <c r="C109" s="416"/>
      <c r="D109" s="416"/>
    </row>
    <row r="110" spans="1:4">
      <c r="A110" s="416"/>
      <c r="B110" s="417"/>
      <c r="C110" s="416"/>
      <c r="D110" s="416"/>
    </row>
    <row r="111" spans="1:4">
      <c r="A111" s="416"/>
      <c r="B111" s="417"/>
      <c r="C111" s="416"/>
      <c r="D111" s="416"/>
    </row>
    <row r="112" spans="1:4">
      <c r="A112" s="416"/>
      <c r="B112" s="417"/>
      <c r="C112" s="416"/>
      <c r="D112" s="416"/>
    </row>
    <row r="113" spans="1:4">
      <c r="A113" s="416"/>
      <c r="B113" s="417"/>
      <c r="C113" s="416"/>
      <c r="D113" s="416"/>
    </row>
    <row r="114" spans="1:4">
      <c r="A114" s="65"/>
      <c r="B114" s="417"/>
      <c r="C114" s="416"/>
      <c r="D114" s="416"/>
    </row>
    <row r="115" spans="1:4">
      <c r="A115" s="65"/>
      <c r="B115" s="66"/>
      <c r="C115" s="65"/>
      <c r="D115" s="416"/>
    </row>
    <row r="116" spans="1:4">
      <c r="A116" s="416"/>
      <c r="B116" s="66"/>
      <c r="C116" s="65"/>
      <c r="D116" s="416"/>
    </row>
    <row r="117" spans="1:4">
      <c r="A117" s="416"/>
      <c r="B117" s="417"/>
      <c r="C117" s="416"/>
      <c r="D117" s="416"/>
    </row>
    <row r="118" spans="1:4">
      <c r="A118" s="416"/>
      <c r="B118" s="417"/>
      <c r="C118" s="416"/>
      <c r="D118" s="416"/>
    </row>
    <row r="119" spans="1:4">
      <c r="A119" s="65"/>
      <c r="B119" s="417"/>
      <c r="C119" s="416"/>
      <c r="D119" s="416"/>
    </row>
    <row r="120" spans="1:4">
      <c r="A120" s="65"/>
      <c r="B120" s="66"/>
      <c r="C120" s="65"/>
      <c r="D120" s="65"/>
    </row>
    <row r="121" spans="1:4">
      <c r="A121" s="65"/>
      <c r="B121" s="66"/>
      <c r="C121" s="65"/>
      <c r="D121" s="65"/>
    </row>
    <row r="122" spans="1:4">
      <c r="A122" s="65"/>
      <c r="B122" s="417"/>
      <c r="C122" s="416"/>
      <c r="D122" s="416"/>
    </row>
    <row r="123" spans="1:4">
      <c r="A123" s="65"/>
      <c r="B123" s="417"/>
      <c r="C123" s="416"/>
      <c r="D123" s="416"/>
    </row>
    <row r="124" spans="1:4">
      <c r="A124" s="416"/>
      <c r="B124" s="417"/>
      <c r="C124" s="416"/>
      <c r="D124" s="416"/>
    </row>
    <row r="125" spans="1:4">
      <c r="A125" s="65"/>
      <c r="B125" s="417"/>
      <c r="C125" s="416"/>
      <c r="D125" s="416"/>
    </row>
    <row r="126" spans="1:4">
      <c r="A126" s="416"/>
      <c r="B126" s="66"/>
      <c r="C126" s="65"/>
      <c r="D126" s="65"/>
    </row>
    <row r="127" spans="1:4">
      <c r="A127" s="416"/>
      <c r="B127" s="417"/>
      <c r="C127" s="416"/>
      <c r="D127" s="416"/>
    </row>
    <row r="128" spans="1:4">
      <c r="A128" s="418"/>
      <c r="B128" s="417"/>
      <c r="C128" s="417"/>
      <c r="D128" s="416"/>
    </row>
    <row r="129" spans="1:4">
      <c r="A129" s="418"/>
      <c r="B129" s="417"/>
      <c r="C129" s="417"/>
      <c r="D129" s="417"/>
    </row>
    <row r="130" spans="1:4">
      <c r="A130" s="418"/>
      <c r="B130" s="417"/>
      <c r="C130" s="416"/>
      <c r="D130" s="416"/>
    </row>
    <row r="131" spans="1:4">
      <c r="A131" s="418"/>
      <c r="B131" s="417"/>
      <c r="C131" s="416"/>
      <c r="D131" s="416"/>
    </row>
    <row r="132" spans="1:4">
      <c r="A132" s="418"/>
      <c r="B132" s="417"/>
      <c r="C132" s="417"/>
      <c r="D132" s="417"/>
    </row>
    <row r="133" spans="1:4">
      <c r="A133" s="416"/>
      <c r="B133" s="417"/>
      <c r="C133" s="416"/>
      <c r="D133" s="416"/>
    </row>
    <row r="134" spans="1:4">
      <c r="A134" s="416"/>
      <c r="B134" s="417"/>
      <c r="C134" s="416"/>
      <c r="D134" s="416"/>
    </row>
    <row r="135" spans="1:4">
      <c r="A135" s="418"/>
      <c r="B135" s="417"/>
      <c r="C135" s="416"/>
      <c r="D135" s="416"/>
    </row>
    <row r="136" spans="1:4">
      <c r="A136" s="418"/>
      <c r="B136" s="417"/>
      <c r="C136" s="417"/>
      <c r="D136" s="417"/>
    </row>
    <row r="137" spans="1:4">
      <c r="A137" s="418"/>
      <c r="B137" s="419"/>
      <c r="C137" s="417"/>
      <c r="D137" s="416"/>
    </row>
    <row r="138" spans="1:4">
      <c r="A138" s="418"/>
      <c r="B138" s="419"/>
      <c r="C138" s="417"/>
      <c r="D138" s="416"/>
    </row>
    <row r="139" spans="1:4">
      <c r="A139" s="418"/>
      <c r="B139" s="419"/>
      <c r="C139" s="417"/>
      <c r="D139" s="416"/>
    </row>
    <row r="140" spans="1:4">
      <c r="A140" s="418"/>
      <c r="B140" s="417"/>
      <c r="C140" s="417"/>
      <c r="D140" s="416"/>
    </row>
    <row r="141" spans="1:4">
      <c r="A141" s="418"/>
      <c r="B141" s="417"/>
      <c r="C141" s="417"/>
      <c r="D141" s="417"/>
    </row>
    <row r="142" spans="1:4">
      <c r="A142" s="418"/>
      <c r="B142" s="417"/>
      <c r="C142" s="417"/>
      <c r="D142" s="416"/>
    </row>
    <row r="143" spans="1:4">
      <c r="A143" s="416"/>
      <c r="B143" s="417"/>
      <c r="C143" s="417"/>
      <c r="D143" s="416"/>
    </row>
    <row r="144" spans="1:4">
      <c r="A144" s="416"/>
      <c r="B144" s="417"/>
      <c r="C144" s="417"/>
      <c r="D144" s="416"/>
    </row>
    <row r="145" spans="1:4">
      <c r="A145" s="416"/>
      <c r="B145" s="417"/>
      <c r="C145" s="417"/>
      <c r="D145" s="417"/>
    </row>
    <row r="146" spans="1:4">
      <c r="A146" s="416"/>
      <c r="B146" s="417"/>
      <c r="C146" s="416"/>
      <c r="D146" s="416"/>
    </row>
    <row r="147" spans="1:4">
      <c r="A147" s="416"/>
      <c r="B147" s="417"/>
      <c r="C147" s="416"/>
      <c r="D147" s="416"/>
    </row>
    <row r="148" spans="1:4">
      <c r="A148" s="416"/>
      <c r="B148" s="417"/>
      <c r="C148" s="416"/>
      <c r="D148" s="416"/>
    </row>
    <row r="149" spans="1:4">
      <c r="A149" s="418"/>
      <c r="B149" s="417"/>
      <c r="C149" s="416"/>
      <c r="D149" s="416"/>
    </row>
    <row r="150" spans="1:4">
      <c r="A150" s="418"/>
      <c r="B150" s="417"/>
      <c r="C150" s="417"/>
      <c r="D150" s="417"/>
    </row>
    <row r="151" spans="1:4">
      <c r="A151" s="418"/>
      <c r="B151" s="417"/>
      <c r="C151" s="420"/>
      <c r="D151" s="416"/>
    </row>
    <row r="152" spans="1:4">
      <c r="A152" s="416"/>
      <c r="B152" s="417"/>
      <c r="C152" s="417"/>
      <c r="D152" s="416"/>
    </row>
    <row r="153" spans="1:4">
      <c r="A153" s="65"/>
      <c r="B153" s="417"/>
      <c r="C153" s="416"/>
      <c r="D153" s="416"/>
    </row>
    <row r="154" spans="1:4">
      <c r="A154" s="9"/>
      <c r="B154" s="66"/>
      <c r="C154" s="66"/>
      <c r="D154" s="66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1:4">
      <c r="A193" s="9"/>
      <c r="B193" s="8"/>
      <c r="C193" s="9"/>
      <c r="D193" s="9"/>
    </row>
    <row r="194" spans="1:4">
      <c r="A194" s="9"/>
      <c r="B194" s="8"/>
      <c r="C194" s="9"/>
      <c r="D194" s="9"/>
    </row>
    <row r="195" spans="1:4">
      <c r="A195" s="9"/>
      <c r="B195" s="8"/>
      <c r="C195" s="9"/>
      <c r="D195" s="9"/>
    </row>
    <row r="196" spans="1:4">
      <c r="B196" s="8"/>
      <c r="C196" s="9"/>
      <c r="D196" s="9"/>
    </row>
  </sheetData>
  <mergeCells count="16">
    <mergeCell ref="A65:D65"/>
    <mergeCell ref="A9:M9"/>
    <mergeCell ref="A10:D10"/>
    <mergeCell ref="A62:D62"/>
    <mergeCell ref="A61:D61"/>
    <mergeCell ref="C39:D39"/>
    <mergeCell ref="C60:D60"/>
    <mergeCell ref="A63:D63"/>
    <mergeCell ref="C38:D38"/>
    <mergeCell ref="A7:D7"/>
    <mergeCell ref="A8:D8"/>
    <mergeCell ref="C12:D12"/>
    <mergeCell ref="A34:D34"/>
    <mergeCell ref="A35:D35"/>
    <mergeCell ref="A33:D33"/>
    <mergeCell ref="A11:D11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 .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11_ melléklet</vt:lpstr>
      <vt:lpstr>12_melléklet</vt:lpstr>
      <vt:lpstr>13_ melléklet</vt:lpstr>
      <vt:lpstr>14 melléklet</vt:lpstr>
      <vt:lpstr>15 melléklet</vt:lpstr>
      <vt:lpstr>'1 . melléklet'!Nyomtatási_terület</vt:lpstr>
      <vt:lpstr>'10 melléklet'!Nyomtatási_terület</vt:lpstr>
      <vt:lpstr>'11_ melléklet'!Nyomtatási_terület</vt:lpstr>
      <vt:lpstr>'15 melléklet'!Nyomtatási_terület</vt:lpstr>
      <vt:lpstr>'2 melléklet'!Nyomtatási_terület</vt:lpstr>
      <vt:lpstr>'3 melléklet'!Nyomtatási_terület</vt:lpstr>
      <vt:lpstr>'4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Evi</cp:lastModifiedBy>
  <cp:lastPrinted>2017-07-13T07:36:51Z</cp:lastPrinted>
  <dcterms:created xsi:type="dcterms:W3CDTF">2006-06-22T11:52:42Z</dcterms:created>
  <dcterms:modified xsi:type="dcterms:W3CDTF">2017-07-18T08:19:13Z</dcterms:modified>
</cp:coreProperties>
</file>