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20\"/>
    </mc:Choice>
  </mc:AlternateContent>
  <xr:revisionPtr revIDLastSave="0" documentId="13_ncr:1_{F4A8844F-54C7-4BB5-AE01-2279A704BA99}" xr6:coauthVersionLast="45" xr6:coauthVersionMax="45" xr10:uidLastSave="{00000000-0000-0000-0000-000000000000}"/>
  <bookViews>
    <workbookView xWindow="-120" yWindow="-120" windowWidth="19440" windowHeight="15000" tabRatio="847" firstSheet="8" activeTab="8" xr2:uid="{00000000-000D-0000-FFFF-FFFF00000000}"/>
  </bookViews>
  <sheets>
    <sheet name="Önk.bev." sheetId="34" state="hidden" r:id="rId1"/>
    <sheet name="Önk.kiad." sheetId="33" state="hidden" r:id="rId2"/>
    <sheet name="Hiv.bev." sheetId="32" state="hidden" r:id="rId3"/>
    <sheet name="Hiv.kiad." sheetId="31" state="hidden" r:id="rId4"/>
    <sheet name="Művh.bev." sheetId="36" state="hidden" r:id="rId5"/>
    <sheet name="Művh.kiad." sheetId="35" state="hidden" r:id="rId6"/>
    <sheet name="Ovibev." sheetId="30" state="hidden" r:id="rId7"/>
    <sheet name="Ovikiad." sheetId="29" state="hidden" r:id="rId8"/>
    <sheet name="1.sz.melléklet" sheetId="19" r:id="rId9"/>
    <sheet name="2. sz.melléklet" sheetId="3" r:id="rId10"/>
    <sheet name="3.sz. melléklet" sheetId="20" r:id="rId11"/>
    <sheet name="4. sz. melléklet" sheetId="2" r:id="rId12"/>
    <sheet name="5. sz. melléklet" sheetId="18" r:id="rId13"/>
    <sheet name="6. sz.melléklet" sheetId="5" r:id="rId14"/>
    <sheet name="7.sz. melléklet" sheetId="21" r:id="rId15"/>
    <sheet name="8.sz. melléklet" sheetId="22" r:id="rId16"/>
    <sheet name="9.sz.melléklet" sheetId="23" r:id="rId17"/>
    <sheet name="10.sz.melléklet" sheetId="24" r:id="rId18"/>
    <sheet name="11.sz.melléklet" sheetId="25" r:id="rId19"/>
    <sheet name="12.sz.melléklet" sheetId="28" r:id="rId20"/>
  </sheets>
  <externalReferences>
    <externalReference r:id="rId21"/>
    <externalReference r:id="rId22"/>
    <externalReference r:id="rId23"/>
    <externalReference r:id="rId24"/>
  </externalReferences>
  <definedNames>
    <definedName name="_xlnm._FilterDatabase" localSheetId="10" hidden="1">'3.sz. melléklet'!$B$1:$B$160</definedName>
    <definedName name="_xlnm.Print_Area" localSheetId="8">'1.sz.melléklet'!$A$1:$E$92</definedName>
    <definedName name="_xlnm.Print_Area" localSheetId="12">'5. sz. melléklet'!$A$1:$B$16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24" l="1"/>
  <c r="B17" i="24"/>
  <c r="B23" i="3"/>
  <c r="D154" i="20" l="1"/>
  <c r="D143" i="20"/>
  <c r="D149" i="20"/>
  <c r="N42" i="24"/>
  <c r="C23" i="24"/>
  <c r="N22" i="24"/>
  <c r="C22" i="24"/>
  <c r="D21" i="24"/>
  <c r="E21" i="24"/>
  <c r="F21" i="24"/>
  <c r="G21" i="24"/>
  <c r="H21" i="24"/>
  <c r="I21" i="24"/>
  <c r="J21" i="24"/>
  <c r="K21" i="24"/>
  <c r="L21" i="24"/>
  <c r="M21" i="24"/>
  <c r="C21" i="24"/>
  <c r="C6" i="28"/>
  <c r="C19" i="23"/>
  <c r="C36" i="21"/>
  <c r="C27" i="21"/>
  <c r="C34" i="21"/>
  <c r="C18" i="21"/>
  <c r="B12" i="5"/>
  <c r="B29" i="2"/>
  <c r="B27" i="2"/>
  <c r="B28" i="2"/>
  <c r="B19" i="2"/>
  <c r="B18" i="2"/>
  <c r="B9" i="2"/>
  <c r="C74" i="20"/>
  <c r="D74" i="20"/>
  <c r="H18" i="20"/>
  <c r="G11" i="3"/>
  <c r="H10" i="3"/>
  <c r="C22" i="3"/>
  <c r="C21" i="3"/>
  <c r="C20" i="3"/>
  <c r="D35" i="35"/>
  <c r="C35" i="35"/>
  <c r="G31" i="35"/>
  <c r="F31" i="35" s="1"/>
  <c r="G30" i="35"/>
  <c r="F30" i="35" s="1"/>
  <c r="G28" i="35"/>
  <c r="E28" i="35" s="1"/>
  <c r="G27" i="35"/>
  <c r="E27" i="35" s="1"/>
  <c r="G26" i="35"/>
  <c r="E26" i="35" s="1"/>
  <c r="G25" i="35"/>
  <c r="F25" i="35" s="1"/>
  <c r="G24" i="35"/>
  <c r="E24" i="35" s="1"/>
  <c r="G23" i="35"/>
  <c r="E23" i="35" s="1"/>
  <c r="G22" i="35"/>
  <c r="F22" i="35" s="1"/>
  <c r="G21" i="35"/>
  <c r="E21" i="35" s="1"/>
  <c r="F21" i="35"/>
  <c r="G20" i="35"/>
  <c r="F20" i="35" s="1"/>
  <c r="G19" i="35"/>
  <c r="E19" i="35"/>
  <c r="G17" i="35"/>
  <c r="E17" i="35" s="1"/>
  <c r="G16" i="35"/>
  <c r="G14" i="35"/>
  <c r="F14" i="35" s="1"/>
  <c r="G13" i="35"/>
  <c r="E13" i="35" s="1"/>
  <c r="G12" i="35"/>
  <c r="F12" i="35"/>
  <c r="E12" i="35"/>
  <c r="G11" i="35"/>
  <c r="F11" i="35" s="1"/>
  <c r="G10" i="35"/>
  <c r="E10" i="35"/>
  <c r="G9" i="35"/>
  <c r="F9" i="35" s="1"/>
  <c r="G8" i="35"/>
  <c r="D21" i="36"/>
  <c r="C21" i="36"/>
  <c r="G19" i="36"/>
  <c r="F19" i="36" s="1"/>
  <c r="F18" i="36"/>
  <c r="E18" i="36"/>
  <c r="F17" i="36"/>
  <c r="E17" i="36"/>
  <c r="E19" i="36" s="1"/>
  <c r="G13" i="36"/>
  <c r="G21" i="36" s="1"/>
  <c r="F21" i="36" s="1"/>
  <c r="F13" i="36"/>
  <c r="F12" i="36"/>
  <c r="E12" i="36"/>
  <c r="F11" i="36"/>
  <c r="E11" i="36"/>
  <c r="G10" i="36"/>
  <c r="F10" i="36"/>
  <c r="E10" i="36"/>
  <c r="F9" i="36"/>
  <c r="E9" i="36"/>
  <c r="E13" i="36" s="1"/>
  <c r="C21" i="21" l="1"/>
  <c r="G18" i="35"/>
  <c r="F18" i="35" s="1"/>
  <c r="F17" i="35"/>
  <c r="G15" i="35"/>
  <c r="G33" i="35" s="1"/>
  <c r="E9" i="35"/>
  <c r="E16" i="35"/>
  <c r="E18" i="35" s="1"/>
  <c r="E20" i="35"/>
  <c r="F24" i="35"/>
  <c r="G29" i="35"/>
  <c r="F29" i="35" s="1"/>
  <c r="F16" i="35"/>
  <c r="F27" i="35"/>
  <c r="G32" i="35"/>
  <c r="F32" i="35" s="1"/>
  <c r="E8" i="35"/>
  <c r="E11" i="35"/>
  <c r="E14" i="35"/>
  <c r="F19" i="35"/>
  <c r="E22" i="35"/>
  <c r="E25" i="35"/>
  <c r="E29" i="35" s="1"/>
  <c r="E31" i="35"/>
  <c r="F8" i="35"/>
  <c r="E30" i="35"/>
  <c r="E21" i="36"/>
  <c r="F15" i="35" l="1"/>
  <c r="G35" i="35"/>
  <c r="F33" i="35"/>
  <c r="F35" i="35" s="1"/>
  <c r="E32" i="35"/>
  <c r="E15" i="35"/>
  <c r="E33" i="35" l="1"/>
  <c r="E35" i="35" s="1"/>
  <c r="D37" i="29" l="1"/>
  <c r="C35" i="29"/>
  <c r="C37" i="29" s="1"/>
  <c r="G33" i="29"/>
  <c r="G32" i="29"/>
  <c r="G30" i="29"/>
  <c r="F30" i="29" s="1"/>
  <c r="G29" i="29"/>
  <c r="F29" i="29" s="1"/>
  <c r="G28" i="29"/>
  <c r="E28" i="29" s="1"/>
  <c r="G27" i="29"/>
  <c r="E27" i="29" s="1"/>
  <c r="F27" i="29"/>
  <c r="G26" i="29"/>
  <c r="F26" i="29" s="1"/>
  <c r="G25" i="29"/>
  <c r="F25" i="29" s="1"/>
  <c r="G24" i="29"/>
  <c r="E24" i="29" s="1"/>
  <c r="G23" i="29"/>
  <c r="E23" i="29" s="1"/>
  <c r="G22" i="29"/>
  <c r="F22" i="29" s="1"/>
  <c r="E22" i="29"/>
  <c r="G21" i="29"/>
  <c r="F21" i="29" s="1"/>
  <c r="G20" i="29"/>
  <c r="E20" i="29" s="1"/>
  <c r="G18" i="29"/>
  <c r="E18" i="29" s="1"/>
  <c r="G17" i="29"/>
  <c r="E17" i="29" s="1"/>
  <c r="E19" i="29" s="1"/>
  <c r="G15" i="29"/>
  <c r="E15" i="29" s="1"/>
  <c r="G14" i="29"/>
  <c r="E14" i="29" s="1"/>
  <c r="F14" i="29"/>
  <c r="G13" i="29"/>
  <c r="F13" i="29" s="1"/>
  <c r="E13" i="29"/>
  <c r="G12" i="29"/>
  <c r="F12" i="29" s="1"/>
  <c r="G11" i="29"/>
  <c r="F11" i="29" s="1"/>
  <c r="G10" i="29"/>
  <c r="E10" i="29" s="1"/>
  <c r="F10" i="29"/>
  <c r="G9" i="29"/>
  <c r="E9" i="29" s="1"/>
  <c r="G8" i="29"/>
  <c r="F8" i="29" s="1"/>
  <c r="D22" i="30"/>
  <c r="G20" i="30"/>
  <c r="F20" i="30"/>
  <c r="E20" i="30"/>
  <c r="C20" i="30"/>
  <c r="F19" i="30"/>
  <c r="E19" i="30"/>
  <c r="F18" i="30"/>
  <c r="E18" i="30"/>
  <c r="E17" i="30"/>
  <c r="C13" i="30"/>
  <c r="C22" i="30" s="1"/>
  <c r="F12" i="30"/>
  <c r="E12" i="30"/>
  <c r="F11" i="30"/>
  <c r="E11" i="30"/>
  <c r="G10" i="30"/>
  <c r="E10" i="30" s="1"/>
  <c r="F10" i="30"/>
  <c r="F9" i="30"/>
  <c r="E9" i="30"/>
  <c r="E30" i="29" l="1"/>
  <c r="F23" i="29"/>
  <c r="E26" i="29"/>
  <c r="F28" i="29"/>
  <c r="G34" i="29"/>
  <c r="F34" i="29" s="1"/>
  <c r="C22" i="21"/>
  <c r="F33" i="29"/>
  <c r="C23" i="21"/>
  <c r="F20" i="29"/>
  <c r="F24" i="29"/>
  <c r="E12" i="29"/>
  <c r="F17" i="29"/>
  <c r="F32" i="29"/>
  <c r="E8" i="29"/>
  <c r="E11" i="29"/>
  <c r="G16" i="29"/>
  <c r="G19" i="29"/>
  <c r="F19" i="29" s="1"/>
  <c r="E21" i="29"/>
  <c r="E25" i="29"/>
  <c r="E29" i="29"/>
  <c r="G31" i="29"/>
  <c r="F31" i="29" s="1"/>
  <c r="E33" i="29"/>
  <c r="E32" i="29"/>
  <c r="E34" i="29" s="1"/>
  <c r="E13" i="30"/>
  <c r="E22" i="30" s="1"/>
  <c r="G13" i="30"/>
  <c r="E31" i="29" l="1"/>
  <c r="C24" i="21"/>
  <c r="C39" i="21" s="1"/>
  <c r="E16" i="29"/>
  <c r="E35" i="29" s="1"/>
  <c r="E37" i="29" s="1"/>
  <c r="G35" i="29"/>
  <c r="F16" i="29"/>
  <c r="G22" i="30"/>
  <c r="F13" i="30"/>
  <c r="G37" i="29" l="1"/>
  <c r="F35" i="29"/>
  <c r="F37" i="29" s="1"/>
  <c r="G25" i="30"/>
  <c r="F22" i="30"/>
  <c r="C38" i="31" l="1"/>
  <c r="D36" i="31"/>
  <c r="D38" i="31" s="1"/>
  <c r="G35" i="31"/>
  <c r="E35" i="31" s="1"/>
  <c r="G33" i="31"/>
  <c r="F33" i="31" s="1"/>
  <c r="G32" i="31"/>
  <c r="F32" i="31" s="1"/>
  <c r="G31" i="31"/>
  <c r="F31" i="31" s="1"/>
  <c r="G30" i="31"/>
  <c r="F30" i="31" s="1"/>
  <c r="G29" i="31"/>
  <c r="F29" i="31" s="1"/>
  <c r="G28" i="31"/>
  <c r="F28" i="31" s="1"/>
  <c r="G27" i="31"/>
  <c r="F27" i="31" s="1"/>
  <c r="G26" i="31"/>
  <c r="E26" i="31" s="1"/>
  <c r="G25" i="31"/>
  <c r="E25" i="31"/>
  <c r="G23" i="31"/>
  <c r="G24" i="31" s="1"/>
  <c r="G22" i="31"/>
  <c r="F22" i="31" s="1"/>
  <c r="E22" i="31"/>
  <c r="G20" i="31"/>
  <c r="F20" i="31" s="1"/>
  <c r="G19" i="31"/>
  <c r="F19" i="31" s="1"/>
  <c r="E18" i="31"/>
  <c r="G17" i="31"/>
  <c r="E17" i="31" s="1"/>
  <c r="F17" i="31"/>
  <c r="G16" i="31"/>
  <c r="G15" i="31"/>
  <c r="E15" i="31" s="1"/>
  <c r="F15" i="31"/>
  <c r="G14" i="31"/>
  <c r="F14" i="31" s="1"/>
  <c r="G13" i="31"/>
  <c r="F13" i="31" s="1"/>
  <c r="G12" i="31"/>
  <c r="F12" i="31" s="1"/>
  <c r="G11" i="31"/>
  <c r="E11" i="31" s="1"/>
  <c r="G10" i="31"/>
  <c r="F10" i="31" s="1"/>
  <c r="G9" i="31"/>
  <c r="E9" i="31" s="1"/>
  <c r="G8" i="31"/>
  <c r="F8" i="31" s="1"/>
  <c r="D27" i="32"/>
  <c r="G25" i="32"/>
  <c r="F25" i="32"/>
  <c r="F24" i="32"/>
  <c r="E24" i="32"/>
  <c r="E25" i="32" s="1"/>
  <c r="G20" i="32"/>
  <c r="F20" i="32" s="1"/>
  <c r="G19" i="32"/>
  <c r="E19" i="32" s="1"/>
  <c r="F19" i="32"/>
  <c r="F18" i="32"/>
  <c r="E18" i="32"/>
  <c r="F17" i="32"/>
  <c r="E17" i="32"/>
  <c r="F12" i="32"/>
  <c r="E12" i="32"/>
  <c r="F11" i="32"/>
  <c r="E11" i="32"/>
  <c r="G10" i="32"/>
  <c r="F10" i="32"/>
  <c r="E10" i="32"/>
  <c r="G9" i="32"/>
  <c r="F9" i="32" s="1"/>
  <c r="F8" i="32"/>
  <c r="E8" i="32"/>
  <c r="E12" i="31" l="1"/>
  <c r="E14" i="31"/>
  <c r="F26" i="31"/>
  <c r="E29" i="31"/>
  <c r="G34" i="31"/>
  <c r="F34" i="31" s="1"/>
  <c r="E30" i="31"/>
  <c r="F24" i="31"/>
  <c r="E33" i="31"/>
  <c r="E20" i="31"/>
  <c r="F25" i="31"/>
  <c r="E28" i="31"/>
  <c r="E32" i="31"/>
  <c r="E8" i="31"/>
  <c r="E21" i="31" s="1"/>
  <c r="G21" i="31"/>
  <c r="E23" i="31"/>
  <c r="E24" i="31" s="1"/>
  <c r="E27" i="31"/>
  <c r="E31" i="31"/>
  <c r="F23" i="31"/>
  <c r="E20" i="32"/>
  <c r="E9" i="32"/>
  <c r="E13" i="32" s="1"/>
  <c r="E27" i="32" s="1"/>
  <c r="G13" i="32"/>
  <c r="E34" i="31" l="1"/>
  <c r="E36" i="31" s="1"/>
  <c r="E38" i="31" s="1"/>
  <c r="G36" i="31"/>
  <c r="F21" i="31"/>
  <c r="G27" i="32"/>
  <c r="F27" i="32" s="1"/>
  <c r="F13" i="32"/>
  <c r="G38" i="31" l="1"/>
  <c r="F36" i="31"/>
  <c r="D85" i="33" l="1"/>
  <c r="C82" i="33"/>
  <c r="C85" i="33" s="1"/>
  <c r="G81" i="33"/>
  <c r="E81" i="33" s="1"/>
  <c r="G80" i="33"/>
  <c r="E80" i="33" s="1"/>
  <c r="G79" i="33"/>
  <c r="E79" i="33" s="1"/>
  <c r="G78" i="33"/>
  <c r="E78" i="33" s="1"/>
  <c r="G77" i="33"/>
  <c r="G76" i="33"/>
  <c r="G74" i="33"/>
  <c r="F74" i="33"/>
  <c r="E74" i="33"/>
  <c r="G73" i="33"/>
  <c r="F73" i="33" s="1"/>
  <c r="G72" i="33"/>
  <c r="F72" i="33"/>
  <c r="G71" i="33"/>
  <c r="F71" i="33" s="1"/>
  <c r="G70" i="33"/>
  <c r="E70" i="33" s="1"/>
  <c r="G69" i="33"/>
  <c r="E68" i="33"/>
  <c r="G67" i="33"/>
  <c r="G65" i="33"/>
  <c r="E65" i="33" s="1"/>
  <c r="E64" i="33"/>
  <c r="G63" i="33"/>
  <c r="E63" i="33" s="1"/>
  <c r="E62" i="33"/>
  <c r="G61" i="33"/>
  <c r="G59" i="33"/>
  <c r="E59" i="33" s="1"/>
  <c r="E58" i="33"/>
  <c r="G57" i="33"/>
  <c r="E57" i="33" s="1"/>
  <c r="G56" i="33"/>
  <c r="F56" i="33" s="1"/>
  <c r="E56" i="33"/>
  <c r="E55" i="33"/>
  <c r="E54" i="33"/>
  <c r="G53" i="33"/>
  <c r="E53" i="33" s="1"/>
  <c r="F53" i="33"/>
  <c r="G51" i="33"/>
  <c r="E51" i="33" s="1"/>
  <c r="G50" i="33"/>
  <c r="E50" i="33" s="1"/>
  <c r="F50" i="33"/>
  <c r="G49" i="33"/>
  <c r="F49" i="33" s="1"/>
  <c r="G48" i="33"/>
  <c r="E48" i="33" s="1"/>
  <c r="G47" i="33"/>
  <c r="F47" i="33" s="1"/>
  <c r="G46" i="33"/>
  <c r="E46" i="33" s="1"/>
  <c r="G45" i="33"/>
  <c r="F45" i="33" s="1"/>
  <c r="G44" i="33"/>
  <c r="E44" i="33" s="1"/>
  <c r="G43" i="33"/>
  <c r="F43" i="33" s="1"/>
  <c r="G42" i="33"/>
  <c r="E42" i="33" s="1"/>
  <c r="G41" i="33"/>
  <c r="F41" i="33" s="1"/>
  <c r="G40" i="33"/>
  <c r="F40" i="33" s="1"/>
  <c r="G39" i="33"/>
  <c r="F39" i="33" s="1"/>
  <c r="G38" i="33"/>
  <c r="E38" i="33" s="1"/>
  <c r="G37" i="33"/>
  <c r="F37" i="33" s="1"/>
  <c r="E36" i="33"/>
  <c r="G35" i="33"/>
  <c r="F35" i="33" s="1"/>
  <c r="G34" i="33"/>
  <c r="F34" i="33" s="1"/>
  <c r="F33" i="33"/>
  <c r="E33" i="33"/>
  <c r="F32" i="33"/>
  <c r="E32" i="33"/>
  <c r="F31" i="33"/>
  <c r="E31" i="33"/>
  <c r="F30" i="33"/>
  <c r="E30" i="33"/>
  <c r="F29" i="33"/>
  <c r="E29" i="33"/>
  <c r="F28" i="33"/>
  <c r="E28" i="33"/>
  <c r="G27" i="33"/>
  <c r="F27" i="33" s="1"/>
  <c r="F26" i="33"/>
  <c r="E26" i="33"/>
  <c r="F25" i="33"/>
  <c r="E25" i="33"/>
  <c r="F24" i="33"/>
  <c r="E24" i="33"/>
  <c r="G23" i="33"/>
  <c r="F23" i="33"/>
  <c r="G21" i="33"/>
  <c r="E21" i="33" s="1"/>
  <c r="G20" i="33"/>
  <c r="F20" i="33" s="1"/>
  <c r="G18" i="33"/>
  <c r="E18" i="33" s="1"/>
  <c r="F18" i="33"/>
  <c r="G17" i="33"/>
  <c r="G16" i="33"/>
  <c r="F16" i="33" s="1"/>
  <c r="G15" i="33"/>
  <c r="F15" i="33" s="1"/>
  <c r="G14" i="33"/>
  <c r="E14" i="33" s="1"/>
  <c r="G13" i="33"/>
  <c r="F13" i="33" s="1"/>
  <c r="G12" i="33"/>
  <c r="F12" i="33" s="1"/>
  <c r="G11" i="33"/>
  <c r="F11" i="33" s="1"/>
  <c r="G10" i="33"/>
  <c r="F10" i="33" s="1"/>
  <c r="E10" i="33"/>
  <c r="G9" i="33"/>
  <c r="F9" i="33" s="1"/>
  <c r="G8" i="33"/>
  <c r="F8" i="33" s="1"/>
  <c r="D55" i="34"/>
  <c r="C55" i="34"/>
  <c r="G50" i="34"/>
  <c r="G49" i="34"/>
  <c r="G47" i="34"/>
  <c r="G46" i="34"/>
  <c r="E45" i="34"/>
  <c r="G44" i="34"/>
  <c r="F44" i="34" s="1"/>
  <c r="G43" i="34"/>
  <c r="E43" i="34"/>
  <c r="E42" i="34"/>
  <c r="G41" i="34"/>
  <c r="G39" i="34"/>
  <c r="F39" i="34" s="1"/>
  <c r="G38" i="34"/>
  <c r="B26" i="2" s="1"/>
  <c r="G37" i="34"/>
  <c r="E37" i="34"/>
  <c r="G36" i="34"/>
  <c r="G35" i="34"/>
  <c r="G34" i="34"/>
  <c r="B22" i="2" s="1"/>
  <c r="F34" i="34"/>
  <c r="E34" i="34"/>
  <c r="G33" i="34"/>
  <c r="E33" i="34" s="1"/>
  <c r="G32" i="34"/>
  <c r="F31" i="34"/>
  <c r="E31" i="34"/>
  <c r="F30" i="34"/>
  <c r="E30" i="34"/>
  <c r="E28" i="34"/>
  <c r="G27" i="34"/>
  <c r="E26" i="34"/>
  <c r="G25" i="34"/>
  <c r="E25" i="34" s="1"/>
  <c r="E24" i="34"/>
  <c r="G23" i="34"/>
  <c r="B14" i="2" s="1"/>
  <c r="G22" i="34"/>
  <c r="G21" i="34"/>
  <c r="G20" i="34"/>
  <c r="G18" i="34"/>
  <c r="G16" i="34"/>
  <c r="F16" i="34" s="1"/>
  <c r="G15" i="34"/>
  <c r="F15" i="34" s="1"/>
  <c r="G13" i="34"/>
  <c r="G12" i="34"/>
  <c r="F12" i="34"/>
  <c r="G11" i="34"/>
  <c r="B13" i="18" s="1"/>
  <c r="G10" i="34"/>
  <c r="G9" i="34"/>
  <c r="G8" i="34"/>
  <c r="F11" i="34" l="1"/>
  <c r="E23" i="34"/>
  <c r="E40" i="33"/>
  <c r="F42" i="33"/>
  <c r="E45" i="33"/>
  <c r="F57" i="33"/>
  <c r="F79" i="33"/>
  <c r="F23" i="34"/>
  <c r="E35" i="33"/>
  <c r="F38" i="33"/>
  <c r="G17" i="34"/>
  <c r="F17" i="34" s="1"/>
  <c r="E16" i="34"/>
  <c r="E17" i="34" s="1"/>
  <c r="E44" i="34"/>
  <c r="E34" i="33"/>
  <c r="E15" i="34"/>
  <c r="F38" i="34"/>
  <c r="F44" i="33"/>
  <c r="F46" i="33"/>
  <c r="E49" i="33"/>
  <c r="G60" i="33"/>
  <c r="F60" i="33" s="1"/>
  <c r="F59" i="33"/>
  <c r="F70" i="33"/>
  <c r="C9" i="3"/>
  <c r="F22" i="34"/>
  <c r="B13" i="2"/>
  <c r="F17" i="33"/>
  <c r="H8" i="3"/>
  <c r="G14" i="34"/>
  <c r="C8" i="3" s="1"/>
  <c r="B10" i="18"/>
  <c r="F13" i="34"/>
  <c r="B15" i="18"/>
  <c r="E60" i="33"/>
  <c r="F69" i="33"/>
  <c r="H17" i="3"/>
  <c r="G40" i="34"/>
  <c r="B20" i="2"/>
  <c r="D11" i="3"/>
  <c r="F10" i="34"/>
  <c r="B12" i="18"/>
  <c r="F21" i="34"/>
  <c r="B12" i="2"/>
  <c r="F37" i="34"/>
  <c r="B25" i="2"/>
  <c r="D18" i="3"/>
  <c r="B18" i="3" s="1"/>
  <c r="B34" i="2"/>
  <c r="F49" i="34"/>
  <c r="C19" i="3"/>
  <c r="C63" i="23"/>
  <c r="E11" i="33"/>
  <c r="F63" i="33"/>
  <c r="G12" i="3"/>
  <c r="F67" i="33"/>
  <c r="G17" i="3"/>
  <c r="E72" i="33"/>
  <c r="G18" i="3"/>
  <c r="C14" i="22"/>
  <c r="G20" i="3"/>
  <c r="F18" i="34"/>
  <c r="B36" i="2"/>
  <c r="F36" i="34"/>
  <c r="B24" i="2"/>
  <c r="G48" i="34"/>
  <c r="B31" i="2"/>
  <c r="E46" i="34"/>
  <c r="B32" i="2"/>
  <c r="E76" i="33"/>
  <c r="G19" i="3"/>
  <c r="F9" i="34"/>
  <c r="B11" i="18"/>
  <c r="F20" i="34"/>
  <c r="B11" i="2"/>
  <c r="E47" i="34"/>
  <c r="B33" i="2"/>
  <c r="C75" i="23" s="1"/>
  <c r="C32" i="23" s="1"/>
  <c r="G52" i="33"/>
  <c r="F65" i="33"/>
  <c r="H13" i="3"/>
  <c r="F77" i="33"/>
  <c r="G14" i="3"/>
  <c r="E8" i="34"/>
  <c r="F8" i="34"/>
  <c r="E11" i="34"/>
  <c r="E12" i="34"/>
  <c r="B14" i="18"/>
  <c r="E22" i="34"/>
  <c r="F27" i="34"/>
  <c r="B16" i="2"/>
  <c r="F33" i="34"/>
  <c r="B21" i="2"/>
  <c r="F35" i="34"/>
  <c r="B23" i="2"/>
  <c r="E38" i="34"/>
  <c r="E41" i="34"/>
  <c r="E48" i="34" s="1"/>
  <c r="F43" i="34"/>
  <c r="D12" i="3"/>
  <c r="F50" i="34"/>
  <c r="C15" i="23"/>
  <c r="C15" i="3"/>
  <c r="B15" i="3" s="1"/>
  <c r="B18" i="24" s="1"/>
  <c r="P18" i="24" s="1"/>
  <c r="E17" i="33"/>
  <c r="G22" i="33"/>
  <c r="E37" i="33"/>
  <c r="E41" i="33"/>
  <c r="F48" i="33"/>
  <c r="G66" i="33"/>
  <c r="F66" i="33" s="1"/>
  <c r="E71" i="33"/>
  <c r="F76" i="33"/>
  <c r="F78" i="33"/>
  <c r="G15" i="3"/>
  <c r="C13" i="3"/>
  <c r="C25" i="3" s="1"/>
  <c r="F80" i="33"/>
  <c r="E9" i="33"/>
  <c r="E13" i="33"/>
  <c r="E16" i="33"/>
  <c r="E20" i="33"/>
  <c r="E22" i="33" s="1"/>
  <c r="E23" i="33"/>
  <c r="E61" i="33"/>
  <c r="E66" i="33" s="1"/>
  <c r="E8" i="33"/>
  <c r="E12" i="33"/>
  <c r="E15" i="33"/>
  <c r="E27" i="33"/>
  <c r="E39" i="33"/>
  <c r="E43" i="33"/>
  <c r="E47" i="33"/>
  <c r="E67" i="33"/>
  <c r="E69" i="33"/>
  <c r="E73" i="33"/>
  <c r="G75" i="33"/>
  <c r="F75" i="33" s="1"/>
  <c r="E77" i="33"/>
  <c r="G19" i="33"/>
  <c r="G29" i="34"/>
  <c r="E10" i="34"/>
  <c r="E18" i="34"/>
  <c r="E19" i="34" s="1"/>
  <c r="G19" i="34"/>
  <c r="E21" i="34"/>
  <c r="E32" i="34"/>
  <c r="E36" i="34"/>
  <c r="F41" i="34"/>
  <c r="E50" i="34"/>
  <c r="E9" i="34"/>
  <c r="E13" i="34"/>
  <c r="E20" i="34"/>
  <c r="E27" i="34"/>
  <c r="F32" i="34"/>
  <c r="E35" i="34"/>
  <c r="E39" i="34"/>
  <c r="E49" i="34"/>
  <c r="H11" i="3" l="1"/>
  <c r="F14" i="34"/>
  <c r="G8" i="3"/>
  <c r="B8" i="2"/>
  <c r="B10" i="2" s="1"/>
  <c r="E14" i="34"/>
  <c r="F22" i="33"/>
  <c r="B17" i="2"/>
  <c r="D16" i="3"/>
  <c r="B16" i="18"/>
  <c r="F52" i="33"/>
  <c r="G10" i="3"/>
  <c r="B35" i="2"/>
  <c r="B30" i="2"/>
  <c r="F29" i="34"/>
  <c r="C10" i="3"/>
  <c r="E40" i="34"/>
  <c r="E29" i="34"/>
  <c r="G51" i="34"/>
  <c r="F51" i="34" s="1"/>
  <c r="F55" i="34" s="1"/>
  <c r="F48" i="34"/>
  <c r="D17" i="3"/>
  <c r="B17" i="3" s="1"/>
  <c r="F40" i="34"/>
  <c r="C11" i="3"/>
  <c r="H9" i="3"/>
  <c r="G9" i="3" s="1"/>
  <c r="E75" i="33"/>
  <c r="G82" i="33"/>
  <c r="F19" i="33"/>
  <c r="E19" i="33"/>
  <c r="E52" i="33"/>
  <c r="G55" i="34"/>
  <c r="B16" i="24"/>
  <c r="P16" i="24" s="1"/>
  <c r="B15" i="24"/>
  <c r="P15" i="24" s="1"/>
  <c r="C55" i="23"/>
  <c r="C52" i="23"/>
  <c r="B37" i="2" l="1"/>
  <c r="C16" i="3"/>
  <c r="G16" i="3"/>
  <c r="H16" i="3"/>
  <c r="E51" i="34"/>
  <c r="E55" i="34" s="1"/>
  <c r="E82" i="33"/>
  <c r="E85" i="33" s="1"/>
  <c r="G85" i="33"/>
  <c r="F82" i="33"/>
  <c r="D157" i="20" l="1"/>
  <c r="E159" i="20" s="1"/>
  <c r="E157" i="20" l="1"/>
  <c r="K157" i="20"/>
  <c r="D22" i="24" l="1"/>
  <c r="E22" i="24"/>
  <c r="F22" i="24"/>
  <c r="G22" i="24"/>
  <c r="H22" i="24"/>
  <c r="I22" i="24"/>
  <c r="J22" i="24"/>
  <c r="K22" i="24"/>
  <c r="L22" i="24"/>
  <c r="M22" i="24"/>
  <c r="D43" i="24"/>
  <c r="E43" i="24"/>
  <c r="F43" i="24"/>
  <c r="G43" i="24"/>
  <c r="H43" i="24"/>
  <c r="I43" i="24"/>
  <c r="J43" i="24"/>
  <c r="K43" i="24"/>
  <c r="L43" i="24"/>
  <c r="M43" i="24"/>
  <c r="N43" i="24"/>
  <c r="C43" i="24"/>
  <c r="D20" i="23"/>
  <c r="E20" i="23"/>
  <c r="N157" i="20" l="1"/>
  <c r="O157" i="20"/>
  <c r="J10" i="20"/>
  <c r="E74" i="20" l="1"/>
  <c r="F74" i="20"/>
  <c r="G74" i="20"/>
  <c r="I74" i="20"/>
  <c r="J74" i="20"/>
  <c r="K74" i="20"/>
  <c r="L74" i="20"/>
  <c r="M74" i="20"/>
  <c r="N74" i="20"/>
  <c r="O74" i="20"/>
  <c r="P74" i="20"/>
  <c r="C60" i="23"/>
  <c r="B14" i="3"/>
  <c r="B22" i="3"/>
  <c r="B21" i="3"/>
  <c r="B20" i="3"/>
  <c r="F20" i="3"/>
  <c r="B41" i="24" s="1"/>
  <c r="P41" i="24" s="1"/>
  <c r="F19" i="3"/>
  <c r="F18" i="3"/>
  <c r="F13" i="3"/>
  <c r="F12" i="3"/>
  <c r="F11" i="3"/>
  <c r="B33" i="24" l="1"/>
  <c r="P33" i="24" s="1"/>
  <c r="C27" i="23"/>
  <c r="C24" i="23"/>
  <c r="B34" i="24"/>
  <c r="P34" i="24" s="1"/>
  <c r="B39" i="24"/>
  <c r="P39" i="24" s="1"/>
  <c r="C66" i="23"/>
  <c r="P17" i="24"/>
  <c r="C54" i="23"/>
  <c r="C71" i="23"/>
  <c r="B40" i="24"/>
  <c r="P40" i="24" s="1"/>
  <c r="B35" i="24"/>
  <c r="P35" i="24" s="1"/>
  <c r="C25" i="23"/>
  <c r="H24" i="3"/>
  <c r="H26" i="3" s="1"/>
  <c r="B11" i="3"/>
  <c r="C10" i="23" s="1"/>
  <c r="B12" i="3"/>
  <c r="B8" i="3"/>
  <c r="B10" i="3" l="1"/>
  <c r="C11" i="23" s="1"/>
  <c r="D24" i="3"/>
  <c r="D26" i="3" s="1"/>
  <c r="C16" i="23"/>
  <c r="B12" i="24"/>
  <c r="P12" i="24" s="1"/>
  <c r="B10" i="24"/>
  <c r="P10" i="24" s="1"/>
  <c r="C12" i="23"/>
  <c r="B14" i="24"/>
  <c r="P14" i="24" s="1"/>
  <c r="B9" i="3"/>
  <c r="B13" i="24" l="1"/>
  <c r="P13" i="24" s="1"/>
  <c r="B11" i="24"/>
  <c r="P11" i="24" s="1"/>
  <c r="C13" i="23"/>
  <c r="C64" i="23"/>
  <c r="H74" i="20" l="1"/>
  <c r="F17" i="3"/>
  <c r="C65" i="23" l="1"/>
  <c r="C76" i="23" s="1"/>
  <c r="B38" i="24"/>
  <c r="P38" i="24" s="1"/>
  <c r="F10" i="3" l="1"/>
  <c r="F8" i="3"/>
  <c r="F9" i="3"/>
  <c r="B31" i="24" l="1"/>
  <c r="P31" i="24" s="1"/>
  <c r="C22" i="23"/>
  <c r="D76" i="20"/>
  <c r="C21" i="23"/>
  <c r="B30" i="24"/>
  <c r="P30" i="24" s="1"/>
  <c r="C23" i="23"/>
  <c r="B32" i="24"/>
  <c r="P32" i="24" s="1"/>
  <c r="B25" i="3" l="1"/>
  <c r="C24" i="3"/>
  <c r="B13" i="3"/>
  <c r="B16" i="3" s="1"/>
  <c r="B24" i="3" s="1"/>
  <c r="Q159" i="20"/>
  <c r="B19" i="3"/>
  <c r="N20" i="24" l="1"/>
  <c r="P20" i="24" s="1"/>
  <c r="B26" i="3"/>
  <c r="B22" i="24"/>
  <c r="P22" i="24" s="1"/>
  <c r="C79" i="23"/>
  <c r="C14" i="23"/>
  <c r="B19" i="24"/>
  <c r="C26" i="3"/>
  <c r="J157" i="20"/>
  <c r="I157" i="20"/>
  <c r="M157" i="20"/>
  <c r="P157" i="20"/>
  <c r="B21" i="24" l="1"/>
  <c r="P19" i="24"/>
  <c r="N21" i="24"/>
  <c r="N23" i="24" s="1"/>
  <c r="C20" i="23"/>
  <c r="C77" i="23" s="1"/>
  <c r="F157" i="20"/>
  <c r="L157" i="20"/>
  <c r="P21" i="24" l="1"/>
  <c r="G157" i="20"/>
  <c r="E158" i="20" s="1"/>
  <c r="F14" i="3"/>
  <c r="G24" i="3"/>
  <c r="G25" i="3"/>
  <c r="F25" i="3" s="1"/>
  <c r="B43" i="24" s="1"/>
  <c r="P43" i="24" s="1"/>
  <c r="F15" i="3"/>
  <c r="H157" i="20"/>
  <c r="F16" i="3" l="1"/>
  <c r="F24" i="3" s="1"/>
  <c r="F26" i="3" s="1"/>
  <c r="B36" i="24"/>
  <c r="P36" i="24" s="1"/>
  <c r="C26" i="23"/>
  <c r="B37" i="24"/>
  <c r="P37" i="24" s="1"/>
  <c r="C29" i="23"/>
  <c r="G26" i="3"/>
  <c r="C33" i="23" l="1"/>
  <c r="C157" i="20" l="1"/>
  <c r="D75" i="20"/>
  <c r="Q158" i="20" s="1"/>
  <c r="C18" i="22"/>
  <c r="C20" i="22" s="1"/>
  <c r="D14" i="28" l="1"/>
  <c r="E14" i="28"/>
  <c r="C14" i="28"/>
  <c r="D6" i="28"/>
  <c r="E6" i="28"/>
  <c r="B42" i="24" l="1"/>
  <c r="C42" i="24" l="1"/>
  <c r="D23" i="24"/>
  <c r="E23" i="24"/>
  <c r="F23" i="24"/>
  <c r="G23" i="24"/>
  <c r="I23" i="24"/>
  <c r="J23" i="24"/>
  <c r="K23" i="24"/>
  <c r="M23" i="24"/>
  <c r="C44" i="24" l="1"/>
  <c r="L23" i="24"/>
  <c r="H23" i="24"/>
  <c r="B44" i="24"/>
  <c r="B23" i="24"/>
  <c r="D42" i="24"/>
  <c r="D44" i="24" s="1"/>
  <c r="E42" i="24"/>
  <c r="E44" i="24" s="1"/>
  <c r="F42" i="24"/>
  <c r="F44" i="24" s="1"/>
  <c r="G42" i="24"/>
  <c r="G44" i="24" s="1"/>
  <c r="H42" i="24"/>
  <c r="H44" i="24" s="1"/>
  <c r="I42" i="24"/>
  <c r="J42" i="24"/>
  <c r="K42" i="24"/>
  <c r="K44" i="24" s="1"/>
  <c r="L42" i="24"/>
  <c r="L44" i="24" s="1"/>
  <c r="M42" i="24"/>
  <c r="N44" i="24"/>
  <c r="C16" i="25"/>
  <c r="E33" i="23"/>
  <c r="E76" i="23"/>
  <c r="D33" i="23"/>
  <c r="D76" i="23"/>
  <c r="E64" i="23"/>
  <c r="D64" i="23"/>
  <c r="J44" i="24" l="1"/>
  <c r="P44" i="24" s="1"/>
  <c r="P42" i="24"/>
  <c r="P23" i="24"/>
  <c r="M44" i="24"/>
  <c r="E77" i="23"/>
  <c r="I44" i="24"/>
  <c r="D78" i="23"/>
  <c r="D80" i="23" s="1"/>
  <c r="C78" i="23"/>
  <c r="C80" i="23" s="1"/>
  <c r="D77" i="23"/>
  <c r="D77" i="20"/>
  <c r="E160" i="20"/>
  <c r="E78" i="23"/>
  <c r="E80" i="23" s="1"/>
  <c r="Q160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A3" authorId="0" shapeId="0" xr:uid="{00000000-0006-0000-0300-000001000000}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<sst xmlns="http://schemas.openxmlformats.org/spreadsheetml/2006/main" count="1349" uniqueCount="701">
  <si>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</si>
  <si>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</si>
  <si>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</si>
  <si>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</si>
  <si>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</si>
  <si>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</si>
  <si>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</si>
  <si>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</si>
  <si>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</si>
  <si>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</si>
  <si>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</si>
  <si>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</si>
  <si>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Cím</t>
  </si>
  <si>
    <t>Alcím</t>
  </si>
  <si>
    <t>Cím neve</t>
  </si>
  <si>
    <t>1.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</si>
  <si>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</si>
  <si>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</si>
  <si>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</si>
  <si>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</si>
  <si>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</si>
  <si>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</si>
  <si>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</si>
  <si>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</si>
  <si>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</si>
  <si>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</si>
  <si>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</si>
  <si>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</si>
  <si>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</si>
  <si>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</si>
  <si>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</si>
  <si>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</si>
  <si>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</si>
  <si>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</si>
  <si>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</si>
  <si>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</si>
  <si>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</si>
  <si>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</si>
  <si>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</si>
  <si>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</si>
  <si>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</si>
  <si>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</si>
  <si>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</si>
  <si>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</si>
  <si>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</si>
  <si>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</si>
  <si>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</si>
  <si>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</si>
  <si>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</si>
  <si>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</si>
  <si>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</si>
  <si>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</si>
  <si>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</si>
  <si>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</si>
  <si>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</si>
  <si>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</si>
  <si>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</si>
  <si>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</si>
  <si>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</si>
  <si>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</si>
  <si>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</si>
  <si>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</si>
  <si>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</si>
  <si>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</si>
  <si>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</si>
  <si>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</si>
  <si>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</si>
  <si>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</si>
  <si>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</si>
  <si>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</si>
  <si>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</si>
  <si>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</si>
  <si>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</si>
  <si>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</si>
  <si>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</si>
  <si>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</si>
  <si>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</si>
  <si>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</si>
  <si>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</si>
  <si>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</si>
  <si>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</si>
  <si>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</si>
  <si>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</si>
  <si>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</si>
  <si>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</si>
  <si>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</si>
  <si>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</si>
  <si>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</si>
  <si>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</si>
  <si>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</si>
  <si>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</si>
  <si>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</si>
  <si>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</si>
  <si>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</si>
  <si>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</si>
  <si>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</si>
  <si>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</si>
  <si>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</si>
  <si>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</si>
  <si>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</si>
  <si>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</si>
  <si>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</si>
  <si>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</si>
  <si>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</si>
  <si>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</si>
  <si>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</si>
  <si>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</si>
  <si>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</si>
  <si>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</si>
  <si>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</si>
  <si>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</si>
  <si>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</si>
  <si>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</si>
  <si>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</si>
  <si>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</si>
  <si>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</si>
  <si>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</si>
  <si>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</si>
  <si>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</si>
  <si>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</si>
  <si>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</si>
  <si>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</si>
  <si>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</si>
  <si>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</si>
  <si>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</si>
  <si>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</si>
  <si>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</si>
  <si>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</si>
  <si>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</si>
  <si>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</si>
  <si>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</si>
  <si>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</si>
  <si>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</si>
  <si>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</si>
  <si>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</si>
  <si>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</si>
  <si>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</si>
  <si>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</si>
  <si>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</si>
  <si>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</si>
  <si>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</si>
  <si>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</si>
  <si>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</si>
  <si>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</si>
  <si>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</si>
  <si>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</si>
  <si>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</si>
  <si>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</si>
  <si>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</si>
  <si>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</si>
  <si>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</si>
  <si>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</si>
  <si>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</si>
  <si>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</si>
  <si>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</si>
  <si>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</si>
  <si>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</si>
  <si>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</si>
  <si>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</si>
  <si>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</si>
  <si>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</si>
  <si>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</si>
  <si>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</si>
  <si>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</si>
  <si>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</si>
  <si>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</si>
  <si>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</si>
  <si>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</si>
  <si>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</si>
  <si>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</si>
  <si>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</si>
  <si>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</si>
  <si>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</si>
  <si>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</si>
  <si>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</si>
  <si>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</si>
  <si>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</si>
  <si>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</si>
  <si>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</si>
  <si>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</si>
  <si>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</si>
  <si>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</si>
  <si>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</si>
  <si>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</si>
  <si>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</si>
  <si>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</si>
  <si>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</si>
  <si>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</si>
  <si>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</si>
  <si>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</si>
  <si>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</si>
  <si>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</si>
  <si>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</si>
  <si>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</si>
  <si>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</si>
  <si>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</si>
  <si>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</si>
  <si>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</si>
  <si>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</si>
  <si>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</si>
  <si>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</si>
  <si>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</si>
  <si>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</si>
  <si>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</si>
  <si>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</si>
  <si>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</si>
  <si>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</si>
  <si>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</si>
  <si>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</si>
  <si>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</si>
  <si>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</si>
  <si>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</si>
  <si>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</si>
  <si>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</si>
  <si>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</si>
  <si>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</si>
  <si>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</si>
  <si>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</si>
  <si>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</si>
  <si>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</si>
  <si>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</si>
  <si>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</si>
  <si>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</si>
  <si>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</si>
  <si>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</si>
  <si>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</si>
  <si>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</si>
  <si>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</si>
  <si>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</si>
  <si>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</si>
  <si>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</si>
  <si>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</si>
  <si>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</si>
  <si>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</si>
  <si>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</si>
  <si>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</si>
  <si>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</si>
  <si>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</si>
  <si>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</si>
  <si>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</si>
  <si>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</si>
  <si>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</si>
  <si>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</si>
  <si>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</si>
  <si>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</si>
  <si>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</si>
  <si>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</si>
  <si>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</si>
  <si>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</si>
  <si>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</si>
  <si>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</si>
  <si>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</si>
  <si>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</si>
  <si>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</si>
  <si>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</si>
  <si>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</si>
  <si>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</si>
  <si>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</si>
  <si>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</si>
  <si>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</si>
  <si>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</si>
  <si>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</si>
  <si>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</si>
  <si>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</si>
  <si>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</si>
  <si>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</si>
  <si>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</si>
  <si>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</si>
  <si>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</si>
  <si>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</si>
  <si>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</si>
  <si>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</si>
  <si>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</si>
  <si>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</si>
  <si>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</si>
  <si>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</si>
  <si>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</si>
  <si>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</si>
  <si>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</si>
  <si>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</si>
  <si>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</si>
  <si>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</si>
  <si>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</si>
  <si>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</si>
  <si>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</si>
  <si>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</si>
  <si>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</si>
  <si>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</si>
  <si>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</si>
  <si>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</si>
  <si>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</si>
  <si>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</si>
  <si>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</si>
  <si>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</si>
  <si>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</si>
  <si>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</si>
  <si>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</si>
  <si>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</si>
  <si>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</si>
  <si>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</si>
  <si>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</si>
  <si>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</si>
  <si>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</si>
  <si>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</si>
  <si>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</si>
  <si>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</si>
  <si>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</si>
  <si>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</si>
  <si>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</si>
  <si>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</si>
  <si>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</si>
  <si>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</si>
  <si>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</si>
  <si>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</si>
  <si>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</si>
  <si>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</si>
  <si>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</si>
  <si>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</si>
  <si>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</si>
  <si>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</si>
  <si>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</si>
  <si>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</si>
  <si>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</si>
  <si>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</si>
  <si>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</si>
  <si>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</si>
  <si>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</si>
  <si>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</si>
  <si>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</si>
  <si>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</si>
  <si>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</si>
  <si>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</si>
  <si>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</si>
  <si>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</si>
  <si>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</si>
  <si>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</si>
  <si>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</si>
  <si>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</si>
  <si>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</si>
  <si>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Elköt. pénzmaradv. terhére (Önkormányzat)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</si>
  <si>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</si>
  <si>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</si>
  <si>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</si>
  <si>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</si>
  <si>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 működési célú támogatások bevételei államháztartáson belülről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</si>
  <si>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</si>
  <si>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</si>
  <si>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</si>
  <si>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</si>
  <si>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</si>
  <si>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</si>
  <si>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</si>
  <si>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</si>
  <si>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</si>
  <si>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</si>
  <si>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</si>
  <si>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</si>
  <si>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</si>
  <si>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</si>
  <si>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</si>
  <si>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</si>
  <si>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</si>
  <si>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Bölcsődei ellátás</t>
  </si>
  <si>
    <t>Bölcsődei nevelés</t>
  </si>
  <si>
    <t>2018. évi várható bevételek havi forgalma</t>
  </si>
  <si>
    <t>2018. évi várható kiadások havi forgalma</t>
  </si>
  <si>
    <t>Piliscsévi "Aranykapu" Óvoda-bölcsőde</t>
  </si>
  <si>
    <t>Köztemetés [Szoctv. 48.§]</t>
  </si>
  <si>
    <t>Települési támogatás ([Szoctv. 45.§)</t>
  </si>
  <si>
    <t>Szociális juttatások mindösszesen</t>
  </si>
  <si>
    <t>2019. évi mérleg</t>
  </si>
  <si>
    <t>2019. évi bevételek</t>
  </si>
  <si>
    <t>2019. évi költségvetés</t>
  </si>
  <si>
    <t>Eszközbeszerzés (Művelődési Ház)</t>
  </si>
  <si>
    <t>Tisztítómű felújítása</t>
  </si>
  <si>
    <t>2. melléklet az 1/2019. (I.30.) önkormányzati rendelethez</t>
  </si>
  <si>
    <t>11. melléklet az 1/2019. (I.30.) önkormányzati rendelethez</t>
  </si>
  <si>
    <t>Gyermekétkeztetés bölcsödében, fogyatékosok nappali intézményében</t>
  </si>
  <si>
    <t>Közművelődés - közösségi és társadalmi részvétel fejlesztése</t>
  </si>
  <si>
    <t>Helyi, térségi közösségi tér biztosítása, működtetése</t>
  </si>
  <si>
    <t>1. melléklet az 1/2019.(I.30.) önkormányzati rendelethez</t>
  </si>
  <si>
    <t>4. melléklet az 1/2019.(I.30.) önkormányzati rendelethez</t>
  </si>
  <si>
    <t>5. melléklet az 1/2019.(I.30.) önkormányzati rendelethez</t>
  </si>
  <si>
    <t>6. melléklet az 1/2019.(I.30.) önkormányzati rendelethez</t>
  </si>
  <si>
    <t>7. melléklet az 1/2019.(I.30.) önkormányzati rendelethez</t>
  </si>
  <si>
    <t>8. melléklet az 1/2019.(I.30.) önkormányzati rendelethez</t>
  </si>
  <si>
    <t>12. melléklet az 1/2019.(I.30.) önkormányzati rendelethez</t>
  </si>
  <si>
    <t>3. melléklet az 1/2019.(I.30.) önkormányzati rendelethez</t>
  </si>
  <si>
    <t>Bölcsödei ellátás</t>
  </si>
  <si>
    <t>Intézményen kívüli gyermekétkeztetés</t>
  </si>
  <si>
    <t>10. melléklet az 1/2019.(I.30.) önkormányzati rendelethez</t>
  </si>
  <si>
    <t>9. melléklet az 1/2019.(I.30.) önkormányzati rendelethez</t>
  </si>
  <si>
    <t>adatok: Ft-ban</t>
  </si>
  <si>
    <t>Bevételek kormányati funkciók (COFOG) szerinti bontásban</t>
  </si>
  <si>
    <t>Főkönyvi szám</t>
  </si>
  <si>
    <t>Főkönyvi szám neve</t>
  </si>
  <si>
    <t>Eredeti előirányzat</t>
  </si>
  <si>
    <t>Módosítás</t>
  </si>
  <si>
    <t>%</t>
  </si>
  <si>
    <t>0916071</t>
  </si>
  <si>
    <t>Egyéb működési célú támogatások bevételei államháztartáson belülről-helyi önkormányzatok és költségvetési szerveik</t>
  </si>
  <si>
    <t>09161</t>
  </si>
  <si>
    <t>0925031</t>
  </si>
  <si>
    <t>Egyéb közhatalmi bevételek</t>
  </si>
  <si>
    <t>094022</t>
  </si>
  <si>
    <t>094031</t>
  </si>
  <si>
    <t>094041</t>
  </si>
  <si>
    <t>094071</t>
  </si>
  <si>
    <t>094082</t>
  </si>
  <si>
    <t>094111</t>
  </si>
  <si>
    <t>Kiadások visszatérítései</t>
  </si>
  <si>
    <t>095211</t>
  </si>
  <si>
    <t>Ingatlan értékesítés</t>
  </si>
  <si>
    <t>09641</t>
  </si>
  <si>
    <t>Működési célú visszatérítendő támogatások, kölcsönök visszatérülése államháztartáson kívülről</t>
  </si>
  <si>
    <t>09741</t>
  </si>
  <si>
    <t>091111</t>
  </si>
  <si>
    <t>091121</t>
  </si>
  <si>
    <t>091131</t>
  </si>
  <si>
    <t>091141</t>
  </si>
  <si>
    <t>091151</t>
  </si>
  <si>
    <t>091161</t>
  </si>
  <si>
    <t>Elszámolásból származó bevételek - 2018. évi pótigénylés</t>
  </si>
  <si>
    <t>09213</t>
  </si>
  <si>
    <t>Felhalmozási célú önkormányzati támogatások teljesítése (Közművelődési pályázaton elnyert összeg)</t>
  </si>
  <si>
    <t>098141</t>
  </si>
  <si>
    <t>018030 - Támogatási célú finanszírozási műveletek</t>
  </si>
  <si>
    <t>Működési célú költségvetési támogatások és kiegészítő támogatások</t>
  </si>
  <si>
    <t>0981311</t>
  </si>
  <si>
    <t>Előző év költségvetési maradványának igénybevétele</t>
  </si>
  <si>
    <t>094061</t>
  </si>
  <si>
    <t>09251</t>
  </si>
  <si>
    <t>Fejezeti kezelésű EI-tól EU-s programok és azok hazai társfinanszírozása miatt felhalmozási célú támogatások bevételei (Identitás pályázat)</t>
  </si>
  <si>
    <t>094051</t>
  </si>
  <si>
    <t>093432</t>
  </si>
  <si>
    <t>09351071</t>
  </si>
  <si>
    <t>0935411</t>
  </si>
  <si>
    <t>0936112</t>
  </si>
  <si>
    <t>0936121</t>
  </si>
  <si>
    <t>Egyéb bírság</t>
  </si>
  <si>
    <t>0936162</t>
  </si>
  <si>
    <t>Egyéb közhatalmi bevétel</t>
  </si>
  <si>
    <t>0936172</t>
  </si>
  <si>
    <t>Késedelmi és önellenőrzési pótlék</t>
  </si>
  <si>
    <t>0941142</t>
  </si>
  <si>
    <t>1 és 2 forintos érmék forgalomból történő kivonása miatti kerekítési különbözet</t>
  </si>
  <si>
    <t>05110111</t>
  </si>
  <si>
    <t>0511021</t>
  </si>
  <si>
    <t>Normatív jutalmak</t>
  </si>
  <si>
    <t>0511091</t>
  </si>
  <si>
    <t>Közlekedési költségtérítés</t>
  </si>
  <si>
    <t>Szociális támogatások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</si>
  <si>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</si>
  <si>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</si>
  <si>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</si>
  <si>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</si>
  <si>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05211</t>
  </si>
  <si>
    <t>Szociális hozzájárulási adó</t>
  </si>
  <si>
    <t>05261</t>
  </si>
  <si>
    <t>Más járulék fizetési kötelezettség</t>
  </si>
  <si>
    <t>053111</t>
  </si>
  <si>
    <t>053121</t>
  </si>
  <si>
    <t>Üzemeltetési anyagok beszerzése</t>
  </si>
  <si>
    <t>0532111</t>
  </si>
  <si>
    <t>0532211</t>
  </si>
  <si>
    <t>Telefon, telefax, telex, mobíl díj</t>
  </si>
  <si>
    <t>0533111</t>
  </si>
  <si>
    <t>0533121</t>
  </si>
  <si>
    <t>053311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</si>
  <si>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</si>
  <si>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</si>
  <si>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</si>
  <si>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</si>
  <si>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</si>
  <si>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</si>
  <si>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053371</t>
  </si>
  <si>
    <t>Egyéb szolgáltatások</t>
  </si>
  <si>
    <t>053511</t>
  </si>
  <si>
    <t>Működési célú előzetesen felszámított általános forgalmi adó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</si>
  <si>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</si>
  <si>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</si>
  <si>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</si>
  <si>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</si>
  <si>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</si>
  <si>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</si>
  <si>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0535531</t>
  </si>
  <si>
    <t>1 és 2 forintos érmék kerekítési különbözete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</si>
  <si>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</si>
  <si>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</si>
  <si>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</si>
  <si>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</si>
  <si>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055121</t>
  </si>
  <si>
    <t>055131</t>
  </si>
  <si>
    <t>Likvidtartalék</t>
  </si>
  <si>
    <t>05612</t>
  </si>
  <si>
    <t>Immateriális javak beszerzése, létesítése</t>
  </si>
  <si>
    <t>05631</t>
  </si>
  <si>
    <t>Informatikai eszközök beszerzése, létesítése</t>
  </si>
  <si>
    <t>05641</t>
  </si>
  <si>
    <t>Egyéb tárgyi eszközök beszerzése, létesítése</t>
  </si>
  <si>
    <t>05671</t>
  </si>
  <si>
    <t>05711</t>
  </si>
  <si>
    <t>Ingatlanok felújítása</t>
  </si>
  <si>
    <t>05741</t>
  </si>
  <si>
    <t>0533131</t>
  </si>
  <si>
    <t>0512361</t>
  </si>
  <si>
    <t>Reprezentáció, üzleti ajándék</t>
  </si>
  <si>
    <t>053321</t>
  </si>
  <si>
    <t>Vásárolt élelmezés</t>
  </si>
  <si>
    <t>053411</t>
  </si>
  <si>
    <t>Kiküldetések kiadásai</t>
  </si>
  <si>
    <t>059141</t>
  </si>
  <si>
    <t>Államháztartáson belüli megelőlegezések visszafizetése</t>
  </si>
  <si>
    <t>059151</t>
  </si>
  <si>
    <t>Központi, irányító szervi támogatás folyósítása</t>
  </si>
  <si>
    <t>05110131</t>
  </si>
  <si>
    <t>0511131</t>
  </si>
  <si>
    <t>Foglalkoztatottak egyéb személyi juttatásai</t>
  </si>
  <si>
    <t>05731</t>
  </si>
  <si>
    <t>Egyéb tárgyi eszközök felújítása</t>
  </si>
  <si>
    <t>MT alapján teljes, részmunkaidős bére</t>
  </si>
  <si>
    <t>0511101</t>
  </si>
  <si>
    <t>Egyéb költségtérítések</t>
  </si>
  <si>
    <t>0531111</t>
  </si>
  <si>
    <t>Szakmai anyagok beszerzése</t>
  </si>
  <si>
    <t>0534111</t>
  </si>
  <si>
    <t>Foglalkoztatottak kiküldetései</t>
  </si>
  <si>
    <t>05831</t>
  </si>
  <si>
    <t>Központi költségvetési szervnek felhalmozási célú visszatérítendő támogatás, kölcsön törlesztés kiadásai</t>
  </si>
  <si>
    <t>Köztisztviselők,közalkalmazottak bére</t>
  </si>
  <si>
    <t>0511041</t>
  </si>
  <si>
    <t>Készenléti, ügyeleti, helyettesítési díj, túlóra</t>
  </si>
  <si>
    <t>0511071</t>
  </si>
  <si>
    <t>053211</t>
  </si>
  <si>
    <t>055061</t>
  </si>
  <si>
    <t>05421</t>
  </si>
  <si>
    <t>Bevételek - COFOG: 018030</t>
  </si>
  <si>
    <t>Eredeti EI</t>
  </si>
  <si>
    <t>098161</t>
  </si>
  <si>
    <t>Központi, irányító szervi támogatás</t>
  </si>
  <si>
    <t>-ebből állami normatív támogatás</t>
  </si>
  <si>
    <t>-ebből bérrendezési alap pályázat</t>
  </si>
  <si>
    <t>-ebből fenntartói támogatás (Piliscsév)</t>
  </si>
  <si>
    <t>Bevételek - COFOG: 011130</t>
  </si>
  <si>
    <t>Egyéb működési célú támogatások bevételei államháztartáson belülről (Leányvár)</t>
  </si>
  <si>
    <t>0940821</t>
  </si>
  <si>
    <t>Egyéb kapott (járó) kamatok és kamatjellegű bevételek</t>
  </si>
  <si>
    <t>09411</t>
  </si>
  <si>
    <t xml:space="preserve">Egyéb működési bevételek </t>
  </si>
  <si>
    <t>Bevételek - COFOG: 016010</t>
  </si>
  <si>
    <t>Központi kezelésű előirányzattól működési célú támogatások bevételei</t>
  </si>
  <si>
    <t>Bevételek összesen:</t>
  </si>
  <si>
    <t>0511031</t>
  </si>
  <si>
    <t>Céljuttatás, projektprémium</t>
  </si>
  <si>
    <t>Készenléti, ügyeleti, helyettesítési díj, túlóra, túlszolgálat</t>
  </si>
  <si>
    <t>0511061</t>
  </si>
  <si>
    <t>Jubileumi jutalom</t>
  </si>
  <si>
    <t>Béren kívüli juttatások</t>
  </si>
  <si>
    <t>0511121</t>
  </si>
  <si>
    <t>Informatikai szolgáltatások igénybevétele</t>
  </si>
  <si>
    <t xml:space="preserve">Egyéb kommunikációs szolgáltatások </t>
  </si>
  <si>
    <t>Tartalékok előirányzata</t>
  </si>
  <si>
    <t>Munkaadót terhelő járulékok</t>
  </si>
  <si>
    <t>-ebből fenntartói támogatás (Piliscsév Község Önk.)</t>
  </si>
  <si>
    <t>Egyéb tárgyi eszközök beszerzése</t>
  </si>
  <si>
    <t>Beruházási célú, előzetesen felszámított általános forgalmi adó</t>
  </si>
  <si>
    <t>Piliscsévi "Aranykapu" Egységes Óvoda-Bölcsőde</t>
  </si>
  <si>
    <t>091140 - Óvodai nevelés, ellátás működtetési feladatai</t>
  </si>
  <si>
    <t xml:space="preserve">Egyéb működési célú támogatások bevételei államháztartáson belülről </t>
  </si>
  <si>
    <t>Szennyvíz gyűjtése, tisztítása, elhelyezése</t>
  </si>
  <si>
    <t>Felhalmozási c. visszatérítendő tám. (K8)</t>
  </si>
  <si>
    <t>EU-s programok és hazai társfin. (Identitás pály.)</t>
  </si>
  <si>
    <t>Áht-on belüli megelőlegezés (B814)</t>
  </si>
  <si>
    <t>Piliscsév Község Önkormányzata költségvetése kormányzati funkciónként</t>
  </si>
  <si>
    <t>I. Bevételek feladatonként:</t>
  </si>
  <si>
    <t>Közművelődés- közösségi és társadalmi részvétel fejlesztése</t>
  </si>
  <si>
    <t>Óvodai, bölcsődei intézményi étkeztetés</t>
  </si>
  <si>
    <t>adatok: forintban</t>
  </si>
  <si>
    <t>Költségek visszatérítései</t>
  </si>
  <si>
    <t>Közös Hivatal működési bevételei</t>
  </si>
  <si>
    <t>Óvoda és Bölcsőde működési bevételei</t>
  </si>
  <si>
    <t>Működési célú átvett pénzeszközök</t>
  </si>
  <si>
    <t>Közös Hivatal működési célú támogatás bevételei Áht-on belülről</t>
  </si>
  <si>
    <t>Ingatlan értékesítés bevételei</t>
  </si>
  <si>
    <t>Felhalm.c. kölcsön visszatérülése, visszatérítendő támogatások</t>
  </si>
  <si>
    <t>Tér-Háló településrendezési terv</t>
  </si>
  <si>
    <t>Informatikai eszközök beszerzése</t>
  </si>
  <si>
    <t>Beruházási célú előzetesen felszámított áfa:</t>
  </si>
  <si>
    <t>Eszközbeszerzés (Óvoda)</t>
  </si>
  <si>
    <t>Tárgyi eszköz beszerzés közfoglalkoztatottaknak</t>
  </si>
  <si>
    <t>Tárgyi eszköz beszerzés (Identitás pályázathoz)</t>
  </si>
  <si>
    <t>Felújítási célú előzetesen felszámított áfa</t>
  </si>
  <si>
    <t>Béke utcai járdafelújítás</t>
  </si>
  <si>
    <t>Gyógyszertári parkoló és buszmegálló felújítása</t>
  </si>
  <si>
    <t>TOP Szoc. Alapellátó és Művelődési Ház felújítása</t>
  </si>
  <si>
    <t>Felhalmozási célú visszatérítendő támogatás</t>
  </si>
  <si>
    <t>EU-s támog. Identitás pály.</t>
  </si>
  <si>
    <t>Felhalm-i c. visszatérítendő támog.</t>
  </si>
  <si>
    <t>2019.II.sz. EI mód.</t>
  </si>
  <si>
    <t>II.sz. EI módosítás</t>
  </si>
  <si>
    <t>II. sz. EI mód.</t>
  </si>
  <si>
    <t>Bevételek összesen</t>
  </si>
  <si>
    <t>Működési célú költségvetési támogatások és kiegészítő támogatások                  (Szoc.tüzifa kieg.támogatás)</t>
  </si>
  <si>
    <t>Működési célú költségvetési támogatások és kiegészítő támogatások               (bérkiegészítő alap pályázat 2019)</t>
  </si>
  <si>
    <t>Óvoda fejlesztés - Magyar Falu Program keretében</t>
  </si>
  <si>
    <t>Orvosi rendelőnél felújítás</t>
  </si>
  <si>
    <t>I/2.számú melléklet</t>
  </si>
  <si>
    <t>2019. évi költségvetés III. számú előirányzat módosítása</t>
  </si>
  <si>
    <t>III.sz. EI módosítás</t>
  </si>
  <si>
    <t>0911   Önkormányzatok működési támogatása</t>
  </si>
  <si>
    <t>0916   Egyéb működési célú támogatások bevételei ÁH-on belülről</t>
  </si>
  <si>
    <t>0925   Felhalmozási célú önkormányzati támogatások</t>
  </si>
  <si>
    <t>09355011</t>
  </si>
  <si>
    <t>09362</t>
  </si>
  <si>
    <t>093   Közhatalmi bevételek</t>
  </si>
  <si>
    <t>0940211</t>
  </si>
  <si>
    <t>094   Működési bevételek</t>
  </si>
  <si>
    <t>095221</t>
  </si>
  <si>
    <t>Földterületek eladása</t>
  </si>
  <si>
    <t>Felhalm.c. kölcsön visszatérülése</t>
  </si>
  <si>
    <t>097533</t>
  </si>
  <si>
    <t>Egyéb felhalmozási célú átvett pénzeszközök-háztartások</t>
  </si>
  <si>
    <t>Egyéb felhalmozási célú támogatások bevételei államháztartáson belülről-fejezeti kezelésű előirányzatok EU-s programok és azok hazai társfinanszírozása (utas pályázat)</t>
  </si>
  <si>
    <t>0952 Felhalmozási bevételek</t>
  </si>
  <si>
    <t>Államháztartáson belüli megelőlegezések teljesítése</t>
  </si>
  <si>
    <t>Ellenőrzés:</t>
  </si>
  <si>
    <t>I/3. számú melléklet</t>
  </si>
  <si>
    <t>2019.III. sz. EI mód.</t>
  </si>
  <si>
    <t>Gyógyszer</t>
  </si>
  <si>
    <t>0531121</t>
  </si>
  <si>
    <t>Könyv, folyóirat</t>
  </si>
  <si>
    <t>0531141</t>
  </si>
  <si>
    <t>Informatikai eszközök</t>
  </si>
  <si>
    <t>0531211</t>
  </si>
  <si>
    <t>Élelmiszer</t>
  </si>
  <si>
    <t>0531221</t>
  </si>
  <si>
    <t>Irodaszer, nyomtatvány</t>
  </si>
  <si>
    <t>0531231</t>
  </si>
  <si>
    <t>Hajtó és kenőanyag</t>
  </si>
  <si>
    <t>0531241</t>
  </si>
  <si>
    <t>Munka és védőruha</t>
  </si>
  <si>
    <t>0531251</t>
  </si>
  <si>
    <t>Nyomtatást segítő anyagok</t>
  </si>
  <si>
    <t>0531261</t>
  </si>
  <si>
    <t>Amelyek nem számolhatóak el szakmai anyagnak</t>
  </si>
  <si>
    <t>Közüzemidíjak</t>
  </si>
  <si>
    <t>ebből: villamos energia</t>
  </si>
  <si>
    <t>ebből: gázdíj</t>
  </si>
  <si>
    <t>ebből: víz- és csatornadíj</t>
  </si>
  <si>
    <t>053351</t>
  </si>
  <si>
    <t>Közvetített szolgáltatások Áht-on kívülre</t>
  </si>
  <si>
    <t>Műk-i célú előzetesen felszámított áfa</t>
  </si>
  <si>
    <t>Egyéb pénzbeni és természetbeni gyermekvédelmi ell.</t>
  </si>
  <si>
    <t>05471</t>
  </si>
  <si>
    <t>Intézményi ellátottak pénzbeli juttatásai</t>
  </si>
  <si>
    <t>0548</t>
  </si>
  <si>
    <t>Lakásfennt-i támogatás [Szoctv. 45. § ]</t>
  </si>
  <si>
    <t>054831</t>
  </si>
  <si>
    <t>Egyéb, Önkormányzat rendeletében megállapított juttatás</t>
  </si>
  <si>
    <t>054851</t>
  </si>
  <si>
    <t>Települési támogatás [Szoctv. 45.§]</t>
  </si>
  <si>
    <t>054861</t>
  </si>
  <si>
    <t>Temetési segély [Szoctv. 46. §]</t>
  </si>
  <si>
    <t>054871</t>
  </si>
  <si>
    <t>Köztemetés (Szoc.tv. 48.§)</t>
  </si>
  <si>
    <t>Szociális juttatások</t>
  </si>
  <si>
    <t>Egyéb működési célú támogatások ÁH-on belülre</t>
  </si>
  <si>
    <t>055081</t>
  </si>
  <si>
    <t>Működési célú visszatérítendő támogatások, kölcsönök nyújtása államháztartáson kívülre</t>
  </si>
  <si>
    <t>Egyéb működési célú támogatások ÁH-on kívülre</t>
  </si>
  <si>
    <t>Átadott pénzeszközök</t>
  </si>
  <si>
    <t>05621</t>
  </si>
  <si>
    <t>Ingatlanok beszerzése, létesítése</t>
  </si>
  <si>
    <t>Beruházási célú előzetesen felszámított áfa</t>
  </si>
  <si>
    <t>Fejlesztések</t>
  </si>
  <si>
    <t>Tartalékok (általános)</t>
  </si>
  <si>
    <t>Tartalékok (elköt.pénzm..terh.)</t>
  </si>
  <si>
    <t>2019. évi költségvetés III. sz. EI módosítása</t>
  </si>
  <si>
    <t>III. sz. EI mód.</t>
  </si>
  <si>
    <t>II.sz. EI mód.</t>
  </si>
  <si>
    <t>III.sz. EI mód.</t>
  </si>
  <si>
    <t>05111311</t>
  </si>
  <si>
    <t>Felmentett dolgozó juttatásai</t>
  </si>
  <si>
    <t>Reprezentáció</t>
  </si>
  <si>
    <t>053221</t>
  </si>
  <si>
    <t>05513</t>
  </si>
  <si>
    <t xml:space="preserve">Céljuttatás, projektrprémium </t>
  </si>
  <si>
    <t>Munkavégzésre irányuló egyéb jogviszonyban  nem saját foglalkoztatottnak fizetett juttatások teljesítése</t>
  </si>
  <si>
    <t xml:space="preserve">Közüzemi díjak </t>
  </si>
  <si>
    <t>Karbantartás, kisjavítás szolgáltatások</t>
  </si>
  <si>
    <t>Egyéb szakmai szolgáltatások</t>
  </si>
  <si>
    <t>Beruházások, fejlesztések</t>
  </si>
  <si>
    <t>082092 - Közművelődés - hagyományos közösségi kulturális értékek gondozása</t>
  </si>
  <si>
    <t>051121</t>
  </si>
  <si>
    <t>Műk.c. visszatérítendő támogatások áht-on belülről(B6)</t>
  </si>
  <si>
    <t>Gyermekek bölcsődében és mini bölcsődében történő ellátása</t>
  </si>
  <si>
    <t>Településfejlesztési projektek és támogatásuk</t>
  </si>
  <si>
    <t>Kovit-Terv Kft. - Vízgazdálkodási terv</t>
  </si>
  <si>
    <t xml:space="preserve">Pályázat „külterületi helyi utak fejlesztése” </t>
  </si>
  <si>
    <t>Áht-on belüli megelőlegezések</t>
  </si>
  <si>
    <t xml:space="preserve">EU-s programok és hazai társfin.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</si>
</sst>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,_F_t_-;\-* #,##0.00,_F_t_-;_-* \-??\ _F_t_-;_-@_-"/>
  </numFmts>
  <fonts count="10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0"/>
      <name val="Arial CE"/>
      <family val="2"/>
      <charset val="238"/>
    </font>
    <font>
      <i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7"/>
      <name val="Verdana"/>
      <family val="2"/>
      <charset val="238"/>
    </font>
    <font>
      <sz val="10"/>
      <color rgb="FFFF0000"/>
      <name val="Arial"/>
      <family val="2"/>
      <charset val="1"/>
    </font>
    <font>
      <b/>
      <sz val="7"/>
      <name val="Verdana"/>
      <family val="2"/>
      <charset val="238"/>
    </font>
    <font>
      <i/>
      <sz val="7"/>
      <name val="Verdana"/>
      <family val="2"/>
      <charset val="238"/>
    </font>
    <font>
      <i/>
      <sz val="9"/>
      <name val="Times New Roman"/>
      <family val="1"/>
      <charset val="238"/>
    </font>
    <font>
      <sz val="7"/>
      <color indexed="8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i/>
      <sz val="11"/>
      <name val="Arial"/>
      <family val="2"/>
      <charset val="238"/>
    </font>
    <font>
      <i/>
      <sz val="10"/>
      <name val="Arial CE"/>
      <charset val="238"/>
    </font>
    <font>
      <i/>
      <sz val="12"/>
      <name val="Bookman Old Style"/>
      <family val="1"/>
      <charset val="238"/>
    </font>
    <font>
      <sz val="12"/>
      <color rgb="FF333333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z val="9"/>
      <color rgb="FF333333"/>
      <name val="Times New Roman"/>
      <family val="1"/>
      <charset val="238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sz val="8"/>
      <name val="Arial"/>
      <family val="2"/>
      <charset val="1"/>
    </font>
    <font>
      <sz val="9"/>
      <color indexed="8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8"/>
      <name val="Verdana"/>
      <family val="2"/>
      <charset val="238"/>
    </font>
    <font>
      <b/>
      <i/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rgb="FFF8CBAD"/>
      </patternFill>
    </fill>
    <fill>
      <patternFill patternType="solid">
        <fgColor rgb="FFFAC090"/>
        <bgColor rgb="FFFFCC99"/>
      </patternFill>
    </fill>
    <fill>
      <patternFill patternType="solid">
        <fgColor rgb="FFFFF2CC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6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99"/>
        <bgColor rgb="FFFFFFCC"/>
      </patternFill>
    </fill>
    <fill>
      <patternFill patternType="solid">
        <fgColor rgb="FFFFE699"/>
        <bgColor rgb="FFFFFF99"/>
      </patternFill>
    </fill>
    <fill>
      <patternFill patternType="solid">
        <fgColor rgb="FFFFFFCC"/>
        <bgColor rgb="FFFFF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3"/>
      </patternFill>
    </fill>
    <fill>
      <patternFill patternType="solid">
        <fgColor theme="4" tint="0.39997558519241921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6" fontId="2" fillId="0" borderId="0"/>
    <xf numFmtId="0" fontId="58" fillId="0" borderId="0"/>
  </cellStyleXfs>
  <cellXfs count="104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/>
    <xf numFmtId="3" fontId="7" fillId="0" borderId="0" xfId="0" applyNumberFormat="1" applyFont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23" fillId="0" borderId="0" xfId="0" applyFont="1"/>
    <xf numFmtId="0" fontId="25" fillId="0" borderId="0" xfId="0" applyFont="1" applyAlignment="1">
      <alignment vertical="top" wrapText="1"/>
    </xf>
    <xf numFmtId="0" fontId="31" fillId="0" borderId="15" xfId="0" applyFont="1" applyBorder="1"/>
    <xf numFmtId="0" fontId="34" fillId="0" borderId="10" xfId="0" applyFont="1" applyBorder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4" fillId="0" borderId="0" xfId="0" applyFont="1"/>
    <xf numFmtId="0" fontId="11" fillId="0" borderId="0" xfId="0" applyFont="1"/>
    <xf numFmtId="0" fontId="18" fillId="0" borderId="0" xfId="0" applyFont="1"/>
    <xf numFmtId="3" fontId="31" fillId="0" borderId="9" xfId="0" applyNumberFormat="1" applyFont="1" applyBorder="1" applyAlignment="1">
      <alignment horizontal="right"/>
    </xf>
    <xf numFmtId="0" fontId="33" fillId="0" borderId="11" xfId="0" applyFont="1" applyBorder="1" applyAlignment="1">
      <alignment horizontal="right"/>
    </xf>
    <xf numFmtId="0" fontId="31" fillId="0" borderId="10" xfId="0" applyFont="1" applyBorder="1"/>
    <xf numFmtId="0" fontId="31" fillId="0" borderId="11" xfId="0" applyFont="1" applyBorder="1" applyAlignment="1">
      <alignment horizontal="center"/>
    </xf>
    <xf numFmtId="0" fontId="31" fillId="0" borderId="7" xfId="0" applyFont="1" applyBorder="1"/>
    <xf numFmtId="3" fontId="31" fillId="0" borderId="11" xfId="0" applyNumberFormat="1" applyFont="1" applyBorder="1"/>
    <xf numFmtId="0" fontId="32" fillId="0" borderId="17" xfId="0" applyFont="1" applyBorder="1"/>
    <xf numFmtId="0" fontId="32" fillId="0" borderId="18" xfId="0" applyFont="1" applyBorder="1"/>
    <xf numFmtId="3" fontId="31" fillId="0" borderId="19" xfId="0" applyNumberFormat="1" applyFont="1" applyBorder="1"/>
    <xf numFmtId="0" fontId="35" fillId="0" borderId="0" xfId="0" applyFont="1" applyAlignment="1">
      <alignment horizontal="right"/>
    </xf>
    <xf numFmtId="0" fontId="32" fillId="0" borderId="0" xfId="0" applyFont="1"/>
    <xf numFmtId="3" fontId="32" fillId="0" borderId="0" xfId="0" applyNumberFormat="1" applyFont="1"/>
    <xf numFmtId="0" fontId="35" fillId="0" borderId="4" xfId="0" applyFont="1" applyBorder="1" applyAlignment="1">
      <alignment horizontal="center" wrapText="1"/>
    </xf>
    <xf numFmtId="0" fontId="35" fillId="0" borderId="4" xfId="0" applyFont="1" applyBorder="1" applyAlignment="1">
      <alignment horizontal="justify" wrapText="1"/>
    </xf>
    <xf numFmtId="3" fontId="35" fillId="0" borderId="4" xfId="0" applyNumberFormat="1" applyFont="1" applyBorder="1" applyAlignment="1">
      <alignment horizontal="right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justify" wrapText="1"/>
    </xf>
    <xf numFmtId="3" fontId="35" fillId="0" borderId="0" xfId="0" applyNumberFormat="1" applyFont="1" applyAlignment="1">
      <alignment horizontal="right" wrapText="1"/>
    </xf>
    <xf numFmtId="0" fontId="38" fillId="0" borderId="13" xfId="0" applyFont="1" applyBorder="1" applyAlignment="1">
      <alignment horizontal="center" wrapText="1"/>
    </xf>
    <xf numFmtId="0" fontId="38" fillId="0" borderId="13" xfId="0" applyFont="1" applyBorder="1" applyAlignment="1">
      <alignment horizontal="justify" wrapText="1"/>
    </xf>
    <xf numFmtId="0" fontId="35" fillId="0" borderId="20" xfId="0" applyFont="1" applyBorder="1" applyAlignment="1">
      <alignment horizontal="center" wrapText="1"/>
    </xf>
    <xf numFmtId="0" fontId="35" fillId="0" borderId="20" xfId="0" applyFont="1" applyBorder="1" applyAlignment="1">
      <alignment horizontal="justify" wrapText="1"/>
    </xf>
    <xf numFmtId="3" fontId="35" fillId="0" borderId="20" xfId="0" applyNumberFormat="1" applyFont="1" applyBorder="1" applyAlignment="1">
      <alignment horizontal="right" wrapText="1"/>
    </xf>
    <xf numFmtId="3" fontId="35" fillId="0" borderId="4" xfId="0" applyNumberFormat="1" applyFont="1" applyBorder="1" applyAlignment="1">
      <alignment horizontal="justify" wrapText="1"/>
    </xf>
    <xf numFmtId="0" fontId="35" fillId="0" borderId="0" xfId="0" applyFont="1"/>
    <xf numFmtId="0" fontId="42" fillId="2" borderId="0" xfId="0" applyFont="1" applyFill="1" applyAlignment="1">
      <alignment wrapText="1"/>
    </xf>
    <xf numFmtId="0" fontId="24" fillId="0" borderId="0" xfId="0" applyFont="1"/>
    <xf numFmtId="0" fontId="24" fillId="0" borderId="15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5" xfId="0" applyFont="1" applyBorder="1"/>
    <xf numFmtId="0" fontId="24" fillId="0" borderId="26" xfId="0" applyFont="1" applyBorder="1" applyAlignment="1">
      <alignment horizontal="right"/>
    </xf>
    <xf numFmtId="0" fontId="24" fillId="0" borderId="10" xfId="0" applyFont="1" applyBorder="1"/>
    <xf numFmtId="0" fontId="24" fillId="0" borderId="11" xfId="0" applyFont="1" applyBorder="1" applyAlignment="1">
      <alignment horizontal="right"/>
    </xf>
    <xf numFmtId="0" fontId="44" fillId="0" borderId="10" xfId="0" applyFont="1" applyBorder="1"/>
    <xf numFmtId="0" fontId="44" fillId="0" borderId="11" xfId="0" applyFont="1" applyBorder="1"/>
    <xf numFmtId="0" fontId="24" fillId="0" borderId="16" xfId="0" applyFont="1" applyBorder="1"/>
    <xf numFmtId="0" fontId="24" fillId="0" borderId="12" xfId="0" applyFont="1" applyBorder="1"/>
    <xf numFmtId="0" fontId="4" fillId="0" borderId="0" xfId="0" applyFont="1"/>
    <xf numFmtId="0" fontId="43" fillId="2" borderId="0" xfId="0" applyFont="1" applyFill="1" applyAlignment="1">
      <alignment wrapText="1"/>
    </xf>
    <xf numFmtId="0" fontId="38" fillId="0" borderId="0" xfId="0" applyFont="1" applyAlignment="1">
      <alignment wrapText="1"/>
    </xf>
    <xf numFmtId="0" fontId="37" fillId="0" borderId="14" xfId="0" applyFont="1" applyBorder="1" applyAlignment="1">
      <alignment wrapText="1"/>
    </xf>
    <xf numFmtId="3" fontId="36" fillId="0" borderId="14" xfId="0" applyNumberFormat="1" applyFont="1" applyBorder="1" applyAlignment="1">
      <alignment wrapText="1"/>
    </xf>
    <xf numFmtId="0" fontId="37" fillId="0" borderId="0" xfId="0" applyFont="1" applyAlignment="1">
      <alignment wrapText="1"/>
    </xf>
    <xf numFmtId="3" fontId="36" fillId="0" borderId="0" xfId="0" applyNumberFormat="1" applyFont="1" applyAlignment="1">
      <alignment wrapText="1"/>
    </xf>
    <xf numFmtId="0" fontId="4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0" fontId="48" fillId="0" borderId="0" xfId="0" applyFont="1"/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30" fillId="0" borderId="37" xfId="0" applyFont="1" applyBorder="1" applyAlignment="1">
      <alignment horizontal="center"/>
    </xf>
    <xf numFmtId="0" fontId="12" fillId="0" borderId="28" xfId="0" applyFont="1" applyBorder="1"/>
    <xf numFmtId="0" fontId="49" fillId="0" borderId="0" xfId="0" applyFont="1"/>
    <xf numFmtId="0" fontId="43" fillId="2" borderId="34" xfId="0" applyFont="1" applyFill="1" applyBorder="1" applyAlignment="1">
      <alignment wrapText="1"/>
    </xf>
    <xf numFmtId="0" fontId="50" fillId="0" borderId="13" xfId="0" applyFont="1" applyBorder="1"/>
    <xf numFmtId="3" fontId="36" fillId="0" borderId="20" xfId="0" applyNumberFormat="1" applyFont="1" applyBorder="1" applyAlignment="1">
      <alignment horizontal="right" wrapText="1"/>
    </xf>
    <xf numFmtId="0" fontId="36" fillId="0" borderId="20" xfId="0" applyFont="1" applyBorder="1" applyAlignment="1">
      <alignment horizontal="center" wrapText="1"/>
    </xf>
    <xf numFmtId="0" fontId="36" fillId="0" borderId="28" xfId="0" applyFont="1" applyBorder="1" applyAlignment="1">
      <alignment horizontal="center" wrapText="1"/>
    </xf>
    <xf numFmtId="0" fontId="54" fillId="0" borderId="22" xfId="0" applyFont="1" applyBorder="1"/>
    <xf numFmtId="0" fontId="11" fillId="0" borderId="0" xfId="0" applyFont="1" applyAlignment="1">
      <alignment horizontal="center"/>
    </xf>
    <xf numFmtId="14" fontId="51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3" fontId="14" fillId="0" borderId="0" xfId="0" applyNumberFormat="1" applyFont="1"/>
    <xf numFmtId="3" fontId="50" fillId="0" borderId="28" xfId="0" applyNumberFormat="1" applyFont="1" applyBorder="1"/>
    <xf numFmtId="0" fontId="57" fillId="0" borderId="29" xfId="0" applyFont="1" applyBorder="1"/>
    <xf numFmtId="0" fontId="57" fillId="0" borderId="2" xfId="0" applyFont="1" applyBorder="1"/>
    <xf numFmtId="0" fontId="57" fillId="0" borderId="30" xfId="0" applyFont="1" applyBorder="1"/>
    <xf numFmtId="0" fontId="25" fillId="0" borderId="0" xfId="0" applyFont="1" applyAlignment="1">
      <alignment horizontal="center" vertical="top" wrapText="1"/>
    </xf>
    <xf numFmtId="0" fontId="27" fillId="2" borderId="7" xfId="0" applyFont="1" applyFill="1" applyBorder="1" applyAlignment="1">
      <alignment horizontal="center" vertical="top" wrapText="1"/>
    </xf>
    <xf numFmtId="0" fontId="27" fillId="2" borderId="8" xfId="0" applyFont="1" applyFill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7" fillId="0" borderId="10" xfId="0" applyFont="1" applyBorder="1" applyAlignment="1">
      <alignment horizontal="center"/>
    </xf>
    <xf numFmtId="3" fontId="31" fillId="0" borderId="0" xfId="0" applyNumberFormat="1" applyFont="1" applyAlignment="1">
      <alignment horizontal="center"/>
    </xf>
    <xf numFmtId="0" fontId="32" fillId="0" borderId="0" xfId="2" applyFont="1"/>
    <xf numFmtId="3" fontId="32" fillId="0" borderId="0" xfId="2" applyNumberFormat="1" applyFont="1"/>
    <xf numFmtId="3" fontId="32" fillId="0" borderId="0" xfId="2" applyNumberFormat="1" applyFont="1" applyAlignment="1">
      <alignment horizontal="right"/>
    </xf>
    <xf numFmtId="49" fontId="0" fillId="0" borderId="0" xfId="0" applyNumberFormat="1"/>
    <xf numFmtId="0" fontId="59" fillId="0" borderId="15" xfId="0" applyFont="1" applyBorder="1"/>
    <xf numFmtId="0" fontId="59" fillId="0" borderId="24" xfId="2" applyFont="1" applyBorder="1" applyAlignment="1">
      <alignment horizontal="center" wrapText="1"/>
    </xf>
    <xf numFmtId="3" fontId="59" fillId="0" borderId="24" xfId="2" applyNumberFormat="1" applyFont="1" applyBorder="1" applyAlignment="1">
      <alignment horizontal="center" wrapText="1"/>
    </xf>
    <xf numFmtId="3" fontId="59" fillId="0" borderId="19" xfId="2" applyNumberFormat="1" applyFont="1" applyBorder="1" applyAlignment="1">
      <alignment horizontal="center" wrapText="1"/>
    </xf>
    <xf numFmtId="0" fontId="59" fillId="0" borderId="23" xfId="2" applyFont="1" applyBorder="1" applyAlignment="1">
      <alignment horizontal="left" wrapText="1"/>
    </xf>
    <xf numFmtId="49" fontId="19" fillId="0" borderId="6" xfId="2" applyNumberFormat="1" applyFont="1" applyBorder="1" applyAlignment="1">
      <alignment horizontal="justify" wrapText="1"/>
    </xf>
    <xf numFmtId="3" fontId="19" fillId="0" borderId="6" xfId="2" applyNumberFormat="1" applyFont="1" applyBorder="1" applyAlignment="1">
      <alignment horizontal="right" wrapText="1"/>
    </xf>
    <xf numFmtId="49" fontId="59" fillId="0" borderId="6" xfId="2" applyNumberFormat="1" applyFont="1" applyBorder="1" applyAlignment="1">
      <alignment horizontal="justify" wrapText="1"/>
    </xf>
    <xf numFmtId="49" fontId="59" fillId="0" borderId="6" xfId="2" applyNumberFormat="1" applyFont="1" applyBorder="1"/>
    <xf numFmtId="0" fontId="19" fillId="0" borderId="6" xfId="2" applyFont="1" applyBorder="1"/>
    <xf numFmtId="49" fontId="19" fillId="0" borderId="6" xfId="2" applyNumberFormat="1" applyFont="1" applyBorder="1"/>
    <xf numFmtId="0" fontId="19" fillId="0" borderId="6" xfId="0" applyFont="1" applyBorder="1"/>
    <xf numFmtId="0" fontId="59" fillId="0" borderId="25" xfId="0" applyFont="1" applyBorder="1"/>
    <xf numFmtId="49" fontId="19" fillId="0" borderId="10" xfId="0" applyNumberFormat="1" applyFont="1" applyBorder="1" applyAlignment="1">
      <alignment horizontal="right"/>
    </xf>
    <xf numFmtId="3" fontId="19" fillId="0" borderId="11" xfId="2" applyNumberFormat="1" applyFont="1" applyBorder="1" applyAlignment="1">
      <alignment horizontal="right" wrapText="1"/>
    </xf>
    <xf numFmtId="49" fontId="59" fillId="0" borderId="10" xfId="0" applyNumberFormat="1" applyFont="1" applyBorder="1"/>
    <xf numFmtId="0" fontId="19" fillId="0" borderId="11" xfId="2" applyFont="1" applyBorder="1"/>
    <xf numFmtId="0" fontId="19" fillId="0" borderId="11" xfId="0" applyFont="1" applyBorder="1"/>
    <xf numFmtId="49" fontId="19" fillId="0" borderId="16" xfId="0" applyNumberFormat="1" applyFont="1" applyBorder="1" applyAlignment="1">
      <alignment horizontal="right"/>
    </xf>
    <xf numFmtId="0" fontId="19" fillId="0" borderId="27" xfId="0" applyFont="1" applyBorder="1"/>
    <xf numFmtId="0" fontId="19" fillId="0" borderId="12" xfId="0" applyFont="1" applyBorder="1"/>
    <xf numFmtId="3" fontId="59" fillId="0" borderId="23" xfId="2" applyNumberFormat="1" applyFont="1" applyBorder="1" applyAlignment="1">
      <alignment horizontal="center" wrapText="1"/>
    </xf>
    <xf numFmtId="0" fontId="59" fillId="0" borderId="6" xfId="2" applyFont="1" applyBorder="1"/>
    <xf numFmtId="3" fontId="59" fillId="0" borderId="26" xfId="2" applyNumberFormat="1" applyFont="1" applyBorder="1" applyAlignment="1">
      <alignment horizontal="center" wrapText="1"/>
    </xf>
    <xf numFmtId="0" fontId="59" fillId="0" borderId="11" xfId="2" applyFont="1" applyBorder="1"/>
    <xf numFmtId="3" fontId="6" fillId="0" borderId="0" xfId="0" applyNumberFormat="1" applyFont="1" applyAlignment="1">
      <alignment horizontal="center" vertical="center"/>
    </xf>
    <xf numFmtId="0" fontId="62" fillId="0" borderId="3" xfId="0" applyFont="1" applyBorder="1"/>
    <xf numFmtId="3" fontId="63" fillId="0" borderId="4" xfId="0" applyNumberFormat="1" applyFont="1" applyBorder="1"/>
    <xf numFmtId="3" fontId="61" fillId="0" borderId="5" xfId="0" applyNumberFormat="1" applyFont="1" applyBorder="1" applyAlignment="1">
      <alignment horizontal="right"/>
    </xf>
    <xf numFmtId="0" fontId="62" fillId="0" borderId="32" xfId="0" applyFont="1" applyBorder="1"/>
    <xf numFmtId="3" fontId="62" fillId="0" borderId="20" xfId="0" applyNumberFormat="1" applyFont="1" applyBorder="1"/>
    <xf numFmtId="3" fontId="63" fillId="0" borderId="20" xfId="0" applyNumberFormat="1" applyFont="1" applyBorder="1"/>
    <xf numFmtId="3" fontId="61" fillId="0" borderId="5" xfId="0" applyNumberFormat="1" applyFont="1" applyBorder="1"/>
    <xf numFmtId="0" fontId="30" fillId="3" borderId="11" xfId="0" applyFont="1" applyFill="1" applyBorder="1"/>
    <xf numFmtId="0" fontId="30" fillId="0" borderId="27" xfId="0" applyFont="1" applyBorder="1" applyAlignment="1">
      <alignment horizontal="center"/>
    </xf>
    <xf numFmtId="0" fontId="30" fillId="3" borderId="11" xfId="0" applyFont="1" applyFill="1" applyBorder="1" applyAlignment="1">
      <alignment wrapText="1"/>
    </xf>
    <xf numFmtId="0" fontId="30" fillId="3" borderId="42" xfId="0" applyFont="1" applyFill="1" applyBorder="1"/>
    <xf numFmtId="0" fontId="30" fillId="3" borderId="12" xfId="0" applyFont="1" applyFill="1" applyBorder="1"/>
    <xf numFmtId="0" fontId="30" fillId="3" borderId="0" xfId="0" applyFont="1" applyFill="1"/>
    <xf numFmtId="0" fontId="30" fillId="3" borderId="0" xfId="0" applyFont="1" applyFill="1" applyAlignment="1">
      <alignment horizontal="right"/>
    </xf>
    <xf numFmtId="0" fontId="27" fillId="3" borderId="9" xfId="0" applyFont="1" applyFill="1" applyBorder="1" applyAlignment="1">
      <alignment horizontal="center" vertical="top" wrapText="1"/>
    </xf>
    <xf numFmtId="0" fontId="27" fillId="3" borderId="11" xfId="0" applyFont="1" applyFill="1" applyBorder="1"/>
    <xf numFmtId="0" fontId="30" fillId="0" borderId="10" xfId="0" applyFont="1" applyBorder="1" applyAlignment="1">
      <alignment horizontal="center"/>
    </xf>
    <xf numFmtId="3" fontId="34" fillId="3" borderId="11" xfId="0" applyNumberFormat="1" applyFont="1" applyFill="1" applyBorder="1"/>
    <xf numFmtId="0" fontId="26" fillId="0" borderId="3" xfId="0" applyFont="1" applyBorder="1"/>
    <xf numFmtId="3" fontId="19" fillId="3" borderId="6" xfId="2" applyNumberFormat="1" applyFont="1" applyFill="1" applyBorder="1" applyAlignment="1">
      <alignment horizontal="right" wrapText="1"/>
    </xf>
    <xf numFmtId="3" fontId="19" fillId="3" borderId="11" xfId="2" applyNumberFormat="1" applyFont="1" applyFill="1" applyBorder="1" applyAlignment="1">
      <alignment horizontal="right" wrapText="1"/>
    </xf>
    <xf numFmtId="0" fontId="24" fillId="3" borderId="1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3" borderId="0" xfId="0" applyFill="1"/>
    <xf numFmtId="3" fontId="17" fillId="0" borderId="0" xfId="0" applyNumberFormat="1" applyFont="1" applyAlignment="1">
      <alignment wrapText="1"/>
    </xf>
    <xf numFmtId="0" fontId="23" fillId="0" borderId="0" xfId="0" applyFont="1" applyAlignment="1">
      <alignment horizontal="right"/>
    </xf>
    <xf numFmtId="0" fontId="53" fillId="0" borderId="22" xfId="0" applyFont="1" applyBorder="1" applyAlignment="1">
      <alignment vertical="top" wrapText="1"/>
    </xf>
    <xf numFmtId="3" fontId="62" fillId="0" borderId="46" xfId="0" applyNumberFormat="1" applyFont="1" applyBorder="1"/>
    <xf numFmtId="0" fontId="44" fillId="0" borderId="0" xfId="0" applyFont="1" applyAlignment="1">
      <alignment horizontal="center"/>
    </xf>
    <xf numFmtId="1" fontId="0" fillId="0" borderId="0" xfId="0" applyNumberFormat="1"/>
    <xf numFmtId="0" fontId="30" fillId="3" borderId="18" xfId="0" applyFont="1" applyFill="1" applyBorder="1"/>
    <xf numFmtId="0" fontId="0" fillId="0" borderId="0" xfId="0" applyAlignment="1"/>
    <xf numFmtId="0" fontId="71" fillId="0" borderId="0" xfId="0" applyFont="1"/>
    <xf numFmtId="0" fontId="75" fillId="0" borderId="0" xfId="0" applyFont="1"/>
    <xf numFmtId="3" fontId="44" fillId="0" borderId="0" xfId="0" applyNumberFormat="1" applyFont="1"/>
    <xf numFmtId="0" fontId="73" fillId="0" borderId="0" xfId="0" applyFont="1"/>
    <xf numFmtId="0" fontId="73" fillId="0" borderId="0" xfId="0" applyFont="1" applyAlignment="1">
      <alignment horizontal="right"/>
    </xf>
    <xf numFmtId="3" fontId="44" fillId="9" borderId="77" xfId="0" applyNumberFormat="1" applyFont="1" applyFill="1" applyBorder="1"/>
    <xf numFmtId="3" fontId="44" fillId="9" borderId="50" xfId="0" applyNumberFormat="1" applyFont="1" applyFill="1" applyBorder="1"/>
    <xf numFmtId="3" fontId="44" fillId="9" borderId="50" xfId="0" applyNumberFormat="1" applyFont="1" applyFill="1" applyBorder="1" applyAlignment="1">
      <alignment horizontal="center"/>
    </xf>
    <xf numFmtId="3" fontId="44" fillId="9" borderId="81" xfId="0" applyNumberFormat="1" applyFont="1" applyFill="1" applyBorder="1"/>
    <xf numFmtId="3" fontId="44" fillId="9" borderId="68" xfId="0" applyNumberFormat="1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3" fontId="44" fillId="0" borderId="0" xfId="0" applyNumberFormat="1" applyFont="1" applyAlignment="1">
      <alignment horizontal="center"/>
    </xf>
    <xf numFmtId="3" fontId="44" fillId="9" borderId="77" xfId="0" applyNumberFormat="1" applyFont="1" applyFill="1" applyBorder="1" applyAlignment="1">
      <alignment horizontal="center"/>
    </xf>
    <xf numFmtId="49" fontId="45" fillId="0" borderId="25" xfId="0" applyNumberFormat="1" applyFont="1" applyFill="1" applyBorder="1" applyAlignment="1">
      <alignment horizontal="left" vertical="center" wrapText="1" shrinkToFit="1"/>
    </xf>
    <xf numFmtId="49" fontId="45" fillId="0" borderId="23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horizontal="center" vertical="center" wrapText="1" shrinkToFit="1"/>
    </xf>
    <xf numFmtId="3" fontId="45" fillId="0" borderId="26" xfId="0" applyNumberFormat="1" applyFont="1" applyFill="1" applyBorder="1" applyAlignment="1">
      <alignment vertical="center" wrapText="1" shrinkToFit="1"/>
    </xf>
    <xf numFmtId="3" fontId="45" fillId="0" borderId="44" xfId="0" applyNumberFormat="1" applyFont="1" applyFill="1" applyBorder="1" applyAlignment="1">
      <alignment vertical="center" wrapText="1" shrinkToFit="1"/>
    </xf>
    <xf numFmtId="3" fontId="45" fillId="0" borderId="43" xfId="0" applyNumberFormat="1" applyFont="1" applyFill="1" applyBorder="1" applyAlignment="1">
      <alignment vertical="center" wrapText="1" shrinkToFit="1"/>
    </xf>
    <xf numFmtId="3" fontId="78" fillId="0" borderId="23" xfId="0" applyNumberFormat="1" applyFont="1" applyFill="1" applyBorder="1" applyAlignment="1">
      <alignment vertical="center" wrapText="1" shrinkToFit="1"/>
    </xf>
    <xf numFmtId="3" fontId="78" fillId="0" borderId="23" xfId="0" applyNumberFormat="1" applyFont="1" applyFill="1" applyBorder="1" applyAlignment="1">
      <alignment horizontal="center" vertical="center" wrapText="1" shrinkToFit="1"/>
    </xf>
    <xf numFmtId="3" fontId="45" fillId="0" borderId="23" xfId="0" applyNumberFormat="1" applyFont="1" applyFill="1" applyBorder="1" applyAlignment="1">
      <alignment horizontal="right" vertical="center" wrapText="1" shrinkToFit="1"/>
    </xf>
    <xf numFmtId="3" fontId="45" fillId="0" borderId="26" xfId="0" applyNumberFormat="1" applyFont="1" applyFill="1" applyBorder="1" applyAlignment="1">
      <alignment horizontal="right" vertical="center" wrapText="1" shrinkToFit="1"/>
    </xf>
    <xf numFmtId="0" fontId="74" fillId="0" borderId="0" xfId="0" applyFont="1"/>
    <xf numFmtId="0" fontId="77" fillId="0" borderId="0" xfId="0" applyFont="1" applyAlignment="1">
      <alignment horizontal="right"/>
    </xf>
    <xf numFmtId="3" fontId="76" fillId="9" borderId="77" xfId="0" applyNumberFormat="1" applyFont="1" applyFill="1" applyBorder="1"/>
    <xf numFmtId="0" fontId="76" fillId="0" borderId="0" xfId="0" applyFont="1" applyAlignment="1">
      <alignment horizontal="center"/>
    </xf>
    <xf numFmtId="3" fontId="76" fillId="0" borderId="0" xfId="0" applyNumberFormat="1" applyFont="1"/>
    <xf numFmtId="3" fontId="76" fillId="0" borderId="0" xfId="0" applyNumberFormat="1" applyFont="1" applyAlignment="1">
      <alignment horizontal="center"/>
    </xf>
    <xf numFmtId="3" fontId="76" fillId="9" borderId="77" xfId="0" applyNumberFormat="1" applyFont="1" applyFill="1" applyBorder="1" applyAlignment="1">
      <alignment horizontal="center"/>
    </xf>
    <xf numFmtId="49" fontId="74" fillId="0" borderId="25" xfId="0" applyNumberFormat="1" applyFont="1" applyFill="1" applyBorder="1" applyAlignment="1">
      <alignment horizontal="left" vertical="center" wrapText="1" shrinkToFit="1"/>
    </xf>
    <xf numFmtId="49" fontId="74" fillId="0" borderId="23" xfId="0" applyNumberFormat="1" applyFont="1" applyFill="1" applyBorder="1" applyAlignment="1">
      <alignment vertical="center" wrapText="1" shrinkToFit="1"/>
    </xf>
    <xf numFmtId="3" fontId="74" fillId="0" borderId="23" xfId="0" applyNumberFormat="1" applyFont="1" applyFill="1" applyBorder="1" applyAlignment="1">
      <alignment vertical="center" wrapText="1" shrinkToFit="1"/>
    </xf>
    <xf numFmtId="3" fontId="74" fillId="0" borderId="23" xfId="0" applyNumberFormat="1" applyFont="1" applyFill="1" applyBorder="1" applyAlignment="1">
      <alignment horizontal="center" vertical="center" wrapText="1" shrinkToFit="1"/>
    </xf>
    <xf numFmtId="3" fontId="74" fillId="0" borderId="26" xfId="0" applyNumberFormat="1" applyFont="1" applyFill="1" applyBorder="1" applyAlignment="1">
      <alignment vertical="center" wrapText="1" shrinkToFit="1"/>
    </xf>
    <xf numFmtId="3" fontId="74" fillId="0" borderId="44" xfId="0" applyNumberFormat="1" applyFont="1" applyFill="1" applyBorder="1" applyAlignment="1">
      <alignment vertical="center" wrapText="1" shrinkToFit="1"/>
    </xf>
    <xf numFmtId="3" fontId="74" fillId="0" borderId="43" xfId="0" applyNumberFormat="1" applyFont="1" applyFill="1" applyBorder="1" applyAlignment="1">
      <alignment vertical="center" wrapText="1" shrinkToFit="1"/>
    </xf>
    <xf numFmtId="3" fontId="77" fillId="0" borderId="23" xfId="0" applyNumberFormat="1" applyFont="1" applyFill="1" applyBorder="1" applyAlignment="1">
      <alignment vertical="center" wrapText="1" shrinkToFit="1"/>
    </xf>
    <xf numFmtId="0" fontId="74" fillId="0" borderId="23" xfId="0" applyFont="1" applyFill="1" applyBorder="1" applyAlignment="1">
      <alignment horizontal="left" vertical="center" wrapText="1" shrinkToFit="1"/>
    </xf>
    <xf numFmtId="3" fontId="74" fillId="0" borderId="23" xfId="0" applyNumberFormat="1" applyFont="1" applyFill="1" applyBorder="1" applyAlignment="1">
      <alignment horizontal="right" vertical="center" wrapText="1" shrinkToFit="1"/>
    </xf>
    <xf numFmtId="3" fontId="74" fillId="0" borderId="26" xfId="0" applyNumberFormat="1" applyFont="1" applyFill="1" applyBorder="1" applyAlignment="1">
      <alignment horizontal="right" vertical="center" wrapText="1" shrinkToFit="1"/>
    </xf>
    <xf numFmtId="0" fontId="27" fillId="2" borderId="60" xfId="0" applyFont="1" applyFill="1" applyBorder="1" applyAlignment="1">
      <alignment horizontal="center" vertical="top" wrapText="1"/>
    </xf>
    <xf numFmtId="0" fontId="27" fillId="2" borderId="61" xfId="0" applyFont="1" applyFill="1" applyBorder="1" applyAlignment="1">
      <alignment horizontal="center" vertical="top" wrapText="1"/>
    </xf>
    <xf numFmtId="0" fontId="27" fillId="2" borderId="80" xfId="0" applyFont="1" applyFill="1" applyBorder="1" applyAlignment="1">
      <alignment horizontal="center" vertical="top" wrapText="1"/>
    </xf>
    <xf numFmtId="0" fontId="27" fillId="0" borderId="53" xfId="0" applyFont="1" applyBorder="1" applyAlignment="1">
      <alignment horizontal="center" vertical="top" wrapText="1"/>
    </xf>
    <xf numFmtId="0" fontId="27" fillId="0" borderId="54" xfId="0" applyFont="1" applyBorder="1" applyAlignment="1">
      <alignment horizontal="center" vertical="top" wrapText="1"/>
    </xf>
    <xf numFmtId="0" fontId="27" fillId="0" borderId="63" xfId="0" applyFont="1" applyBorder="1" applyAlignment="1">
      <alignment vertical="top" wrapText="1"/>
    </xf>
    <xf numFmtId="0" fontId="30" fillId="0" borderId="54" xfId="0" applyFont="1" applyBorder="1" applyAlignment="1">
      <alignment horizontal="center" vertical="top" wrapText="1"/>
    </xf>
    <xf numFmtId="0" fontId="30" fillId="3" borderId="63" xfId="0" applyFont="1" applyFill="1" applyBorder="1"/>
    <xf numFmtId="0" fontId="30" fillId="3" borderId="63" xfId="0" applyFont="1" applyFill="1" applyBorder="1" applyAlignment="1">
      <alignment vertical="top" wrapText="1"/>
    </xf>
    <xf numFmtId="0" fontId="30" fillId="3" borderId="63" xfId="0" applyFont="1" applyFill="1" applyBorder="1" applyAlignment="1">
      <alignment wrapText="1"/>
    </xf>
    <xf numFmtId="0" fontId="27" fillId="0" borderId="64" xfId="0" applyFont="1" applyBorder="1" applyAlignment="1">
      <alignment horizontal="center" vertical="top" wrapText="1"/>
    </xf>
    <xf numFmtId="0" fontId="30" fillId="0" borderId="52" xfId="0" applyFont="1" applyBorder="1" applyAlignment="1">
      <alignment horizontal="center" vertical="top" wrapText="1"/>
    </xf>
    <xf numFmtId="0" fontId="30" fillId="3" borderId="75" xfId="0" applyFont="1" applyFill="1" applyBorder="1"/>
    <xf numFmtId="0" fontId="27" fillId="0" borderId="6" xfId="0" applyFont="1" applyBorder="1"/>
    <xf numFmtId="0" fontId="30" fillId="3" borderId="10" xfId="0" applyFont="1" applyFill="1" applyBorder="1" applyAlignment="1">
      <alignment horizontal="center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Border="1"/>
    <xf numFmtId="0" fontId="30" fillId="0" borderId="10" xfId="0" applyFont="1" applyBorder="1"/>
    <xf numFmtId="0" fontId="30" fillId="0" borderId="17" xfId="0" applyFont="1" applyBorder="1"/>
    <xf numFmtId="0" fontId="30" fillId="0" borderId="16" xfId="0" applyFont="1" applyBorder="1"/>
    <xf numFmtId="0" fontId="8" fillId="0" borderId="34" xfId="0" applyFont="1" applyBorder="1"/>
    <xf numFmtId="1" fontId="61" fillId="0" borderId="13" xfId="3" applyNumberFormat="1" applyFont="1" applyBorder="1" applyAlignment="1">
      <alignment horizontal="center" vertical="center" wrapText="1"/>
    </xf>
    <xf numFmtId="3" fontId="64" fillId="0" borderId="70" xfId="0" applyNumberFormat="1" applyFont="1" applyBorder="1"/>
    <xf numFmtId="0" fontId="62" fillId="0" borderId="0" xfId="0" applyFont="1" applyBorder="1"/>
    <xf numFmtId="0" fontId="64" fillId="0" borderId="70" xfId="0" applyFont="1" applyBorder="1"/>
    <xf numFmtId="0" fontId="64" fillId="0" borderId="69" xfId="0" applyFont="1" applyBorder="1"/>
    <xf numFmtId="0" fontId="45" fillId="3" borderId="53" xfId="0" applyFont="1" applyFill="1" applyBorder="1" applyAlignment="1">
      <alignment horizontal="center" vertical="top" wrapText="1"/>
    </xf>
    <xf numFmtId="0" fontId="30" fillId="3" borderId="78" xfId="0" applyFont="1" applyFill="1" applyBorder="1"/>
    <xf numFmtId="0" fontId="30" fillId="0" borderId="53" xfId="0" applyFont="1" applyBorder="1" applyAlignment="1">
      <alignment horizontal="center"/>
    </xf>
    <xf numFmtId="0" fontId="30" fillId="3" borderId="78" xfId="0" applyFont="1" applyFill="1" applyBorder="1" applyAlignment="1">
      <alignment vertical="top" wrapText="1"/>
    </xf>
    <xf numFmtId="0" fontId="30" fillId="3" borderId="78" xfId="0" applyFont="1" applyFill="1" applyBorder="1" applyAlignment="1">
      <alignment wrapText="1"/>
    </xf>
    <xf numFmtId="0" fontId="30" fillId="0" borderId="53" xfId="0" applyFont="1" applyBorder="1" applyAlignment="1">
      <alignment horizontal="center" vertical="top" wrapText="1"/>
    </xf>
    <xf numFmtId="0" fontId="30" fillId="3" borderId="0" xfId="0" applyFont="1" applyFill="1" applyBorder="1"/>
    <xf numFmtId="0" fontId="30" fillId="3" borderId="92" xfId="0" applyFont="1" applyFill="1" applyBorder="1"/>
    <xf numFmtId="0" fontId="30" fillId="0" borderId="64" xfId="0" applyFont="1" applyBorder="1" applyAlignment="1">
      <alignment horizontal="center"/>
    </xf>
    <xf numFmtId="0" fontId="46" fillId="0" borderId="65" xfId="0" applyFont="1" applyBorder="1" applyAlignment="1">
      <alignment horizontal="center" vertical="center" wrapText="1"/>
    </xf>
    <xf numFmtId="0" fontId="46" fillId="0" borderId="52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45" fillId="3" borderId="60" xfId="0" applyFont="1" applyFill="1" applyBorder="1" applyAlignment="1">
      <alignment horizontal="center" vertical="top" wrapText="1"/>
    </xf>
    <xf numFmtId="0" fontId="30" fillId="3" borderId="80" xfId="0" applyFont="1" applyFill="1" applyBorder="1"/>
    <xf numFmtId="0" fontId="30" fillId="0" borderId="73" xfId="0" applyFont="1" applyBorder="1" applyAlignment="1">
      <alignment horizontal="center"/>
    </xf>
    <xf numFmtId="0" fontId="30" fillId="0" borderId="84" xfId="0" applyFont="1" applyBorder="1" applyAlignment="1">
      <alignment horizontal="center"/>
    </xf>
    <xf numFmtId="0" fontId="30" fillId="0" borderId="84" xfId="0" applyFont="1" applyBorder="1" applyAlignment="1">
      <alignment horizontal="center" vertical="top" wrapText="1"/>
    </xf>
    <xf numFmtId="0" fontId="27" fillId="3" borderId="63" xfId="0" applyFont="1" applyFill="1" applyBorder="1"/>
    <xf numFmtId="0" fontId="30" fillId="0" borderId="85" xfId="0" applyFont="1" applyBorder="1" applyAlignment="1">
      <alignment horizontal="center"/>
    </xf>
    <xf numFmtId="0" fontId="30" fillId="0" borderId="89" xfId="0" applyFont="1" applyBorder="1" applyAlignment="1">
      <alignment horizontal="center"/>
    </xf>
    <xf numFmtId="0" fontId="50" fillId="0" borderId="47" xfId="0" applyFont="1" applyBorder="1" applyAlignment="1">
      <alignment horizontal="center" vertical="top" wrapText="1"/>
    </xf>
    <xf numFmtId="0" fontId="0" fillId="0" borderId="47" xfId="0" applyBorder="1"/>
    <xf numFmtId="0" fontId="45" fillId="0" borderId="53" xfId="0" applyFont="1" applyBorder="1" applyAlignment="1">
      <alignment horizontal="center" vertical="top" wrapText="1"/>
    </xf>
    <xf numFmtId="0" fontId="30" fillId="0" borderId="86" xfId="0" applyFont="1" applyBorder="1" applyAlignment="1">
      <alignment horizontal="center"/>
    </xf>
    <xf numFmtId="0" fontId="30" fillId="0" borderId="86" xfId="0" applyFont="1" applyBorder="1" applyAlignment="1">
      <alignment horizontal="center" vertical="top" wrapText="1"/>
    </xf>
    <xf numFmtId="0" fontId="45" fillId="0" borderId="60" xfId="0" applyFont="1" applyBorder="1" applyAlignment="1">
      <alignment horizontal="center" vertical="top" wrapText="1"/>
    </xf>
    <xf numFmtId="0" fontId="49" fillId="0" borderId="83" xfId="0" applyFont="1" applyBorder="1"/>
    <xf numFmtId="0" fontId="45" fillId="3" borderId="56" xfId="0" applyFont="1" applyFill="1" applyBorder="1" applyAlignment="1">
      <alignment horizontal="center" vertical="top" wrapText="1"/>
    </xf>
    <xf numFmtId="0" fontId="30" fillId="3" borderId="79" xfId="0" applyFont="1" applyFill="1" applyBorder="1"/>
    <xf numFmtId="3" fontId="47" fillId="0" borderId="69" xfId="0" applyNumberFormat="1" applyFont="1" applyBorder="1" applyAlignment="1">
      <alignment horizontal="center" vertical="top" wrapText="1"/>
    </xf>
    <xf numFmtId="3" fontId="45" fillId="0" borderId="61" xfId="0" applyNumberFormat="1" applyFont="1" applyBorder="1" applyAlignment="1">
      <alignment horizontal="right" vertical="top" wrapText="1"/>
    </xf>
    <xf numFmtId="3" fontId="45" fillId="0" borderId="54" xfId="0" applyNumberFormat="1" applyFont="1" applyBorder="1" applyAlignment="1">
      <alignment horizontal="right"/>
    </xf>
    <xf numFmtId="3" fontId="49" fillId="0" borderId="54" xfId="1" applyNumberFormat="1" applyFont="1" applyBorder="1" applyAlignment="1">
      <alignment horizontal="right"/>
    </xf>
    <xf numFmtId="3" fontId="49" fillId="0" borderId="78" xfId="1" applyNumberFormat="1" applyFont="1" applyBorder="1" applyAlignment="1">
      <alignment horizontal="right"/>
    </xf>
    <xf numFmtId="3" fontId="45" fillId="0" borderId="54" xfId="0" applyNumberFormat="1" applyFont="1" applyBorder="1" applyAlignment="1">
      <alignment horizontal="right" vertical="top" wrapText="1"/>
    </xf>
    <xf numFmtId="3" fontId="0" fillId="0" borderId="0" xfId="0" applyNumberFormat="1" applyBorder="1"/>
    <xf numFmtId="3" fontId="49" fillId="0" borderId="53" xfId="1" applyNumberFormat="1" applyFont="1" applyBorder="1" applyAlignment="1">
      <alignment horizontal="right"/>
    </xf>
    <xf numFmtId="3" fontId="49" fillId="0" borderId="63" xfId="1" applyNumberFormat="1" applyFont="1" applyBorder="1" applyAlignment="1">
      <alignment horizontal="right"/>
    </xf>
    <xf numFmtId="3" fontId="45" fillId="0" borderId="54" xfId="1" applyNumberFormat="1" applyFont="1" applyBorder="1" applyAlignment="1">
      <alignment horizontal="right" wrapText="1"/>
    </xf>
    <xf numFmtId="3" fontId="45" fillId="0" borderId="54" xfId="0" applyNumberFormat="1" applyFont="1" applyBorder="1" applyAlignment="1">
      <alignment horizontal="right" wrapText="1"/>
    </xf>
    <xf numFmtId="0" fontId="19" fillId="0" borderId="25" xfId="0" applyFont="1" applyBorder="1" applyAlignment="1">
      <alignment horizontal="center" vertical="top" wrapText="1"/>
    </xf>
    <xf numFmtId="3" fontId="45" fillId="0" borderId="23" xfId="0" applyNumberFormat="1" applyFont="1" applyBorder="1" applyAlignment="1">
      <alignment horizontal="right" wrapText="1"/>
    </xf>
    <xf numFmtId="3" fontId="45" fillId="0" borderId="23" xfId="1" applyNumberFormat="1" applyFont="1" applyBorder="1" applyAlignment="1">
      <alignment horizontal="right" wrapText="1"/>
    </xf>
    <xf numFmtId="3" fontId="49" fillId="0" borderId="23" xfId="1" applyNumberFormat="1" applyFont="1" applyBorder="1" applyAlignment="1">
      <alignment horizontal="right"/>
    </xf>
    <xf numFmtId="3" fontId="49" fillId="0" borderId="36" xfId="1" applyNumberFormat="1" applyFont="1" applyBorder="1" applyAlignment="1">
      <alignment horizontal="right"/>
    </xf>
    <xf numFmtId="0" fontId="56" fillId="0" borderId="64" xfId="0" applyFont="1" applyBorder="1" applyAlignment="1">
      <alignment horizontal="center" vertical="center" wrapText="1"/>
    </xf>
    <xf numFmtId="3" fontId="49" fillId="0" borderId="25" xfId="1" applyNumberFormat="1" applyFont="1" applyBorder="1" applyAlignment="1">
      <alignment horizontal="right"/>
    </xf>
    <xf numFmtId="3" fontId="49" fillId="0" borderId="26" xfId="1" applyNumberFormat="1" applyFont="1" applyBorder="1" applyAlignment="1">
      <alignment horizontal="right"/>
    </xf>
    <xf numFmtId="3" fontId="49" fillId="0" borderId="0" xfId="1" applyNumberFormat="1" applyFont="1" applyBorder="1" applyAlignment="1">
      <alignment horizontal="right"/>
    </xf>
    <xf numFmtId="3" fontId="45" fillId="0" borderId="52" xfId="0" applyNumberFormat="1" applyFont="1" applyBorder="1" applyAlignment="1">
      <alignment horizontal="right"/>
    </xf>
    <xf numFmtId="3" fontId="45" fillId="0" borderId="52" xfId="1" applyNumberFormat="1" applyFont="1" applyBorder="1" applyAlignment="1">
      <alignment horizontal="right" wrapText="1"/>
    </xf>
    <xf numFmtId="3" fontId="49" fillId="0" borderId="52" xfId="1" applyNumberFormat="1" applyFont="1" applyBorder="1" applyAlignment="1">
      <alignment horizontal="right"/>
    </xf>
    <xf numFmtId="3" fontId="49" fillId="0" borderId="92" xfId="1" applyNumberFormat="1" applyFont="1" applyBorder="1" applyAlignment="1">
      <alignment horizontal="right"/>
    </xf>
    <xf numFmtId="3" fontId="49" fillId="0" borderId="64" xfId="1" applyNumberFormat="1" applyFont="1" applyBorder="1" applyAlignment="1">
      <alignment horizontal="right"/>
    </xf>
    <xf numFmtId="3" fontId="49" fillId="0" borderId="75" xfId="1" applyNumberFormat="1" applyFont="1" applyBorder="1" applyAlignment="1">
      <alignment horizontal="right"/>
    </xf>
    <xf numFmtId="0" fontId="45" fillId="0" borderId="23" xfId="0" applyFont="1" applyBorder="1" applyAlignment="1">
      <alignment horizontal="right"/>
    </xf>
    <xf numFmtId="3" fontId="45" fillId="0" borderId="91" xfId="0" applyNumberFormat="1" applyFont="1" applyBorder="1" applyAlignment="1">
      <alignment horizontal="right" vertical="top" wrapText="1"/>
    </xf>
    <xf numFmtId="0" fontId="49" fillId="0" borderId="61" xfId="0" applyFont="1" applyBorder="1" applyAlignment="1">
      <alignment horizontal="right"/>
    </xf>
    <xf numFmtId="0" fontId="49" fillId="0" borderId="80" xfId="0" applyFont="1" applyBorder="1" applyAlignment="1">
      <alignment horizontal="right"/>
    </xf>
    <xf numFmtId="0" fontId="49" fillId="0" borderId="60" xfId="0" applyFont="1" applyBorder="1" applyAlignment="1">
      <alignment horizontal="right"/>
    </xf>
    <xf numFmtId="0" fontId="45" fillId="0" borderId="54" xfId="0" applyFont="1" applyBorder="1" applyAlignment="1">
      <alignment horizontal="right"/>
    </xf>
    <xf numFmtId="3" fontId="45" fillId="0" borderId="57" xfId="0" applyNumberFormat="1" applyFont="1" applyBorder="1" applyAlignment="1">
      <alignment horizontal="right" vertical="top" wrapText="1"/>
    </xf>
    <xf numFmtId="0" fontId="49" fillId="0" borderId="54" xfId="0" applyFont="1" applyBorder="1" applyAlignment="1">
      <alignment horizontal="right"/>
    </xf>
    <xf numFmtId="0" fontId="49" fillId="0" borderId="63" xfId="0" applyFont="1" applyBorder="1" applyAlignment="1">
      <alignment horizontal="right"/>
    </xf>
    <xf numFmtId="0" fontId="49" fillId="0" borderId="53" xfId="0" applyFont="1" applyBorder="1" applyAlignment="1">
      <alignment horizontal="right"/>
    </xf>
    <xf numFmtId="0" fontId="45" fillId="0" borderId="54" xfId="0" applyFont="1" applyBorder="1" applyAlignment="1">
      <alignment horizontal="right" vertical="top" wrapText="1"/>
    </xf>
    <xf numFmtId="3" fontId="53" fillId="0" borderId="57" xfId="0" applyNumberFormat="1" applyFont="1" applyBorder="1" applyAlignment="1">
      <alignment horizontal="right" vertical="top" wrapText="1"/>
    </xf>
    <xf numFmtId="0" fontId="45" fillId="0" borderId="57" xfId="0" applyFont="1" applyBorder="1" applyAlignment="1">
      <alignment horizontal="right" vertical="top" wrapText="1"/>
    </xf>
    <xf numFmtId="0" fontId="49" fillId="0" borderId="57" xfId="0" applyFont="1" applyBorder="1" applyAlignment="1">
      <alignment horizontal="right"/>
    </xf>
    <xf numFmtId="3" fontId="49" fillId="0" borderId="54" xfId="0" applyNumberFormat="1" applyFont="1" applyBorder="1" applyAlignment="1">
      <alignment horizontal="right"/>
    </xf>
    <xf numFmtId="0" fontId="49" fillId="0" borderId="57" xfId="0" applyFont="1" applyBorder="1" applyAlignment="1">
      <alignment horizontal="right" vertical="center"/>
    </xf>
    <xf numFmtId="0" fontId="49" fillId="0" borderId="54" xfId="0" applyFont="1" applyBorder="1" applyAlignment="1">
      <alignment horizontal="right" vertical="center"/>
    </xf>
    <xf numFmtId="0" fontId="49" fillId="0" borderId="63" xfId="0" applyFont="1" applyBorder="1" applyAlignment="1">
      <alignment horizontal="right" vertical="center"/>
    </xf>
    <xf numFmtId="0" fontId="49" fillId="0" borderId="53" xfId="0" applyFont="1" applyBorder="1" applyAlignment="1">
      <alignment horizontal="right" vertical="center"/>
    </xf>
    <xf numFmtId="0" fontId="45" fillId="0" borderId="58" xfId="0" applyFont="1" applyBorder="1" applyAlignment="1">
      <alignment horizontal="right"/>
    </xf>
    <xf numFmtId="0" fontId="49" fillId="0" borderId="76" xfId="0" applyFont="1" applyBorder="1" applyAlignment="1">
      <alignment horizontal="right"/>
    </xf>
    <xf numFmtId="0" fontId="49" fillId="0" borderId="58" xfId="0" applyFont="1" applyBorder="1" applyAlignment="1">
      <alignment horizontal="right"/>
    </xf>
    <xf numFmtId="0" fontId="49" fillId="0" borderId="79" xfId="0" applyFont="1" applyBorder="1" applyAlignment="1">
      <alignment horizontal="right"/>
    </xf>
    <xf numFmtId="0" fontId="49" fillId="0" borderId="56" xfId="0" applyFont="1" applyBorder="1" applyAlignment="1">
      <alignment horizontal="right"/>
    </xf>
    <xf numFmtId="3" fontId="53" fillId="0" borderId="69" xfId="0" applyNumberFormat="1" applyFont="1" applyBorder="1" applyAlignment="1">
      <alignment horizontal="right" vertical="top" wrapText="1"/>
    </xf>
    <xf numFmtId="3" fontId="45" fillId="0" borderId="57" xfId="1" applyNumberFormat="1" applyFont="1" applyBorder="1" applyAlignment="1">
      <alignment horizontal="right" wrapText="1"/>
    </xf>
    <xf numFmtId="3" fontId="45" fillId="3" borderId="57" xfId="1" applyNumberFormat="1" applyFont="1" applyFill="1" applyBorder="1" applyAlignment="1">
      <alignment horizontal="right" wrapText="1"/>
    </xf>
    <xf numFmtId="3" fontId="45" fillId="3" borderId="54" xfId="1" applyNumberFormat="1" applyFont="1" applyFill="1" applyBorder="1" applyAlignment="1">
      <alignment horizontal="right" wrapText="1"/>
    </xf>
    <xf numFmtId="3" fontId="45" fillId="0" borderId="4" xfId="0" applyNumberFormat="1" applyFont="1" applyBorder="1" applyAlignment="1">
      <alignment horizontal="center"/>
    </xf>
    <xf numFmtId="3" fontId="45" fillId="0" borderId="35" xfId="0" applyNumberFormat="1" applyFont="1" applyBorder="1" applyAlignment="1">
      <alignment horizontal="right" wrapText="1"/>
    </xf>
    <xf numFmtId="3" fontId="49" fillId="0" borderId="23" xfId="0" applyNumberFormat="1" applyFont="1" applyBorder="1" applyAlignment="1"/>
    <xf numFmtId="3" fontId="49" fillId="0" borderId="36" xfId="0" applyNumberFormat="1" applyFont="1" applyBorder="1" applyAlignment="1"/>
    <xf numFmtId="3" fontId="45" fillId="0" borderId="57" xfId="0" applyNumberFormat="1" applyFont="1" applyBorder="1" applyAlignment="1">
      <alignment horizontal="right" wrapText="1"/>
    </xf>
    <xf numFmtId="3" fontId="53" fillId="0" borderId="57" xfId="0" applyNumberFormat="1" applyFont="1" applyBorder="1" applyAlignment="1">
      <alignment horizontal="right" wrapText="1"/>
    </xf>
    <xf numFmtId="3" fontId="53" fillId="0" borderId="44" xfId="0" applyNumberFormat="1" applyFont="1" applyBorder="1" applyAlignment="1">
      <alignment horizontal="center" wrapText="1"/>
    </xf>
    <xf numFmtId="3" fontId="49" fillId="0" borderId="50" xfId="0" applyNumberFormat="1" applyFont="1" applyBorder="1" applyAlignment="1"/>
    <xf numFmtId="3" fontId="54" fillId="0" borderId="39" xfId="0" applyNumberFormat="1" applyFont="1" applyBorder="1" applyAlignment="1"/>
    <xf numFmtId="3" fontId="45" fillId="0" borderId="55" xfId="0" applyNumberFormat="1" applyFont="1" applyBorder="1" applyAlignment="1">
      <alignment horizontal="right"/>
    </xf>
    <xf numFmtId="3" fontId="49" fillId="0" borderId="78" xfId="0" applyNumberFormat="1" applyFont="1" applyBorder="1" applyAlignment="1">
      <alignment horizontal="right"/>
    </xf>
    <xf numFmtId="3" fontId="49" fillId="0" borderId="53" xfId="0" applyNumberFormat="1" applyFont="1" applyBorder="1" applyAlignment="1">
      <alignment horizontal="right"/>
    </xf>
    <xf numFmtId="3" fontId="49" fillId="0" borderId="63" xfId="0" applyNumberFormat="1" applyFont="1" applyBorder="1" applyAlignment="1">
      <alignment horizontal="right"/>
    </xf>
    <xf numFmtId="3" fontId="45" fillId="0" borderId="55" xfId="0" applyNumberFormat="1" applyFont="1" applyBorder="1" applyAlignment="1">
      <alignment horizontal="right" wrapText="1"/>
    </xf>
    <xf numFmtId="3" fontId="49" fillId="0" borderId="57" xfId="0" applyNumberFormat="1" applyFont="1" applyBorder="1" applyAlignment="1">
      <alignment horizontal="right"/>
    </xf>
    <xf numFmtId="3" fontId="45" fillId="0" borderId="59" xfId="0" applyNumberFormat="1" applyFont="1" applyBorder="1" applyAlignment="1">
      <alignment horizontal="right"/>
    </xf>
    <xf numFmtId="3" fontId="49" fillId="0" borderId="76" xfId="0" applyNumberFormat="1" applyFont="1" applyBorder="1" applyAlignment="1">
      <alignment horizontal="right"/>
    </xf>
    <xf numFmtId="3" fontId="49" fillId="0" borderId="58" xfId="0" applyNumberFormat="1" applyFont="1" applyBorder="1" applyAlignment="1">
      <alignment horizontal="right"/>
    </xf>
    <xf numFmtId="3" fontId="49" fillId="0" borderId="82" xfId="0" applyNumberFormat="1" applyFont="1" applyBorder="1" applyAlignment="1">
      <alignment horizontal="right"/>
    </xf>
    <xf numFmtId="3" fontId="49" fillId="0" borderId="56" xfId="0" applyNumberFormat="1" applyFont="1" applyBorder="1" applyAlignment="1">
      <alignment horizontal="right"/>
    </xf>
    <xf numFmtId="3" fontId="49" fillId="0" borderId="79" xfId="0" applyNumberFormat="1" applyFont="1" applyBorder="1" applyAlignment="1">
      <alignment horizontal="right"/>
    </xf>
    <xf numFmtId="3" fontId="45" fillId="0" borderId="4" xfId="0" applyNumberFormat="1" applyFont="1" applyBorder="1" applyAlignment="1">
      <alignment horizontal="right" wrapText="1"/>
    </xf>
    <xf numFmtId="3" fontId="45" fillId="0" borderId="35" xfId="1" applyNumberFormat="1" applyFont="1" applyBorder="1" applyAlignment="1">
      <alignment horizontal="right" wrapText="1"/>
    </xf>
    <xf numFmtId="3" fontId="49" fillId="3" borderId="54" xfId="1" applyNumberFormat="1" applyFont="1" applyFill="1" applyBorder="1" applyAlignment="1">
      <alignment horizontal="right"/>
    </xf>
    <xf numFmtId="3" fontId="45" fillId="0" borderId="54" xfId="0" applyNumberFormat="1" applyFont="1" applyBorder="1" applyAlignment="1">
      <alignment horizontal="right" vertical="center"/>
    </xf>
    <xf numFmtId="3" fontId="49" fillId="0" borderId="63" xfId="0" applyNumberFormat="1" applyFont="1" applyBorder="1" applyAlignment="1">
      <alignment horizontal="right" vertical="center"/>
    </xf>
    <xf numFmtId="3" fontId="49" fillId="0" borderId="54" xfId="0" applyNumberFormat="1" applyFont="1" applyBorder="1" applyAlignment="1">
      <alignment horizontal="right" vertical="center"/>
    </xf>
    <xf numFmtId="0" fontId="45" fillId="0" borderId="56" xfId="0" applyFont="1" applyBorder="1" applyAlignment="1">
      <alignment horizontal="center" vertical="top" wrapText="1"/>
    </xf>
    <xf numFmtId="3" fontId="53" fillId="0" borderId="69" xfId="0" applyNumberFormat="1" applyFont="1" applyBorder="1" applyAlignment="1">
      <alignment horizontal="center" vertical="top" wrapText="1"/>
    </xf>
    <xf numFmtId="3" fontId="53" fillId="0" borderId="47" xfId="0" applyNumberFormat="1" applyFont="1" applyBorder="1" applyAlignment="1">
      <alignment horizontal="right" wrapText="1"/>
    </xf>
    <xf numFmtId="0" fontId="45" fillId="0" borderId="54" xfId="0" applyFont="1" applyBorder="1" applyAlignment="1">
      <alignment horizontal="center" vertical="top" wrapText="1"/>
    </xf>
    <xf numFmtId="0" fontId="30" fillId="0" borderId="87" xfId="0" applyFont="1" applyBorder="1" applyAlignment="1">
      <alignment horizontal="center"/>
    </xf>
    <xf numFmtId="3" fontId="45" fillId="0" borderId="76" xfId="1" applyNumberFormat="1" applyFont="1" applyBorder="1" applyAlignment="1">
      <alignment horizontal="right" wrapText="1"/>
    </xf>
    <xf numFmtId="3" fontId="45" fillId="0" borderId="58" xfId="1" applyNumberFormat="1" applyFont="1" applyBorder="1" applyAlignment="1">
      <alignment horizontal="right" wrapText="1"/>
    </xf>
    <xf numFmtId="3" fontId="49" fillId="0" borderId="79" xfId="1" applyNumberFormat="1" applyFont="1" applyBorder="1" applyAlignment="1">
      <alignment horizontal="right"/>
    </xf>
    <xf numFmtId="3" fontId="49" fillId="0" borderId="56" xfId="1" applyNumberFormat="1" applyFont="1" applyBorder="1" applyAlignment="1">
      <alignment horizontal="right"/>
    </xf>
    <xf numFmtId="0" fontId="45" fillId="0" borderId="23" xfId="0" applyFont="1" applyBorder="1" applyAlignment="1">
      <alignment horizontal="center" vertical="top" wrapText="1"/>
    </xf>
    <xf numFmtId="0" fontId="30" fillId="3" borderId="26" xfId="0" applyFont="1" applyFill="1" applyBorder="1" applyAlignment="1">
      <alignment vertical="top" wrapText="1"/>
    </xf>
    <xf numFmtId="0" fontId="30" fillId="0" borderId="46" xfId="0" applyFont="1" applyBorder="1" applyAlignment="1">
      <alignment horizontal="center"/>
    </xf>
    <xf numFmtId="3" fontId="49" fillId="0" borderId="25" xfId="0" applyNumberFormat="1" applyFont="1" applyBorder="1" applyAlignment="1"/>
    <xf numFmtId="3" fontId="49" fillId="0" borderId="26" xfId="0" applyNumberFormat="1" applyFont="1" applyBorder="1" applyAlignment="1"/>
    <xf numFmtId="0" fontId="30" fillId="3" borderId="81" xfId="0" applyFont="1" applyFill="1" applyBorder="1"/>
    <xf numFmtId="0" fontId="30" fillId="0" borderId="93" xfId="0" applyFont="1" applyBorder="1" applyAlignment="1">
      <alignment horizontal="center"/>
    </xf>
    <xf numFmtId="3" fontId="45" fillId="0" borderId="48" xfId="0" applyNumberFormat="1" applyFont="1" applyBorder="1" applyAlignment="1">
      <alignment horizontal="right"/>
    </xf>
    <xf numFmtId="3" fontId="45" fillId="0" borderId="94" xfId="1" applyNumberFormat="1" applyFont="1" applyBorder="1" applyAlignment="1">
      <alignment horizontal="right" wrapText="1"/>
    </xf>
    <xf numFmtId="3" fontId="45" fillId="0" borderId="68" xfId="1" applyNumberFormat="1" applyFont="1" applyBorder="1" applyAlignment="1">
      <alignment horizontal="right" wrapText="1"/>
    </xf>
    <xf numFmtId="3" fontId="49" fillId="0" borderId="68" xfId="1" applyNumberFormat="1" applyFont="1" applyBorder="1" applyAlignment="1">
      <alignment horizontal="right"/>
    </xf>
    <xf numFmtId="3" fontId="49" fillId="0" borderId="95" xfId="1" applyNumberFormat="1" applyFont="1" applyBorder="1" applyAlignment="1">
      <alignment horizontal="right"/>
    </xf>
    <xf numFmtId="3" fontId="49" fillId="0" borderId="67" xfId="1" applyNumberFormat="1" applyFont="1" applyBorder="1" applyAlignment="1">
      <alignment horizontal="right"/>
    </xf>
    <xf numFmtId="3" fontId="49" fillId="0" borderId="81" xfId="1" applyNumberFormat="1" applyFont="1" applyBorder="1" applyAlignment="1">
      <alignment horizontal="right"/>
    </xf>
    <xf numFmtId="0" fontId="68" fillId="0" borderId="0" xfId="0" applyFont="1" applyBorder="1" applyAlignment="1">
      <alignment horizontal="center" wrapText="1"/>
    </xf>
    <xf numFmtId="49" fontId="65" fillId="3" borderId="69" xfId="0" applyNumberFormat="1" applyFont="1" applyFill="1" applyBorder="1" applyAlignment="1">
      <alignment vertical="center" wrapText="1" shrinkToFit="1"/>
    </xf>
    <xf numFmtId="49" fontId="45" fillId="3" borderId="3" xfId="0" applyNumberFormat="1" applyFont="1" applyFill="1" applyBorder="1" applyAlignment="1">
      <alignment vertical="center" wrapText="1" shrinkToFit="1"/>
    </xf>
    <xf numFmtId="49" fontId="45" fillId="3" borderId="86" xfId="0" applyNumberFormat="1" applyFont="1" applyFill="1" applyBorder="1" applyAlignment="1">
      <alignment vertical="center" wrapText="1" shrinkToFit="1"/>
    </xf>
    <xf numFmtId="49" fontId="45" fillId="3" borderId="87" xfId="0" applyNumberFormat="1" applyFont="1" applyFill="1" applyBorder="1" applyAlignment="1">
      <alignment vertical="center" wrapText="1" shrinkToFit="1"/>
    </xf>
    <xf numFmtId="3" fontId="45" fillId="3" borderId="4" xfId="0" applyNumberFormat="1" applyFont="1" applyFill="1" applyBorder="1" applyAlignment="1">
      <alignment vertical="center" wrapText="1" shrinkToFit="1"/>
    </xf>
    <xf numFmtId="3" fontId="45" fillId="3" borderId="55" xfId="0" applyNumberFormat="1" applyFont="1" applyFill="1" applyBorder="1" applyAlignment="1">
      <alignment vertical="center" wrapText="1" shrinkToFit="1"/>
    </xf>
    <xf numFmtId="3" fontId="45" fillId="3" borderId="59" xfId="0" applyNumberFormat="1" applyFont="1" applyFill="1" applyBorder="1" applyAlignment="1">
      <alignment vertical="center" wrapText="1" shrinkToFit="1"/>
    </xf>
    <xf numFmtId="3" fontId="44" fillId="3" borderId="28" xfId="0" applyNumberFormat="1" applyFont="1" applyFill="1" applyBorder="1"/>
    <xf numFmtId="49" fontId="45" fillId="3" borderId="90" xfId="0" applyNumberFormat="1" applyFont="1" applyFill="1" applyBorder="1" applyAlignment="1">
      <alignment vertical="center" wrapText="1" shrinkToFit="1"/>
    </xf>
    <xf numFmtId="3" fontId="45" fillId="3" borderId="62" xfId="0" applyNumberFormat="1" applyFont="1" applyFill="1" applyBorder="1" applyAlignment="1">
      <alignment vertical="center" wrapText="1" shrinkToFit="1"/>
    </xf>
    <xf numFmtId="49" fontId="65" fillId="3" borderId="69" xfId="0" applyNumberFormat="1" applyFont="1" applyFill="1" applyBorder="1" applyAlignment="1">
      <alignment horizontal="left" vertical="center" wrapText="1" shrinkToFit="1"/>
    </xf>
    <xf numFmtId="0" fontId="59" fillId="3" borderId="69" xfId="0" applyFont="1" applyFill="1" applyBorder="1" applyAlignment="1">
      <alignment horizontal="left"/>
    </xf>
    <xf numFmtId="49" fontId="19" fillId="3" borderId="90" xfId="0" applyNumberFormat="1" applyFont="1" applyFill="1" applyBorder="1" applyAlignment="1">
      <alignment vertical="center" wrapText="1" shrinkToFit="1"/>
    </xf>
    <xf numFmtId="49" fontId="19" fillId="3" borderId="86" xfId="0" applyNumberFormat="1" applyFont="1" applyFill="1" applyBorder="1" applyAlignment="1">
      <alignment vertical="center" wrapText="1" shrinkToFit="1"/>
    </xf>
    <xf numFmtId="49" fontId="66" fillId="3" borderId="69" xfId="0" applyNumberFormat="1" applyFont="1" applyFill="1" applyBorder="1" applyAlignment="1">
      <alignment vertical="center" wrapText="1" shrinkToFit="1"/>
    </xf>
    <xf numFmtId="3" fontId="19" fillId="3" borderId="62" xfId="0" applyNumberFormat="1" applyFont="1" applyFill="1" applyBorder="1" applyAlignment="1">
      <alignment vertical="center" wrapText="1" shrinkToFit="1"/>
    </xf>
    <xf numFmtId="3" fontId="19" fillId="3" borderId="55" xfId="0" applyNumberFormat="1" applyFont="1" applyFill="1" applyBorder="1" applyAlignment="1">
      <alignment vertical="center" wrapText="1" shrinkToFit="1"/>
    </xf>
    <xf numFmtId="0" fontId="83" fillId="0" borderId="0" xfId="0" applyFont="1" applyAlignment="1">
      <alignment horizontal="right"/>
    </xf>
    <xf numFmtId="0" fontId="16" fillId="0" borderId="86" xfId="0" applyFont="1" applyBorder="1" applyAlignment="1">
      <alignment wrapText="1"/>
    </xf>
    <xf numFmtId="0" fontId="16" fillId="0" borderId="87" xfId="0" applyFont="1" applyBorder="1"/>
    <xf numFmtId="0" fontId="14" fillId="0" borderId="69" xfId="0" applyFont="1" applyBorder="1" applyAlignment="1">
      <alignment horizontal="left"/>
    </xf>
    <xf numFmtId="3" fontId="16" fillId="0" borderId="55" xfId="0" applyNumberFormat="1" applyFont="1" applyBorder="1" applyAlignment="1">
      <alignment horizontal="right"/>
    </xf>
    <xf numFmtId="3" fontId="16" fillId="0" borderId="59" xfId="0" applyNumberFormat="1" applyFont="1" applyBorder="1" applyAlignment="1">
      <alignment horizontal="right"/>
    </xf>
    <xf numFmtId="3" fontId="14" fillId="0" borderId="47" xfId="1" applyNumberFormat="1" applyFont="1" applyBorder="1" applyAlignment="1">
      <alignment horizontal="right"/>
    </xf>
    <xf numFmtId="0" fontId="14" fillId="0" borderId="69" xfId="0" applyFont="1" applyBorder="1"/>
    <xf numFmtId="0" fontId="14" fillId="0" borderId="47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3" fontId="16" fillId="0" borderId="4" xfId="0" applyNumberFormat="1" applyFont="1" applyBorder="1" applyAlignment="1">
      <alignment horizontal="right"/>
    </xf>
    <xf numFmtId="3" fontId="14" fillId="0" borderId="47" xfId="0" applyNumberFormat="1" applyFont="1" applyBorder="1" applyAlignment="1">
      <alignment horizontal="right"/>
    </xf>
    <xf numFmtId="3" fontId="14" fillId="0" borderId="47" xfId="0" applyNumberFormat="1" applyFont="1" applyBorder="1" applyAlignment="1">
      <alignment horizontal="center"/>
    </xf>
    <xf numFmtId="0" fontId="16" fillId="0" borderId="3" xfId="0" applyFont="1" applyBorder="1"/>
    <xf numFmtId="0" fontId="16" fillId="0" borderId="86" xfId="0" applyFont="1" applyBorder="1"/>
    <xf numFmtId="3" fontId="16" fillId="0" borderId="55" xfId="1" applyNumberFormat="1" applyFont="1" applyBorder="1" applyAlignment="1">
      <alignment horizontal="right"/>
    </xf>
    <xf numFmtId="3" fontId="16" fillId="0" borderId="59" xfId="1" applyNumberFormat="1" applyFont="1" applyBorder="1" applyAlignment="1">
      <alignment horizontal="right"/>
    </xf>
    <xf numFmtId="0" fontId="16" fillId="0" borderId="87" xfId="0" applyFont="1" applyBorder="1" applyAlignment="1">
      <alignment wrapText="1"/>
    </xf>
    <xf numFmtId="0" fontId="84" fillId="0" borderId="87" xfId="0" applyFont="1" applyBorder="1" applyAlignment="1">
      <alignment wrapText="1"/>
    </xf>
    <xf numFmtId="3" fontId="84" fillId="0" borderId="59" xfId="0" applyNumberFormat="1" applyFont="1" applyBorder="1" applyAlignment="1">
      <alignment horizontal="right"/>
    </xf>
    <xf numFmtId="0" fontId="18" fillId="12" borderId="1" xfId="0" applyFont="1" applyFill="1" applyBorder="1"/>
    <xf numFmtId="3" fontId="18" fillId="12" borderId="5" xfId="0" applyNumberFormat="1" applyFont="1" applyFill="1" applyBorder="1"/>
    <xf numFmtId="0" fontId="35" fillId="0" borderId="62" xfId="0" applyFont="1" applyBorder="1" applyAlignment="1">
      <alignment horizontal="center" wrapText="1"/>
    </xf>
    <xf numFmtId="0" fontId="35" fillId="0" borderId="62" xfId="0" applyFont="1" applyBorder="1" applyAlignment="1">
      <alignment horizontal="justify" wrapText="1"/>
    </xf>
    <xf numFmtId="3" fontId="35" fillId="0" borderId="62" xfId="0" applyNumberFormat="1" applyFont="1" applyBorder="1" applyAlignment="1">
      <alignment horizontal="right" wrapText="1"/>
    </xf>
    <xf numFmtId="0" fontId="35" fillId="0" borderId="55" xfId="0" applyFont="1" applyBorder="1" applyAlignment="1">
      <alignment horizontal="center" wrapText="1"/>
    </xf>
    <xf numFmtId="0" fontId="35" fillId="0" borderId="55" xfId="0" applyFont="1" applyBorder="1" applyAlignment="1">
      <alignment horizontal="justify" wrapText="1"/>
    </xf>
    <xf numFmtId="3" fontId="35" fillId="0" borderId="55" xfId="0" applyNumberFormat="1" applyFont="1" applyBorder="1" applyAlignment="1">
      <alignment horizontal="right" wrapText="1"/>
    </xf>
    <xf numFmtId="0" fontId="35" fillId="0" borderId="55" xfId="0" applyFont="1" applyBorder="1" applyAlignment="1">
      <alignment horizontal="right" wrapText="1"/>
    </xf>
    <xf numFmtId="3" fontId="35" fillId="0" borderId="55" xfId="0" applyNumberFormat="1" applyFont="1" applyBorder="1" applyAlignment="1">
      <alignment horizontal="justify" wrapText="1"/>
    </xf>
    <xf numFmtId="3" fontId="2" fillId="0" borderId="63" xfId="0" applyNumberFormat="1" applyFont="1" applyBorder="1" applyAlignment="1">
      <alignment horizontal="right" wrapText="1"/>
    </xf>
    <xf numFmtId="0" fontId="37" fillId="0" borderId="47" xfId="0" applyFont="1" applyBorder="1" applyAlignment="1">
      <alignment horizontal="justify" wrapText="1"/>
    </xf>
    <xf numFmtId="3" fontId="36" fillId="0" borderId="47" xfId="0" applyNumberFormat="1" applyFont="1" applyBorder="1" applyAlignment="1">
      <alignment horizontal="right" wrapText="1"/>
    </xf>
    <xf numFmtId="0" fontId="37" fillId="0" borderId="70" xfId="0" applyFont="1" applyBorder="1" applyAlignment="1">
      <alignment horizontal="justify" wrapText="1"/>
    </xf>
    <xf numFmtId="0" fontId="36" fillId="0" borderId="70" xfId="0" applyFont="1" applyBorder="1" applyAlignment="1">
      <alignment horizontal="justify" wrapText="1"/>
    </xf>
    <xf numFmtId="0" fontId="36" fillId="0" borderId="0" xfId="0" applyFont="1" applyBorder="1" applyAlignment="1">
      <alignment horizontal="justify" wrapText="1"/>
    </xf>
    <xf numFmtId="0" fontId="50" fillId="0" borderId="70" xfId="0" applyFont="1" applyBorder="1"/>
    <xf numFmtId="0" fontId="35" fillId="0" borderId="66" xfId="0" applyFont="1" applyBorder="1" applyAlignment="1">
      <alignment horizontal="center" wrapText="1"/>
    </xf>
    <xf numFmtId="3" fontId="35" fillId="0" borderId="66" xfId="0" applyNumberFormat="1" applyFont="1" applyBorder="1" applyAlignment="1">
      <alignment horizontal="center" wrapText="1"/>
    </xf>
    <xf numFmtId="0" fontId="26" fillId="0" borderId="86" xfId="0" applyFont="1" applyBorder="1"/>
    <xf numFmtId="0" fontId="35" fillId="0" borderId="59" xfId="0" applyFont="1" applyBorder="1" applyAlignment="1">
      <alignment horizontal="justify" wrapText="1"/>
    </xf>
    <xf numFmtId="3" fontId="35" fillId="0" borderId="59" xfId="0" applyNumberFormat="1" applyFont="1" applyBorder="1" applyAlignment="1">
      <alignment horizontal="right" wrapText="1"/>
    </xf>
    <xf numFmtId="0" fontId="37" fillId="0" borderId="55" xfId="0" applyFont="1" applyBorder="1" applyAlignment="1">
      <alignment horizontal="center" wrapText="1"/>
    </xf>
    <xf numFmtId="3" fontId="35" fillId="2" borderId="55" xfId="0" applyNumberFormat="1" applyFont="1" applyFill="1" applyBorder="1" applyAlignment="1">
      <alignment horizontal="right" wrapText="1"/>
    </xf>
    <xf numFmtId="0" fontId="38" fillId="0" borderId="66" xfId="0" applyFont="1" applyBorder="1" applyAlignment="1">
      <alignment wrapText="1"/>
    </xf>
    <xf numFmtId="0" fontId="37" fillId="0" borderId="47" xfId="0" applyFont="1" applyBorder="1" applyAlignment="1">
      <alignment wrapText="1"/>
    </xf>
    <xf numFmtId="3" fontId="36" fillId="0" borderId="47" xfId="0" applyNumberFormat="1" applyFont="1" applyBorder="1" applyAlignment="1">
      <alignment wrapText="1"/>
    </xf>
    <xf numFmtId="3" fontId="29" fillId="2" borderId="54" xfId="0" applyNumberFormat="1" applyFont="1" applyFill="1" applyBorder="1" applyAlignment="1">
      <alignment horizontal="right" wrapText="1"/>
    </xf>
    <xf numFmtId="3" fontId="24" fillId="2" borderId="54" xfId="0" applyNumberFormat="1" applyFont="1" applyFill="1" applyBorder="1" applyAlignment="1">
      <alignment horizontal="right" wrapText="1"/>
    </xf>
    <xf numFmtId="3" fontId="29" fillId="2" borderId="53" xfId="0" applyNumberFormat="1" applyFont="1" applyFill="1" applyBorder="1" applyAlignment="1">
      <alignment horizontal="right" wrapText="1"/>
    </xf>
    <xf numFmtId="3" fontId="29" fillId="2" borderId="63" xfId="0" applyNumberFormat="1" applyFont="1" applyFill="1" applyBorder="1" applyAlignment="1">
      <alignment horizontal="right" wrapText="1"/>
    </xf>
    <xf numFmtId="3" fontId="24" fillId="2" borderId="53" xfId="0" applyNumberFormat="1" applyFont="1" applyFill="1" applyBorder="1" applyAlignment="1">
      <alignment horizontal="right" wrapText="1"/>
    </xf>
    <xf numFmtId="3" fontId="24" fillId="2" borderId="63" xfId="0" applyNumberFormat="1" applyFont="1" applyFill="1" applyBorder="1" applyAlignment="1">
      <alignment horizontal="right" wrapText="1"/>
    </xf>
    <xf numFmtId="0" fontId="9" fillId="0" borderId="34" xfId="0" applyFont="1" applyBorder="1"/>
    <xf numFmtId="3" fontId="24" fillId="2" borderId="25" xfId="0" applyNumberFormat="1" applyFont="1" applyFill="1" applyBorder="1" applyAlignment="1">
      <alignment horizontal="right" wrapText="1"/>
    </xf>
    <xf numFmtId="3" fontId="24" fillId="2" borderId="23" xfId="0" applyNumberFormat="1" applyFont="1" applyFill="1" applyBorder="1" applyAlignment="1">
      <alignment horizontal="right" wrapText="1"/>
    </xf>
    <xf numFmtId="3" fontId="24" fillId="2" borderId="26" xfId="0" applyNumberFormat="1" applyFont="1" applyFill="1" applyBorder="1" applyAlignment="1">
      <alignment horizontal="right" wrapText="1"/>
    </xf>
    <xf numFmtId="0" fontId="43" fillId="2" borderId="69" xfId="0" applyFont="1" applyFill="1" applyBorder="1" applyAlignment="1">
      <alignment wrapText="1"/>
    </xf>
    <xf numFmtId="3" fontId="43" fillId="2" borderId="28" xfId="0" applyNumberFormat="1" applyFont="1" applyFill="1" applyBorder="1" applyAlignment="1">
      <alignment horizontal="right" wrapText="1"/>
    </xf>
    <xf numFmtId="3" fontId="43" fillId="2" borderId="21" xfId="0" applyNumberFormat="1" applyFont="1" applyFill="1" applyBorder="1" applyAlignment="1">
      <alignment horizontal="right" wrapText="1"/>
    </xf>
    <xf numFmtId="3" fontId="43" fillId="2" borderId="22" xfId="0" applyNumberFormat="1" applyFont="1" applyFill="1" applyBorder="1" applyAlignment="1">
      <alignment horizontal="right" wrapText="1"/>
    </xf>
    <xf numFmtId="3" fontId="43" fillId="2" borderId="38" xfId="0" applyNumberFormat="1" applyFont="1" applyFill="1" applyBorder="1" applyAlignment="1">
      <alignment horizontal="right" wrapText="1"/>
    </xf>
    <xf numFmtId="3" fontId="23" fillId="0" borderId="86" xfId="0" applyNumberFormat="1" applyFont="1" applyBorder="1" applyAlignment="1">
      <alignment horizontal="right"/>
    </xf>
    <xf numFmtId="3" fontId="55" fillId="0" borderId="49" xfId="0" applyNumberFormat="1" applyFont="1" applyBorder="1" applyAlignment="1">
      <alignment horizontal="right"/>
    </xf>
    <xf numFmtId="3" fontId="55" fillId="0" borderId="83" xfId="0" applyNumberFormat="1" applyFont="1" applyBorder="1" applyAlignment="1">
      <alignment horizontal="right"/>
    </xf>
    <xf numFmtId="3" fontId="57" fillId="0" borderId="87" xfId="0" applyNumberFormat="1" applyFont="1" applyBorder="1"/>
    <xf numFmtId="3" fontId="23" fillId="0" borderId="87" xfId="0" applyNumberFormat="1" applyFont="1" applyBorder="1" applyAlignment="1">
      <alignment horizontal="right"/>
    </xf>
    <xf numFmtId="3" fontId="28" fillId="2" borderId="58" xfId="0" applyNumberFormat="1" applyFont="1" applyFill="1" applyBorder="1" applyAlignment="1">
      <alignment horizontal="right" wrapText="1"/>
    </xf>
    <xf numFmtId="0" fontId="28" fillId="2" borderId="69" xfId="0" applyFont="1" applyFill="1" applyBorder="1" applyAlignment="1">
      <alignment wrapText="1"/>
    </xf>
    <xf numFmtId="3" fontId="52" fillId="2" borderId="69" xfId="0" applyNumberFormat="1" applyFont="1" applyFill="1" applyBorder="1" applyAlignment="1">
      <alignment horizontal="right" wrapText="1"/>
    </xf>
    <xf numFmtId="3" fontId="52" fillId="2" borderId="50" xfId="0" applyNumberFormat="1" applyFont="1" applyFill="1" applyBorder="1" applyAlignment="1">
      <alignment horizontal="right" wrapText="1"/>
    </xf>
    <xf numFmtId="3" fontId="52" fillId="2" borderId="77" xfId="0" applyNumberFormat="1" applyFont="1" applyFill="1" applyBorder="1" applyAlignment="1">
      <alignment horizontal="right" wrapText="1"/>
    </xf>
    <xf numFmtId="3" fontId="57" fillId="0" borderId="3" xfId="0" applyNumberFormat="1" applyFont="1" applyBorder="1"/>
    <xf numFmtId="3" fontId="23" fillId="0" borderId="3" xfId="0" applyNumberFormat="1" applyFont="1" applyBorder="1" applyAlignment="1">
      <alignment horizontal="right"/>
    </xf>
    <xf numFmtId="0" fontId="40" fillId="2" borderId="64" xfId="0" applyFont="1" applyFill="1" applyBorder="1" applyAlignment="1">
      <alignment horizontal="center" wrapText="1"/>
    </xf>
    <xf numFmtId="0" fontId="40" fillId="2" borderId="52" xfId="0" applyFont="1" applyFill="1" applyBorder="1" applyAlignment="1">
      <alignment horizontal="center" wrapText="1"/>
    </xf>
    <xf numFmtId="0" fontId="40" fillId="2" borderId="75" xfId="0" applyFont="1" applyFill="1" applyBorder="1" applyAlignment="1">
      <alignment horizontal="center" wrapText="1"/>
    </xf>
    <xf numFmtId="3" fontId="57" fillId="0" borderId="86" xfId="0" applyNumberFormat="1" applyFont="1" applyBorder="1"/>
    <xf numFmtId="3" fontId="24" fillId="2" borderId="79" xfId="0" applyNumberFormat="1" applyFont="1" applyFill="1" applyBorder="1" applyAlignment="1">
      <alignment horizontal="right" wrapText="1"/>
    </xf>
    <xf numFmtId="0" fontId="9" fillId="0" borderId="69" xfId="0" applyFont="1" applyBorder="1"/>
    <xf numFmtId="0" fontId="57" fillId="0" borderId="86" xfId="0" applyFont="1" applyBorder="1"/>
    <xf numFmtId="3" fontId="29" fillId="2" borderId="58" xfId="0" applyNumberFormat="1" applyFont="1" applyFill="1" applyBorder="1" applyAlignment="1">
      <alignment horizontal="right" wrapText="1"/>
    </xf>
    <xf numFmtId="3" fontId="29" fillId="2" borderId="79" xfId="0" applyNumberFormat="1" applyFont="1" applyFill="1" applyBorder="1" applyAlignment="1">
      <alignment horizontal="right" wrapText="1"/>
    </xf>
    <xf numFmtId="3" fontId="41" fillId="2" borderId="49" xfId="0" applyNumberFormat="1" applyFont="1" applyFill="1" applyBorder="1" applyAlignment="1">
      <alignment horizontal="right" wrapText="1"/>
    </xf>
    <xf numFmtId="3" fontId="28" fillId="2" borderId="69" xfId="0" applyNumberFormat="1" applyFont="1" applyFill="1" applyBorder="1" applyAlignment="1">
      <alignment horizontal="right" wrapText="1"/>
    </xf>
    <xf numFmtId="3" fontId="55" fillId="0" borderId="69" xfId="0" applyNumberFormat="1" applyFont="1" applyBorder="1" applyAlignment="1">
      <alignment horizontal="right"/>
    </xf>
    <xf numFmtId="3" fontId="29" fillId="2" borderId="56" xfId="0" applyNumberFormat="1" applyFont="1" applyFill="1" applyBorder="1" applyAlignment="1">
      <alignment horizontal="right" wrapText="1"/>
    </xf>
    <xf numFmtId="3" fontId="28" fillId="2" borderId="56" xfId="0" applyNumberFormat="1" applyFont="1" applyFill="1" applyBorder="1" applyAlignment="1">
      <alignment horizontal="right" wrapText="1"/>
    </xf>
    <xf numFmtId="3" fontId="44" fillId="5" borderId="5" xfId="0" applyNumberFormat="1" applyFont="1" applyFill="1" applyBorder="1"/>
    <xf numFmtId="3" fontId="44" fillId="5" borderId="5" xfId="0" applyNumberFormat="1" applyFont="1" applyFill="1" applyBorder="1" applyAlignment="1">
      <alignment horizontal="center"/>
    </xf>
    <xf numFmtId="3" fontId="50" fillId="9" borderId="72" xfId="0" applyNumberFormat="1" applyFont="1" applyFill="1" applyBorder="1" applyAlignment="1">
      <alignment horizontal="right"/>
    </xf>
    <xf numFmtId="3" fontId="27" fillId="9" borderId="95" xfId="0" applyNumberFormat="1" applyFont="1" applyFill="1" applyBorder="1" applyAlignment="1">
      <alignment horizontal="right"/>
    </xf>
    <xf numFmtId="0" fontId="59" fillId="9" borderId="72" xfId="0" applyFont="1" applyFill="1" applyBorder="1" applyAlignment="1">
      <alignment horizontal="right"/>
    </xf>
    <xf numFmtId="0" fontId="59" fillId="9" borderId="72" xfId="0" applyFont="1" applyFill="1" applyBorder="1" applyAlignment="1">
      <alignment horizontal="center"/>
    </xf>
    <xf numFmtId="3" fontId="45" fillId="0" borderId="44" xfId="0" applyNumberFormat="1" applyFont="1" applyFill="1" applyBorder="1" applyAlignment="1">
      <alignment horizontal="right" vertical="center" wrapText="1" shrinkToFit="1"/>
    </xf>
    <xf numFmtId="0" fontId="45" fillId="0" borderId="23" xfId="0" applyFont="1" applyFill="1" applyBorder="1" applyAlignment="1">
      <alignment horizontal="left" vertical="center" wrapText="1" shrinkToFit="1"/>
    </xf>
    <xf numFmtId="3" fontId="76" fillId="9" borderId="72" xfId="0" applyNumberFormat="1" applyFont="1" applyFill="1" applyBorder="1" applyAlignment="1">
      <alignment horizontal="right"/>
    </xf>
    <xf numFmtId="3" fontId="74" fillId="0" borderId="44" xfId="0" applyNumberFormat="1" applyFont="1" applyFill="1" applyBorder="1" applyAlignment="1">
      <alignment horizontal="right" vertical="center" wrapText="1" shrinkToFit="1"/>
    </xf>
    <xf numFmtId="3" fontId="64" fillId="0" borderId="5" xfId="0" applyNumberFormat="1" applyFont="1" applyBorder="1" applyAlignment="1">
      <alignment horizontal="right"/>
    </xf>
    <xf numFmtId="3" fontId="62" fillId="0" borderId="46" xfId="3" applyNumberFormat="1" applyFont="1" applyBorder="1"/>
    <xf numFmtId="1" fontId="60" fillId="0" borderId="5" xfId="3" applyNumberFormat="1" applyFont="1" applyBorder="1" applyAlignment="1">
      <alignment horizontal="center" vertical="center" wrapText="1"/>
    </xf>
    <xf numFmtId="3" fontId="62" fillId="0" borderId="4" xfId="3" applyNumberFormat="1" applyFont="1" applyBorder="1"/>
    <xf numFmtId="3" fontId="62" fillId="0" borderId="20" xfId="3" applyNumberFormat="1" applyFont="1" applyBorder="1"/>
    <xf numFmtId="3" fontId="64" fillId="0" borderId="5" xfId="0" applyNumberFormat="1" applyFont="1" applyBorder="1"/>
    <xf numFmtId="1" fontId="60" fillId="0" borderId="13" xfId="3" applyNumberFormat="1" applyFont="1" applyBorder="1" applyAlignment="1">
      <alignment horizontal="center" vertical="center" wrapText="1"/>
    </xf>
    <xf numFmtId="3" fontId="62" fillId="0" borderId="0" xfId="0" applyNumberFormat="1" applyFont="1" applyBorder="1"/>
    <xf numFmtId="0" fontId="49" fillId="0" borderId="20" xfId="0" applyFont="1" applyBorder="1"/>
    <xf numFmtId="3" fontId="61" fillId="0" borderId="70" xfId="0" applyNumberFormat="1" applyFont="1" applyBorder="1"/>
    <xf numFmtId="165" fontId="49" fillId="0" borderId="46" xfId="1" applyNumberFormat="1" applyFont="1" applyBorder="1"/>
    <xf numFmtId="165" fontId="49" fillId="0" borderId="0" xfId="1" applyNumberFormat="1" applyFont="1" applyBorder="1"/>
    <xf numFmtId="165" fontId="49" fillId="0" borderId="4" xfId="1" applyNumberFormat="1" applyFont="1" applyBorder="1"/>
    <xf numFmtId="165" fontId="49" fillId="0" borderId="20" xfId="1" applyNumberFormat="1" applyFont="1" applyBorder="1"/>
    <xf numFmtId="3" fontId="61" fillId="0" borderId="70" xfId="0" applyNumberFormat="1" applyFont="1" applyBorder="1" applyAlignment="1">
      <alignment horizontal="right"/>
    </xf>
    <xf numFmtId="3" fontId="19" fillId="3" borderId="20" xfId="0" applyNumberFormat="1" applyFont="1" applyFill="1" applyBorder="1" applyAlignment="1">
      <alignment vertical="center" wrapText="1" shrinkToFit="1"/>
    </xf>
    <xf numFmtId="0" fontId="35" fillId="0" borderId="5" xfId="0" applyFont="1" applyBorder="1" applyAlignment="1">
      <alignment horizontal="center" wrapText="1"/>
    </xf>
    <xf numFmtId="3" fontId="35" fillId="0" borderId="5" xfId="0" applyNumberFormat="1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7" fillId="0" borderId="5" xfId="0" applyFont="1" applyBorder="1" applyAlignment="1">
      <alignment horizontal="justify" wrapText="1"/>
    </xf>
    <xf numFmtId="3" fontId="36" fillId="0" borderId="5" xfId="0" applyNumberFormat="1" applyFont="1" applyBorder="1" applyAlignment="1">
      <alignment horizontal="right" wrapText="1"/>
    </xf>
    <xf numFmtId="0" fontId="36" fillId="0" borderId="5" xfId="0" applyFont="1" applyBorder="1" applyAlignment="1">
      <alignment horizontal="center" wrapText="1"/>
    </xf>
    <xf numFmtId="3" fontId="26" fillId="0" borderId="5" xfId="0" applyNumberFormat="1" applyFont="1" applyBorder="1"/>
    <xf numFmtId="0" fontId="26" fillId="0" borderId="5" xfId="0" applyFont="1" applyBorder="1"/>
    <xf numFmtId="3" fontId="65" fillId="3" borderId="5" xfId="0" applyNumberFormat="1" applyFont="1" applyFill="1" applyBorder="1" applyAlignment="1">
      <alignment vertical="center" wrapText="1" shrinkToFit="1"/>
    </xf>
    <xf numFmtId="0" fontId="85" fillId="0" borderId="45" xfId="0" applyFont="1" applyBorder="1" applyAlignment="1" applyProtection="1">
      <alignment vertical="center" wrapText="1"/>
      <protection locked="0"/>
    </xf>
    <xf numFmtId="0" fontId="85" fillId="0" borderId="56" xfId="0" applyFont="1" applyBorder="1" applyAlignment="1" applyProtection="1">
      <alignment vertical="center" wrapText="1"/>
      <protection locked="0"/>
    </xf>
    <xf numFmtId="3" fontId="66" fillId="3" borderId="5" xfId="0" applyNumberFormat="1" applyFont="1" applyFill="1" applyBorder="1" applyAlignment="1">
      <alignment vertical="center" wrapText="1" shrinkToFit="1"/>
    </xf>
    <xf numFmtId="0" fontId="26" fillId="0" borderId="100" xfId="0" applyFont="1" applyBorder="1" applyAlignment="1">
      <alignment vertical="center" wrapText="1"/>
    </xf>
    <xf numFmtId="3" fontId="26" fillId="0" borderId="101" xfId="0" applyNumberFormat="1" applyFont="1" applyBorder="1" applyAlignment="1">
      <alignment horizontal="right" vertical="center" wrapText="1"/>
    </xf>
    <xf numFmtId="0" fontId="26" fillId="0" borderId="102" xfId="0" applyFont="1" applyBorder="1" applyAlignment="1">
      <alignment vertical="center" wrapText="1"/>
    </xf>
    <xf numFmtId="3" fontId="26" fillId="0" borderId="103" xfId="0" applyNumberFormat="1" applyFont="1" applyBorder="1" applyAlignment="1">
      <alignment horizontal="right" vertical="center" wrapText="1"/>
    </xf>
    <xf numFmtId="0" fontId="50" fillId="0" borderId="104" xfId="0" applyFont="1" applyBorder="1" applyAlignment="1">
      <alignment vertical="center" wrapText="1"/>
    </xf>
    <xf numFmtId="3" fontId="50" fillId="0" borderId="105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0" fillId="0" borderId="0" xfId="0" applyFont="1" applyAlignment="1">
      <alignment horizontal="right"/>
    </xf>
    <xf numFmtId="3" fontId="49" fillId="0" borderId="58" xfId="1" applyNumberFormat="1" applyFont="1" applyBorder="1" applyAlignment="1">
      <alignment horizontal="right"/>
    </xf>
    <xf numFmtId="0" fontId="70" fillId="0" borderId="0" xfId="0" applyFont="1"/>
    <xf numFmtId="0" fontId="53" fillId="4" borderId="112" xfId="0" applyFont="1" applyFill="1" applyBorder="1" applyAlignment="1">
      <alignment horizontal="center" vertical="center" wrapText="1" shrinkToFit="1"/>
    </xf>
    <xf numFmtId="0" fontId="53" fillId="4" borderId="108" xfId="0" applyFont="1" applyFill="1" applyBorder="1" applyAlignment="1">
      <alignment horizontal="center" vertical="center" wrapText="1" shrinkToFit="1"/>
    </xf>
    <xf numFmtId="0" fontId="53" fillId="4" borderId="113" xfId="0" applyFont="1" applyFill="1" applyBorder="1" applyAlignment="1">
      <alignment horizontal="center" vertical="center" wrapText="1" shrinkToFit="1"/>
    </xf>
    <xf numFmtId="49" fontId="86" fillId="0" borderId="25" xfId="0" applyNumberFormat="1" applyFont="1" applyBorder="1" applyAlignment="1">
      <alignment vertical="center" wrapText="1" shrinkToFit="1"/>
    </xf>
    <xf numFmtId="49" fontId="86" fillId="0" borderId="23" xfId="0" applyNumberFormat="1" applyFont="1" applyBorder="1" applyAlignment="1">
      <alignment vertical="center" wrapText="1" shrinkToFit="1"/>
    </xf>
    <xf numFmtId="3" fontId="86" fillId="0" borderId="23" xfId="0" applyNumberFormat="1" applyFont="1" applyBorder="1" applyAlignment="1">
      <alignment horizontal="right" vertical="center" wrapText="1" shrinkToFit="1"/>
    </xf>
    <xf numFmtId="3" fontId="86" fillId="0" borderId="23" xfId="0" applyNumberFormat="1" applyFont="1" applyBorder="1" applyAlignment="1">
      <alignment vertical="center" wrapText="1" shrinkToFit="1"/>
    </xf>
    <xf numFmtId="3" fontId="86" fillId="0" borderId="23" xfId="0" applyNumberFormat="1" applyFont="1" applyBorder="1" applyAlignment="1">
      <alignment horizontal="center" vertical="center" wrapText="1" shrinkToFit="1"/>
    </xf>
    <xf numFmtId="3" fontId="86" fillId="0" borderId="4" xfId="0" applyNumberFormat="1" applyFont="1" applyBorder="1" applyAlignment="1">
      <alignment vertical="center" wrapText="1" shrinkToFit="1"/>
    </xf>
    <xf numFmtId="49" fontId="86" fillId="0" borderId="114" xfId="0" applyNumberFormat="1" applyFont="1" applyBorder="1" applyAlignment="1">
      <alignment vertical="center" wrapText="1" shrinkToFit="1"/>
    </xf>
    <xf numFmtId="49" fontId="86" fillId="0" borderId="115" xfId="0" applyNumberFormat="1" applyFont="1" applyBorder="1" applyAlignment="1">
      <alignment vertical="center" wrapText="1" shrinkToFit="1"/>
    </xf>
    <xf numFmtId="3" fontId="86" fillId="0" borderId="115" xfId="0" applyNumberFormat="1" applyFont="1" applyBorder="1" applyAlignment="1">
      <alignment horizontal="right" vertical="center" wrapText="1" shrinkToFit="1"/>
    </xf>
    <xf numFmtId="3" fontId="86" fillId="0" borderId="115" xfId="0" applyNumberFormat="1" applyFont="1" applyBorder="1" applyAlignment="1">
      <alignment vertical="center" wrapText="1" shrinkToFit="1"/>
    </xf>
    <xf numFmtId="3" fontId="86" fillId="0" borderId="116" xfId="0" applyNumberFormat="1" applyFont="1" applyBorder="1" applyAlignment="1">
      <alignment vertical="center" wrapText="1" shrinkToFit="1"/>
    </xf>
    <xf numFmtId="49" fontId="86" fillId="0" borderId="117" xfId="0" applyNumberFormat="1" applyFont="1" applyBorder="1" applyAlignment="1">
      <alignment vertical="center" wrapText="1" shrinkToFit="1"/>
    </xf>
    <xf numFmtId="49" fontId="86" fillId="0" borderId="118" xfId="0" applyNumberFormat="1" applyFont="1" applyBorder="1" applyAlignment="1">
      <alignment vertical="center" wrapText="1" shrinkToFit="1"/>
    </xf>
    <xf numFmtId="3" fontId="86" fillId="0" borderId="118" xfId="0" applyNumberFormat="1" applyFont="1" applyBorder="1" applyAlignment="1">
      <alignment horizontal="right" vertical="center" wrapText="1" shrinkToFit="1"/>
    </xf>
    <xf numFmtId="3" fontId="86" fillId="0" borderId="118" xfId="0" applyNumberFormat="1" applyFont="1" applyBorder="1" applyAlignment="1">
      <alignment vertical="center" wrapText="1" shrinkToFit="1"/>
    </xf>
    <xf numFmtId="3" fontId="86" fillId="0" borderId="119" xfId="0" applyNumberFormat="1" applyFont="1" applyBorder="1" applyAlignment="1">
      <alignment vertical="center" wrapText="1" shrinkToFit="1"/>
    </xf>
    <xf numFmtId="49" fontId="86" fillId="0" borderId="107" xfId="0" applyNumberFormat="1" applyFont="1" applyBorder="1" applyAlignment="1">
      <alignment vertical="center" wrapText="1" shrinkToFit="1"/>
    </xf>
    <xf numFmtId="49" fontId="86" fillId="0" borderId="120" xfId="0" applyNumberFormat="1" applyFont="1" applyBorder="1" applyAlignment="1">
      <alignment vertical="center" wrapText="1" shrinkToFit="1"/>
    </xf>
    <xf numFmtId="3" fontId="86" fillId="0" borderId="120" xfId="0" applyNumberFormat="1" applyFont="1" applyBorder="1" applyAlignment="1">
      <alignment horizontal="right" vertical="center" wrapText="1" shrinkToFit="1"/>
    </xf>
    <xf numFmtId="3" fontId="86" fillId="0" borderId="108" xfId="0" applyNumberFormat="1" applyFont="1" applyBorder="1" applyAlignment="1">
      <alignment vertical="center" wrapText="1" shrinkToFit="1"/>
    </xf>
    <xf numFmtId="3" fontId="86" fillId="0" borderId="113" xfId="0" applyNumberFormat="1" applyFont="1" applyBorder="1" applyAlignment="1">
      <alignment vertical="center" wrapText="1" shrinkToFit="1"/>
    </xf>
    <xf numFmtId="3" fontId="65" fillId="14" borderId="83" xfId="0" applyNumberFormat="1" applyFont="1" applyFill="1" applyBorder="1" applyAlignment="1">
      <alignment horizontal="right" vertical="center" wrapText="1" shrinkToFit="1"/>
    </xf>
    <xf numFmtId="3" fontId="65" fillId="14" borderId="50" xfId="0" applyNumberFormat="1" applyFont="1" applyFill="1" applyBorder="1" applyAlignment="1">
      <alignment vertical="center" wrapText="1" shrinkToFit="1"/>
    </xf>
    <xf numFmtId="3" fontId="65" fillId="14" borderId="83" xfId="0" applyNumberFormat="1" applyFont="1" applyFill="1" applyBorder="1" applyAlignment="1">
      <alignment horizontal="center" vertical="center" wrapText="1" shrinkToFit="1"/>
    </xf>
    <xf numFmtId="3" fontId="65" fillId="14" borderId="5" xfId="0" applyNumberFormat="1" applyFont="1" applyFill="1" applyBorder="1" applyAlignment="1">
      <alignment vertical="center" wrapText="1" shrinkToFit="1"/>
    </xf>
    <xf numFmtId="3" fontId="65" fillId="14" borderId="94" xfId="0" applyNumberFormat="1" applyFont="1" applyFill="1" applyBorder="1" applyAlignment="1">
      <alignment horizontal="right" vertical="center" wrapText="1" shrinkToFit="1"/>
    </xf>
    <xf numFmtId="3" fontId="65" fillId="14" borderId="68" xfId="0" applyNumberFormat="1" applyFont="1" applyFill="1" applyBorder="1" applyAlignment="1">
      <alignment vertical="center" wrapText="1" shrinkToFit="1"/>
    </xf>
    <xf numFmtId="3" fontId="65" fillId="14" borderId="68" xfId="0" applyNumberFormat="1" applyFont="1" applyFill="1" applyBorder="1" applyAlignment="1">
      <alignment horizontal="center" vertical="center" wrapText="1" shrinkToFit="1"/>
    </xf>
    <xf numFmtId="3" fontId="65" fillId="14" borderId="48" xfId="0" applyNumberFormat="1" applyFont="1" applyFill="1" applyBorder="1" applyAlignment="1">
      <alignment vertical="center" wrapText="1" shrinkToFit="1"/>
    </xf>
    <xf numFmtId="49" fontId="45" fillId="0" borderId="67" xfId="0" applyNumberFormat="1" applyFont="1" applyBorder="1" applyAlignment="1">
      <alignment horizontal="left" vertical="center" wrapText="1" shrinkToFit="1"/>
    </xf>
    <xf numFmtId="49" fontId="45" fillId="0" borderId="68" xfId="0" applyNumberFormat="1" applyFont="1" applyBorder="1" applyAlignment="1">
      <alignment horizontal="left" vertical="center" wrapText="1" shrinkToFit="1"/>
    </xf>
    <xf numFmtId="3" fontId="45" fillId="0" borderId="68" xfId="0" applyNumberFormat="1" applyFont="1" applyBorder="1" applyAlignment="1">
      <alignment horizontal="right" vertical="center" wrapText="1" shrinkToFit="1"/>
    </xf>
    <xf numFmtId="3" fontId="45" fillId="0" borderId="68" xfId="0" applyNumberFormat="1" applyFont="1" applyBorder="1" applyAlignment="1">
      <alignment vertical="center" wrapText="1" shrinkToFit="1"/>
    </xf>
    <xf numFmtId="3" fontId="45" fillId="0" borderId="6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vertical="center" wrapText="1" shrinkToFit="1"/>
    </xf>
    <xf numFmtId="3" fontId="65" fillId="14" borderId="50" xfId="0" applyNumberFormat="1" applyFont="1" applyFill="1" applyBorder="1" applyAlignment="1">
      <alignment horizontal="center" vertical="center" wrapText="1" shrinkToFit="1"/>
    </xf>
    <xf numFmtId="3" fontId="87" fillId="14" borderId="50" xfId="0" applyNumberFormat="1" applyFont="1" applyFill="1" applyBorder="1" applyAlignment="1">
      <alignment vertical="center" wrapText="1" shrinkToFit="1"/>
    </xf>
    <xf numFmtId="3" fontId="87" fillId="14" borderId="50" xfId="0" applyNumberFormat="1" applyFont="1" applyFill="1" applyBorder="1" applyAlignment="1">
      <alignment horizontal="center" vertical="center" wrapText="1" shrinkToFit="1"/>
    </xf>
    <xf numFmtId="3" fontId="87" fillId="14" borderId="5" xfId="0" applyNumberFormat="1" applyFont="1" applyFill="1" applyBorder="1" applyAlignment="1">
      <alignment vertical="center" wrapText="1" shrinkToFit="1"/>
    </xf>
    <xf numFmtId="49" fontId="86" fillId="0" borderId="108" xfId="0" applyNumberFormat="1" applyFont="1" applyBorder="1" applyAlignment="1">
      <alignment vertical="center" wrapText="1" shrinkToFit="1"/>
    </xf>
    <xf numFmtId="3" fontId="86" fillId="0" borderId="108" xfId="0" applyNumberFormat="1" applyFont="1" applyBorder="1" applyAlignment="1">
      <alignment horizontal="right" vertical="center" wrapText="1" shrinkToFit="1"/>
    </xf>
    <xf numFmtId="0" fontId="88" fillId="0" borderId="118" xfId="0" applyFont="1" applyBorder="1" applyAlignment="1" applyProtection="1">
      <alignment vertical="center" wrapText="1"/>
      <protection locked="0"/>
    </xf>
    <xf numFmtId="3" fontId="87" fillId="14" borderId="83" xfId="0" applyNumberFormat="1" applyFont="1" applyFill="1" applyBorder="1" applyAlignment="1">
      <alignment horizontal="right" vertical="center" wrapText="1" shrinkToFit="1"/>
    </xf>
    <xf numFmtId="49" fontId="87" fillId="14" borderId="49" xfId="0" applyNumberFormat="1" applyFont="1" applyFill="1" applyBorder="1" applyAlignment="1">
      <alignment vertical="center" wrapText="1" shrinkToFit="1"/>
    </xf>
    <xf numFmtId="49" fontId="87" fillId="14" borderId="50" xfId="0" applyNumberFormat="1" applyFont="1" applyFill="1" applyBorder="1" applyAlignment="1">
      <alignment vertical="center" wrapText="1" shrinkToFit="1"/>
    </xf>
    <xf numFmtId="3" fontId="87" fillId="14" borderId="50" xfId="0" applyNumberFormat="1" applyFont="1" applyFill="1" applyBorder="1" applyAlignment="1">
      <alignment horizontal="right" vertical="center" wrapText="1" shrinkToFit="1"/>
    </xf>
    <xf numFmtId="3" fontId="87" fillId="15" borderId="50" xfId="0" applyNumberFormat="1" applyFont="1" applyFill="1" applyBorder="1" applyAlignment="1">
      <alignment vertical="center" wrapText="1" shrinkToFit="1"/>
    </xf>
    <xf numFmtId="3" fontId="87" fillId="15" borderId="50" xfId="0" applyNumberFormat="1" applyFont="1" applyFill="1" applyBorder="1" applyAlignment="1">
      <alignment horizontal="center" vertical="center" wrapText="1" shrinkToFit="1"/>
    </xf>
    <xf numFmtId="3" fontId="87" fillId="15" borderId="5" xfId="0" applyNumberFormat="1" applyFont="1" applyFill="1" applyBorder="1" applyAlignment="1">
      <alignment vertical="center" wrapText="1" shrinkToFit="1"/>
    </xf>
    <xf numFmtId="49" fontId="87" fillId="14" borderId="21" xfId="0" applyNumberFormat="1" applyFont="1" applyFill="1" applyBorder="1" applyAlignment="1">
      <alignment vertical="center" wrapText="1" shrinkToFit="1"/>
    </xf>
    <xf numFmtId="49" fontId="87" fillId="14" borderId="22" xfId="0" applyNumberFormat="1" applyFont="1" applyFill="1" applyBorder="1" applyAlignment="1">
      <alignment vertical="center" wrapText="1" shrinkToFit="1"/>
    </xf>
    <xf numFmtId="3" fontId="87" fillId="14" borderId="13" xfId="0" applyNumberFormat="1" applyFont="1" applyFill="1" applyBorder="1" applyAlignment="1">
      <alignment horizontal="right" vertical="center" wrapText="1" shrinkToFit="1"/>
    </xf>
    <xf numFmtId="3" fontId="87" fillId="15" borderId="99" xfId="0" applyNumberFormat="1" applyFont="1" applyFill="1" applyBorder="1" applyAlignment="1">
      <alignment vertical="center" wrapText="1" shrinkToFit="1"/>
    </xf>
    <xf numFmtId="3" fontId="87" fillId="15" borderId="28" xfId="0" applyNumberFormat="1" applyFont="1" applyFill="1" applyBorder="1" applyAlignment="1">
      <alignment vertical="center" wrapText="1" shrinkToFit="1"/>
    </xf>
    <xf numFmtId="3" fontId="44" fillId="4" borderId="22" xfId="0" applyNumberFormat="1" applyFont="1" applyFill="1" applyBorder="1" applyAlignment="1">
      <alignment horizontal="right" vertical="center"/>
    </xf>
    <xf numFmtId="3" fontId="89" fillId="4" borderId="39" xfId="0" applyNumberFormat="1" applyFont="1" applyFill="1" applyBorder="1" applyAlignment="1">
      <alignment vertical="center"/>
    </xf>
    <xf numFmtId="3" fontId="89" fillId="4" borderId="99" xfId="0" applyNumberFormat="1" applyFont="1" applyFill="1" applyBorder="1" applyAlignment="1">
      <alignment horizontal="center" vertical="center"/>
    </xf>
    <xf numFmtId="3" fontId="89" fillId="4" borderId="5" xfId="0" applyNumberFormat="1" applyFont="1" applyFill="1" applyBorder="1" applyAlignment="1">
      <alignment vertical="center"/>
    </xf>
    <xf numFmtId="3" fontId="73" fillId="0" borderId="0" xfId="0" applyNumberFormat="1" applyFont="1"/>
    <xf numFmtId="0" fontId="91" fillId="0" borderId="0" xfId="0" applyFont="1" applyAlignment="1">
      <alignment horizontal="right"/>
    </xf>
    <xf numFmtId="3" fontId="92" fillId="0" borderId="98" xfId="0" applyNumberFormat="1" applyFont="1" applyBorder="1" applyAlignment="1">
      <alignment vertical="center" wrapText="1" shrinkToFit="1"/>
    </xf>
    <xf numFmtId="3" fontId="93" fillId="0" borderId="0" xfId="0" applyNumberFormat="1" applyFont="1"/>
    <xf numFmtId="3" fontId="92" fillId="0" borderId="0" xfId="0" applyNumberFormat="1" applyFont="1" applyAlignment="1">
      <alignment vertical="center" wrapText="1" shrinkToFit="1"/>
    </xf>
    <xf numFmtId="3" fontId="65" fillId="16" borderId="83" xfId="0" applyNumberFormat="1" applyFont="1" applyFill="1" applyBorder="1" applyAlignment="1">
      <alignment horizontal="right" vertical="center" wrapText="1" shrinkToFit="1"/>
    </xf>
    <xf numFmtId="3" fontId="65" fillId="16" borderId="50" xfId="0" applyNumberFormat="1" applyFont="1" applyFill="1" applyBorder="1" applyAlignment="1">
      <alignment vertical="center" wrapText="1" shrinkToFit="1"/>
    </xf>
    <xf numFmtId="3" fontId="65" fillId="16" borderId="50" xfId="0" applyNumberFormat="1" applyFont="1" applyFill="1" applyBorder="1" applyAlignment="1">
      <alignment horizontal="center" vertical="center" wrapText="1" shrinkToFit="1"/>
    </xf>
    <xf numFmtId="3" fontId="65" fillId="16" borderId="77" xfId="0" applyNumberFormat="1" applyFont="1" applyFill="1" applyBorder="1" applyAlignment="1">
      <alignment vertical="center" wrapText="1" shrinkToFit="1"/>
    </xf>
    <xf numFmtId="3" fontId="65" fillId="16" borderId="5" xfId="0" applyNumberFormat="1" applyFont="1" applyFill="1" applyBorder="1" applyAlignment="1">
      <alignment vertical="center" wrapText="1" shrinkToFit="1"/>
    </xf>
    <xf numFmtId="49" fontId="78" fillId="0" borderId="115" xfId="0" applyNumberFormat="1" applyFont="1" applyBorder="1" applyAlignment="1">
      <alignment vertical="center" wrapText="1" shrinkToFit="1"/>
    </xf>
    <xf numFmtId="3" fontId="78" fillId="0" borderId="115" xfId="0" applyNumberFormat="1" applyFont="1" applyBorder="1" applyAlignment="1">
      <alignment horizontal="right" vertical="center" wrapText="1" shrinkToFit="1"/>
    </xf>
    <xf numFmtId="3" fontId="65" fillId="16" borderId="70" xfId="0" applyNumberFormat="1" applyFont="1" applyFill="1" applyBorder="1" applyAlignment="1">
      <alignment horizontal="right" vertical="center" wrapText="1" shrinkToFit="1"/>
    </xf>
    <xf numFmtId="3" fontId="65" fillId="16" borderId="77" xfId="0" applyNumberFormat="1" applyFont="1" applyFill="1" applyBorder="1" applyAlignment="1">
      <alignment horizontal="center" vertical="center" wrapText="1" shrinkToFit="1"/>
    </xf>
    <xf numFmtId="49" fontId="45" fillId="0" borderId="121" xfId="0" applyNumberFormat="1" applyFont="1" applyBorder="1" applyAlignment="1">
      <alignment horizontal="left" vertical="center" wrapText="1" shrinkToFit="1"/>
    </xf>
    <xf numFmtId="49" fontId="45" fillId="0" borderId="122" xfId="0" applyNumberFormat="1" applyFont="1" applyBorder="1" applyAlignment="1">
      <alignment horizontal="left" vertical="center" wrapText="1" shrinkToFit="1"/>
    </xf>
    <xf numFmtId="3" fontId="45" fillId="0" borderId="73" xfId="0" applyNumberFormat="1" applyFont="1" applyBorder="1" applyAlignment="1">
      <alignment horizontal="right" vertical="center" wrapText="1" shrinkToFit="1"/>
    </xf>
    <xf numFmtId="3" fontId="45" fillId="0" borderId="123" xfId="0" applyNumberFormat="1" applyFont="1" applyBorder="1" applyAlignment="1">
      <alignment vertical="center" wrapText="1" shrinkToFit="1"/>
    </xf>
    <xf numFmtId="3" fontId="45" fillId="0" borderId="124" xfId="0" applyNumberFormat="1" applyFont="1" applyBorder="1" applyAlignment="1">
      <alignment vertical="center" wrapText="1" shrinkToFit="1"/>
    </xf>
    <xf numFmtId="3" fontId="45" fillId="0" borderId="106" xfId="0" applyNumberFormat="1" applyFont="1" applyBorder="1" applyAlignment="1">
      <alignment vertical="center" wrapText="1" shrinkToFit="1"/>
    </xf>
    <xf numFmtId="3" fontId="45" fillId="0" borderId="115" xfId="0" applyNumberFormat="1" applyFont="1" applyBorder="1" applyAlignment="1">
      <alignment vertical="center" wrapText="1" shrinkToFit="1"/>
    </xf>
    <xf numFmtId="0" fontId="94" fillId="0" borderId="0" xfId="0" applyFont="1"/>
    <xf numFmtId="3" fontId="45" fillId="0" borderId="23" xfId="0" applyNumberFormat="1" applyFont="1" applyBorder="1" applyAlignment="1">
      <alignment vertical="center" wrapText="1" shrinkToFit="1"/>
    </xf>
    <xf numFmtId="3" fontId="45" fillId="0" borderId="36" xfId="0" applyNumberFormat="1" applyFont="1" applyBorder="1" applyAlignment="1">
      <alignment vertical="center" wrapText="1" shrinkToFit="1"/>
    </xf>
    <xf numFmtId="3" fontId="91" fillId="0" borderId="0" xfId="0" applyNumberFormat="1" applyFont="1"/>
    <xf numFmtId="3" fontId="65" fillId="16" borderId="83" xfId="0" applyNumberFormat="1" applyFont="1" applyFill="1" applyBorder="1" applyAlignment="1">
      <alignment horizontal="right"/>
    </xf>
    <xf numFmtId="3" fontId="65" fillId="16" borderId="50" xfId="0" applyNumberFormat="1" applyFont="1" applyFill="1" applyBorder="1"/>
    <xf numFmtId="3" fontId="65" fillId="16" borderId="50" xfId="0" applyNumberFormat="1" applyFont="1" applyFill="1" applyBorder="1" applyAlignment="1">
      <alignment horizontal="center"/>
    </xf>
    <xf numFmtId="3" fontId="65" fillId="16" borderId="5" xfId="0" applyNumberFormat="1" applyFont="1" applyFill="1" applyBorder="1"/>
    <xf numFmtId="3" fontId="86" fillId="0" borderId="36" xfId="0" applyNumberFormat="1" applyFont="1" applyBorder="1" applyAlignment="1">
      <alignment vertical="center" wrapText="1" shrinkToFit="1"/>
    </xf>
    <xf numFmtId="3" fontId="86" fillId="0" borderId="36" xfId="0" applyNumberFormat="1" applyFont="1" applyBorder="1" applyAlignment="1">
      <alignment horizontal="center" vertical="center" wrapText="1" shrinkToFit="1"/>
    </xf>
    <xf numFmtId="3" fontId="65" fillId="16" borderId="72" xfId="0" applyNumberFormat="1" applyFont="1" applyFill="1" applyBorder="1" applyAlignment="1">
      <alignment vertical="center" wrapText="1" shrinkToFit="1"/>
    </xf>
    <xf numFmtId="3" fontId="65" fillId="16" borderId="72" xfId="0" applyNumberFormat="1" applyFont="1" applyFill="1" applyBorder="1" applyAlignment="1">
      <alignment horizontal="center" vertical="center" wrapText="1" shrinkToFit="1"/>
    </xf>
    <xf numFmtId="49" fontId="65" fillId="16" borderId="67" xfId="0" applyNumberFormat="1" applyFont="1" applyFill="1" applyBorder="1" applyAlignment="1">
      <alignment horizontal="left" vertical="center" wrapText="1" shrinkToFit="1"/>
    </xf>
    <xf numFmtId="49" fontId="65" fillId="16" borderId="83" xfId="0" applyNumberFormat="1" applyFont="1" applyFill="1" applyBorder="1" applyAlignment="1">
      <alignment horizontal="left" vertical="center" wrapText="1" shrinkToFit="1"/>
    </xf>
    <xf numFmtId="3" fontId="65" fillId="16" borderId="48" xfId="0" applyNumberFormat="1" applyFont="1" applyFill="1" applyBorder="1" applyAlignment="1">
      <alignment vertical="center" wrapText="1" shrinkToFit="1"/>
    </xf>
    <xf numFmtId="49" fontId="65" fillId="16" borderId="67" xfId="0" applyNumberFormat="1" applyFont="1" applyFill="1" applyBorder="1" applyAlignment="1">
      <alignment vertical="center" wrapText="1" shrinkToFit="1"/>
    </xf>
    <xf numFmtId="49" fontId="65" fillId="16" borderId="83" xfId="0" applyNumberFormat="1" applyFont="1" applyFill="1" applyBorder="1" applyAlignment="1">
      <alignment vertical="center" wrapText="1" shrinkToFit="1"/>
    </xf>
    <xf numFmtId="0" fontId="65" fillId="16" borderId="83" xfId="0" applyFont="1" applyFill="1" applyBorder="1" applyAlignment="1">
      <alignment vertical="center"/>
    </xf>
    <xf numFmtId="3" fontId="65" fillId="16" borderId="94" xfId="0" applyNumberFormat="1" applyFont="1" applyFill="1" applyBorder="1" applyAlignment="1">
      <alignment vertical="center"/>
    </xf>
    <xf numFmtId="3" fontId="65" fillId="16" borderId="48" xfId="0" applyNumberFormat="1" applyFont="1" applyFill="1" applyBorder="1" applyAlignment="1">
      <alignment vertical="center"/>
    </xf>
    <xf numFmtId="49" fontId="65" fillId="16" borderId="49" xfId="0" applyNumberFormat="1" applyFont="1" applyFill="1" applyBorder="1" applyAlignment="1">
      <alignment vertical="center" wrapText="1" shrinkToFit="1"/>
    </xf>
    <xf numFmtId="3" fontId="65" fillId="16" borderId="94" xfId="0" applyNumberFormat="1" applyFont="1" applyFill="1" applyBorder="1" applyAlignment="1">
      <alignment horizontal="right" vertical="center" wrapText="1" shrinkToFit="1"/>
    </xf>
    <xf numFmtId="3" fontId="65" fillId="16" borderId="94" xfId="0" applyNumberFormat="1" applyFont="1" applyFill="1" applyBorder="1" applyAlignment="1">
      <alignment vertical="center" wrapText="1" shrinkToFit="1"/>
    </xf>
    <xf numFmtId="49" fontId="65" fillId="16" borderId="122" xfId="0" applyNumberFormat="1" applyFont="1" applyFill="1" applyBorder="1" applyAlignment="1">
      <alignment vertical="center" wrapText="1" shrinkToFit="1"/>
    </xf>
    <xf numFmtId="3" fontId="65" fillId="16" borderId="122" xfId="0" applyNumberFormat="1" applyFont="1" applyFill="1" applyBorder="1" applyAlignment="1">
      <alignment horizontal="right" vertical="center" wrapText="1" shrinkToFit="1"/>
    </xf>
    <xf numFmtId="3" fontId="65" fillId="6" borderId="122" xfId="0" applyNumberFormat="1" applyFont="1" applyFill="1" applyBorder="1" applyAlignment="1">
      <alignment vertical="center" wrapText="1" shrinkToFit="1"/>
    </xf>
    <xf numFmtId="3" fontId="65" fillId="6" borderId="124" xfId="0" applyNumberFormat="1" applyFont="1" applyFill="1" applyBorder="1" applyAlignment="1">
      <alignment vertical="center" wrapText="1" shrinkToFit="1"/>
    </xf>
    <xf numFmtId="3" fontId="65" fillId="6" borderId="125" xfId="0" applyNumberFormat="1" applyFont="1" applyFill="1" applyBorder="1" applyAlignment="1">
      <alignment horizontal="center" vertical="center" wrapText="1" shrinkToFit="1"/>
    </xf>
    <xf numFmtId="3" fontId="65" fillId="6" borderId="106" xfId="0" applyNumberFormat="1" applyFont="1" applyFill="1" applyBorder="1" applyAlignment="1">
      <alignment vertical="center" wrapText="1" shrinkToFit="1"/>
    </xf>
    <xf numFmtId="49" fontId="65" fillId="16" borderId="126" xfId="0" applyNumberFormat="1" applyFont="1" applyFill="1" applyBorder="1" applyAlignment="1">
      <alignment vertical="center" wrapText="1" shrinkToFit="1"/>
    </xf>
    <xf numFmtId="3" fontId="65" fillId="16" borderId="126" xfId="0" applyNumberFormat="1" applyFont="1" applyFill="1" applyBorder="1" applyAlignment="1">
      <alignment horizontal="right" vertical="center" wrapText="1" shrinkToFit="1"/>
    </xf>
    <xf numFmtId="3" fontId="65" fillId="6" borderId="126" xfId="0" applyNumberFormat="1" applyFont="1" applyFill="1" applyBorder="1" applyAlignment="1">
      <alignment vertical="center" wrapText="1" shrinkToFit="1"/>
    </xf>
    <xf numFmtId="3" fontId="65" fillId="6" borderId="23" xfId="0" applyNumberFormat="1" applyFont="1" applyFill="1" applyBorder="1" applyAlignment="1">
      <alignment vertical="center" wrapText="1" shrinkToFit="1"/>
    </xf>
    <xf numFmtId="3" fontId="65" fillId="6" borderId="127" xfId="0" applyNumberFormat="1" applyFont="1" applyFill="1" applyBorder="1" applyAlignment="1">
      <alignment horizontal="center" vertical="center" wrapText="1" shrinkToFit="1"/>
    </xf>
    <xf numFmtId="3" fontId="65" fillId="6" borderId="116" xfId="0" applyNumberFormat="1" applyFont="1" applyFill="1" applyBorder="1" applyAlignment="1">
      <alignment vertical="center" wrapText="1" shrinkToFit="1"/>
    </xf>
    <xf numFmtId="49" fontId="65" fillId="16" borderId="120" xfId="0" applyNumberFormat="1" applyFont="1" applyFill="1" applyBorder="1" applyAlignment="1">
      <alignment vertical="center" wrapText="1" shrinkToFit="1"/>
    </xf>
    <xf numFmtId="3" fontId="65" fillId="16" borderId="128" xfId="0" applyNumberFormat="1" applyFont="1" applyFill="1" applyBorder="1" applyAlignment="1">
      <alignment horizontal="right" vertical="center" wrapText="1" shrinkToFit="1"/>
    </xf>
    <xf numFmtId="3" fontId="65" fillId="6" borderId="128" xfId="0" applyNumberFormat="1" applyFont="1" applyFill="1" applyBorder="1" applyAlignment="1">
      <alignment vertical="center" wrapText="1" shrinkToFit="1"/>
    </xf>
    <xf numFmtId="3" fontId="65" fillId="6" borderId="35" xfId="0" applyNumberFormat="1" applyFont="1" applyFill="1" applyBorder="1" applyAlignment="1">
      <alignment vertical="center" wrapText="1" shrinkToFit="1"/>
    </xf>
    <xf numFmtId="3" fontId="65" fillId="6" borderId="23" xfId="0" applyNumberFormat="1" applyFont="1" applyFill="1" applyBorder="1" applyAlignment="1">
      <alignment horizontal="center" vertical="center" wrapText="1" shrinkToFit="1"/>
    </xf>
    <xf numFmtId="3" fontId="65" fillId="6" borderId="119" xfId="0" applyNumberFormat="1" applyFont="1" applyFill="1" applyBorder="1" applyAlignment="1">
      <alignment vertical="center" wrapText="1" shrinkToFit="1"/>
    </xf>
    <xf numFmtId="0" fontId="50" fillId="10" borderId="127" xfId="0" applyFont="1" applyFill="1" applyBorder="1" applyAlignment="1">
      <alignment horizontal="center" vertical="center"/>
    </xf>
    <xf numFmtId="0" fontId="53" fillId="8" borderId="108" xfId="0" applyFont="1" applyFill="1" applyBorder="1" applyAlignment="1">
      <alignment horizontal="center" vertical="center" wrapText="1" shrinkToFit="1"/>
    </xf>
    <xf numFmtId="0" fontId="53" fillId="8" borderId="112" xfId="0" applyFont="1" applyFill="1" applyBorder="1" applyAlignment="1">
      <alignment horizontal="center" vertical="center" wrapText="1" shrinkToFit="1"/>
    </xf>
    <xf numFmtId="0" fontId="53" fillId="8" borderId="129" xfId="0" applyFont="1" applyFill="1" applyBorder="1" applyAlignment="1">
      <alignment horizontal="center" vertical="center" wrapText="1" shrinkToFit="1"/>
    </xf>
    <xf numFmtId="3" fontId="45" fillId="0" borderId="125" xfId="0" applyNumberFormat="1" applyFont="1" applyBorder="1" applyAlignment="1">
      <alignment horizontal="right" vertical="center" wrapText="1" shrinkToFit="1"/>
    </xf>
    <xf numFmtId="3" fontId="45" fillId="0" borderId="23" xfId="0" applyNumberFormat="1" applyFont="1" applyBorder="1" applyAlignment="1">
      <alignment horizontal="right" vertical="center" wrapText="1" shrinkToFit="1"/>
    </xf>
    <xf numFmtId="49" fontId="45" fillId="0" borderId="118" xfId="0" applyNumberFormat="1" applyFont="1" applyFill="1" applyBorder="1" applyAlignment="1">
      <alignment vertical="center" wrapText="1" shrinkToFit="1"/>
    </xf>
    <xf numFmtId="49" fontId="78" fillId="0" borderId="115" xfId="0" applyNumberFormat="1" applyFont="1" applyFill="1" applyBorder="1" applyAlignment="1">
      <alignment vertical="center" wrapText="1" shrinkToFit="1"/>
    </xf>
    <xf numFmtId="3" fontId="78" fillId="0" borderId="115" xfId="0" applyNumberFormat="1" applyFont="1" applyFill="1" applyBorder="1" applyAlignment="1">
      <alignment horizontal="right" vertical="center" wrapText="1" shrinkToFit="1"/>
    </xf>
    <xf numFmtId="3" fontId="78" fillId="0" borderId="115" xfId="0" applyNumberFormat="1" applyFont="1" applyFill="1" applyBorder="1" applyAlignment="1">
      <alignment vertical="center" wrapText="1" shrinkToFit="1"/>
    </xf>
    <xf numFmtId="3" fontId="78" fillId="0" borderId="127" xfId="0" applyNumberFormat="1" applyFont="1" applyFill="1" applyBorder="1" applyAlignment="1">
      <alignment vertical="center" wrapText="1" shrinkToFit="1"/>
    </xf>
    <xf numFmtId="3" fontId="78" fillId="0" borderId="118" xfId="0" applyNumberFormat="1" applyFont="1" applyFill="1" applyBorder="1" applyAlignment="1">
      <alignment horizontal="right" vertical="center" wrapText="1" shrinkToFit="1"/>
    </xf>
    <xf numFmtId="3" fontId="78" fillId="0" borderId="118" xfId="0" applyNumberFormat="1" applyFont="1" applyFill="1" applyBorder="1" applyAlignment="1">
      <alignment vertical="center" wrapText="1" shrinkToFit="1"/>
    </xf>
    <xf numFmtId="3" fontId="78" fillId="0" borderId="130" xfId="0" applyNumberFormat="1" applyFont="1" applyFill="1" applyBorder="1" applyAlignment="1">
      <alignment vertical="center" wrapText="1" shrinkToFit="1"/>
    </xf>
    <xf numFmtId="49" fontId="78" fillId="0" borderId="118" xfId="0" applyNumberFormat="1" applyFont="1" applyFill="1" applyBorder="1" applyAlignment="1">
      <alignment vertical="center" wrapText="1" shrinkToFit="1"/>
    </xf>
    <xf numFmtId="49" fontId="45" fillId="0" borderId="121" xfId="0" applyNumberFormat="1" applyFont="1" applyFill="1" applyBorder="1" applyAlignment="1">
      <alignment horizontal="left" vertical="center" wrapText="1" shrinkToFit="1"/>
    </xf>
    <xf numFmtId="0" fontId="45" fillId="0" borderId="124" xfId="0" applyFont="1" applyFill="1" applyBorder="1" applyAlignment="1">
      <alignment horizontal="left" vertical="center" wrapText="1" shrinkToFit="1"/>
    </xf>
    <xf numFmtId="3" fontId="45" fillId="0" borderId="124" xfId="0" applyNumberFormat="1" applyFont="1" applyFill="1" applyBorder="1" applyAlignment="1">
      <alignment horizontal="right" vertical="center" wrapText="1" shrinkToFit="1"/>
    </xf>
    <xf numFmtId="3" fontId="45" fillId="0" borderId="125" xfId="0" applyNumberFormat="1" applyFont="1" applyFill="1" applyBorder="1" applyAlignment="1">
      <alignment horizontal="right" vertical="center" wrapText="1" shrinkToFit="1"/>
    </xf>
    <xf numFmtId="0" fontId="45" fillId="0" borderId="124" xfId="0" applyFont="1" applyFill="1" applyBorder="1" applyAlignment="1">
      <alignment horizontal="right" vertical="center" wrapText="1" shrinkToFit="1"/>
    </xf>
    <xf numFmtId="0" fontId="27" fillId="18" borderId="125" xfId="0" applyFont="1" applyFill="1" applyBorder="1" applyAlignment="1">
      <alignment horizontal="center" vertical="center"/>
    </xf>
    <xf numFmtId="0" fontId="53" fillId="13" borderId="108" xfId="0" applyFont="1" applyFill="1" applyBorder="1" applyAlignment="1">
      <alignment horizontal="center" vertical="center" wrapText="1" shrinkToFit="1"/>
    </xf>
    <xf numFmtId="0" fontId="53" fillId="13" borderId="112" xfId="0" applyFont="1" applyFill="1" applyBorder="1" applyAlignment="1">
      <alignment horizontal="center" vertical="center" wrapText="1" shrinkToFit="1"/>
    </xf>
    <xf numFmtId="0" fontId="53" fillId="13" borderId="129" xfId="0" applyFont="1" applyFill="1" applyBorder="1" applyAlignment="1">
      <alignment horizontal="center" vertical="center" wrapText="1" shrinkToFit="1"/>
    </xf>
    <xf numFmtId="3" fontId="65" fillId="17" borderId="72" xfId="0" applyNumberFormat="1" applyFont="1" applyFill="1" applyBorder="1" applyAlignment="1">
      <alignment horizontal="right" vertical="center" wrapText="1" shrinkToFit="1"/>
    </xf>
    <xf numFmtId="3" fontId="65" fillId="17" borderId="77" xfId="0" applyNumberFormat="1" applyFont="1" applyFill="1" applyBorder="1" applyAlignment="1">
      <alignment horizontal="right" vertical="center" wrapText="1" shrinkToFit="1"/>
    </xf>
    <xf numFmtId="3" fontId="65" fillId="17" borderId="50" xfId="0" applyNumberFormat="1" applyFont="1" applyFill="1" applyBorder="1" applyAlignment="1">
      <alignment horizontal="right" vertical="center" wrapText="1" shrinkToFit="1"/>
    </xf>
    <xf numFmtId="3" fontId="65" fillId="17" borderId="50" xfId="0" applyNumberFormat="1" applyFont="1" applyFill="1" applyBorder="1" applyAlignment="1">
      <alignment horizontal="center" vertical="center" wrapText="1" shrinkToFit="1"/>
    </xf>
    <xf numFmtId="3" fontId="65" fillId="17" borderId="77" xfId="0" applyNumberFormat="1" applyFont="1" applyFill="1" applyBorder="1" applyAlignment="1">
      <alignment horizontal="center" vertical="center" wrapText="1" shrinkToFit="1"/>
    </xf>
    <xf numFmtId="49" fontId="45" fillId="0" borderId="124" xfId="0" applyNumberFormat="1" applyFont="1" applyBorder="1" applyAlignment="1">
      <alignment horizontal="left" vertical="center" wrapText="1" shrinkToFit="1"/>
    </xf>
    <xf numFmtId="3" fontId="45" fillId="0" borderId="123" xfId="0" applyNumberFormat="1" applyFont="1" applyBorder="1" applyAlignment="1">
      <alignment horizontal="right" vertical="center" wrapText="1" shrinkToFit="1"/>
    </xf>
    <xf numFmtId="3" fontId="45" fillId="0" borderId="123" xfId="0" applyNumberFormat="1" applyFont="1" applyBorder="1" applyAlignment="1">
      <alignment horizontal="center" vertical="center" wrapText="1" shrinkToFit="1"/>
    </xf>
    <xf numFmtId="3" fontId="44" fillId="19" borderId="50" xfId="0" applyNumberFormat="1" applyFont="1" applyFill="1" applyBorder="1" applyAlignment="1">
      <alignment horizontal="right" wrapText="1" shrinkToFit="1"/>
    </xf>
    <xf numFmtId="3" fontId="44" fillId="19" borderId="50" xfId="0" applyNumberFormat="1" applyFont="1" applyFill="1" applyBorder="1"/>
    <xf numFmtId="3" fontId="44" fillId="19" borderId="50" xfId="0" applyNumberFormat="1" applyFont="1" applyFill="1" applyBorder="1" applyAlignment="1">
      <alignment horizontal="center"/>
    </xf>
    <xf numFmtId="3" fontId="96" fillId="0" borderId="0" xfId="0" applyNumberFormat="1" applyFont="1"/>
    <xf numFmtId="49" fontId="45" fillId="0" borderId="25" xfId="0" applyNumberFormat="1" applyFont="1" applyFill="1" applyBorder="1" applyAlignment="1">
      <alignment vertical="center" wrapText="1" shrinkToFit="1"/>
    </xf>
    <xf numFmtId="49" fontId="45" fillId="0" borderId="23" xfId="0" applyNumberFormat="1" applyFont="1" applyFill="1" applyBorder="1" applyAlignment="1">
      <alignment horizontal="left" vertical="center" wrapText="1" shrinkToFit="1"/>
    </xf>
    <xf numFmtId="3" fontId="45" fillId="0" borderId="35" xfId="0" applyNumberFormat="1" applyFont="1" applyFill="1" applyBorder="1" applyAlignment="1">
      <alignment horizontal="right" vertical="center" wrapText="1" shrinkToFit="1"/>
    </xf>
    <xf numFmtId="3" fontId="45" fillId="0" borderId="0" xfId="0" applyNumberFormat="1" applyFont="1" applyFill="1" applyAlignment="1">
      <alignment horizontal="right" vertical="center" wrapText="1" shrinkToFit="1"/>
    </xf>
    <xf numFmtId="49" fontId="45" fillId="0" borderId="114" xfId="0" applyNumberFormat="1" applyFont="1" applyFill="1" applyBorder="1" applyAlignment="1">
      <alignment vertical="center" wrapText="1" shrinkToFit="1"/>
    </xf>
    <xf numFmtId="49" fontId="45" fillId="0" borderId="115" xfId="0" applyNumberFormat="1" applyFont="1" applyFill="1" applyBorder="1" applyAlignment="1">
      <alignment horizontal="left" vertical="center" wrapText="1" shrinkToFit="1"/>
    </xf>
    <xf numFmtId="3" fontId="45" fillId="0" borderId="127" xfId="0" applyNumberFormat="1" applyFont="1" applyFill="1" applyBorder="1" applyAlignment="1">
      <alignment horizontal="right" vertical="center" wrapText="1" shrinkToFit="1"/>
    </xf>
    <xf numFmtId="0" fontId="0" fillId="0" borderId="0" xfId="0" applyFill="1"/>
    <xf numFmtId="49" fontId="45" fillId="0" borderId="117" xfId="0" applyNumberFormat="1" applyFont="1" applyFill="1" applyBorder="1" applyAlignment="1">
      <alignment vertical="center" wrapText="1" shrinkToFit="1"/>
    </xf>
    <xf numFmtId="49" fontId="79" fillId="0" borderId="131" xfId="0" applyNumberFormat="1" applyFont="1" applyFill="1" applyBorder="1" applyAlignment="1" applyProtection="1">
      <alignment vertical="center" wrapText="1" readingOrder="1"/>
      <protection locked="0"/>
    </xf>
    <xf numFmtId="3" fontId="95" fillId="0" borderId="115" xfId="0" applyNumberFormat="1" applyFont="1" applyFill="1" applyBorder="1" applyAlignment="1" applyProtection="1">
      <alignment horizontal="right" vertical="center" wrapText="1" readingOrder="1"/>
      <protection locked="0"/>
    </xf>
    <xf numFmtId="3" fontId="45" fillId="0" borderId="115" xfId="0" applyNumberFormat="1" applyFont="1" applyFill="1" applyBorder="1" applyAlignment="1">
      <alignment horizontal="right" vertical="center" wrapText="1" shrinkToFit="1"/>
    </xf>
    <xf numFmtId="49" fontId="45" fillId="0" borderId="118" xfId="0" applyNumberFormat="1" applyFont="1" applyFill="1" applyBorder="1" applyAlignment="1">
      <alignment horizontal="left" vertical="center" wrapText="1" shrinkToFit="1"/>
    </xf>
    <xf numFmtId="3" fontId="45" fillId="0" borderId="40" xfId="0" applyNumberFormat="1" applyFont="1" applyFill="1" applyBorder="1" applyAlignment="1">
      <alignment horizontal="right" vertical="center" wrapText="1" shrinkToFit="1"/>
    </xf>
    <xf numFmtId="49" fontId="45" fillId="0" borderId="115" xfId="0" applyNumberFormat="1" applyFont="1" applyFill="1" applyBorder="1" applyAlignment="1">
      <alignment vertical="center" wrapText="1" shrinkToFit="1"/>
    </xf>
    <xf numFmtId="49" fontId="45" fillId="0" borderId="35" xfId="0" applyNumberFormat="1" applyFont="1" applyFill="1" applyBorder="1" applyAlignment="1">
      <alignment horizontal="left" vertical="center" wrapText="1" shrinkToFit="1"/>
    </xf>
    <xf numFmtId="49" fontId="45" fillId="0" borderId="126" xfId="0" applyNumberFormat="1" applyFont="1" applyFill="1" applyBorder="1" applyAlignment="1">
      <alignment horizontal="left" vertical="center" wrapText="1" shrinkToFit="1"/>
    </xf>
    <xf numFmtId="3" fontId="45" fillId="0" borderId="126" xfId="0" applyNumberFormat="1" applyFont="1" applyFill="1" applyBorder="1" applyAlignment="1">
      <alignment horizontal="right" vertical="center" wrapText="1" shrinkToFit="1"/>
    </xf>
    <xf numFmtId="3" fontId="45" fillId="0" borderId="115" xfId="0" applyNumberFormat="1" applyFont="1" applyFill="1" applyBorder="1" applyAlignment="1">
      <alignment horizontal="center" vertical="center" wrapText="1" shrinkToFit="1"/>
    </xf>
    <xf numFmtId="3" fontId="45" fillId="0" borderId="128" xfId="0" applyNumberFormat="1" applyFont="1" applyFill="1" applyBorder="1" applyAlignment="1">
      <alignment horizontal="right" vertical="center" wrapText="1" shrinkToFit="1"/>
    </xf>
    <xf numFmtId="3" fontId="45" fillId="0" borderId="130" xfId="0" applyNumberFormat="1" applyFont="1" applyFill="1" applyBorder="1" applyAlignment="1">
      <alignment horizontal="right" vertical="center" wrapText="1" shrinkToFit="1"/>
    </xf>
    <xf numFmtId="0" fontId="76" fillId="10" borderId="127" xfId="0" applyFont="1" applyFill="1" applyBorder="1" applyAlignment="1">
      <alignment horizontal="center" vertical="center"/>
    </xf>
    <xf numFmtId="0" fontId="76" fillId="8" borderId="108" xfId="0" applyFont="1" applyFill="1" applyBorder="1" applyAlignment="1">
      <alignment horizontal="center" vertical="center" wrapText="1" shrinkToFit="1"/>
    </xf>
    <xf numFmtId="0" fontId="76" fillId="8" borderId="129" xfId="0" applyFont="1" applyFill="1" applyBorder="1" applyAlignment="1">
      <alignment horizontal="center" vertical="center" wrapText="1" shrinkToFit="1"/>
    </xf>
    <xf numFmtId="3" fontId="76" fillId="9" borderId="50" xfId="0" applyNumberFormat="1" applyFont="1" applyFill="1" applyBorder="1"/>
    <xf numFmtId="3" fontId="76" fillId="9" borderId="50" xfId="0" applyNumberFormat="1" applyFont="1" applyFill="1" applyBorder="1" applyAlignment="1">
      <alignment horizontal="center"/>
    </xf>
    <xf numFmtId="49" fontId="74" fillId="0" borderId="118" xfId="0" applyNumberFormat="1" applyFont="1" applyFill="1" applyBorder="1" applyAlignment="1">
      <alignment vertical="center" wrapText="1" shrinkToFit="1"/>
    </xf>
    <xf numFmtId="49" fontId="77" fillId="0" borderId="115" xfId="0" applyNumberFormat="1" applyFont="1" applyFill="1" applyBorder="1" applyAlignment="1">
      <alignment vertical="center" wrapText="1" shrinkToFit="1"/>
    </xf>
    <xf numFmtId="3" fontId="77" fillId="0" borderId="115" xfId="0" applyNumberFormat="1" applyFont="1" applyFill="1" applyBorder="1" applyAlignment="1">
      <alignment horizontal="right" vertical="center" wrapText="1" shrinkToFit="1"/>
    </xf>
    <xf numFmtId="3" fontId="77" fillId="0" borderId="115" xfId="0" applyNumberFormat="1" applyFont="1" applyFill="1" applyBorder="1" applyAlignment="1">
      <alignment vertical="center" wrapText="1" shrinkToFit="1"/>
    </xf>
    <xf numFmtId="3" fontId="77" fillId="0" borderId="23" xfId="0" applyNumberFormat="1" applyFont="1" applyFill="1" applyBorder="1" applyAlignment="1">
      <alignment horizontal="center" vertical="center" wrapText="1" shrinkToFit="1"/>
    </xf>
    <xf numFmtId="3" fontId="77" fillId="0" borderId="127" xfId="0" applyNumberFormat="1" applyFont="1" applyFill="1" applyBorder="1" applyAlignment="1">
      <alignment vertical="center" wrapText="1" shrinkToFit="1"/>
    </xf>
    <xf numFmtId="49" fontId="77" fillId="0" borderId="118" xfId="0" applyNumberFormat="1" applyFont="1" applyFill="1" applyBorder="1" applyAlignment="1">
      <alignment vertical="center" wrapText="1" shrinkToFit="1"/>
    </xf>
    <xf numFmtId="3" fontId="77" fillId="0" borderId="118" xfId="0" applyNumberFormat="1" applyFont="1" applyFill="1" applyBorder="1" applyAlignment="1">
      <alignment horizontal="right" vertical="center" wrapText="1" shrinkToFit="1"/>
    </xf>
    <xf numFmtId="3" fontId="77" fillId="0" borderId="118" xfId="0" applyNumberFormat="1" applyFont="1" applyFill="1" applyBorder="1" applyAlignment="1">
      <alignment vertical="center" wrapText="1" shrinkToFit="1"/>
    </xf>
    <xf numFmtId="3" fontId="77" fillId="0" borderId="130" xfId="0" applyNumberFormat="1" applyFont="1" applyFill="1" applyBorder="1" applyAlignment="1">
      <alignment vertical="center" wrapText="1" shrinkToFit="1"/>
    </xf>
    <xf numFmtId="49" fontId="74" fillId="0" borderId="121" xfId="0" applyNumberFormat="1" applyFont="1" applyFill="1" applyBorder="1" applyAlignment="1">
      <alignment horizontal="left" vertical="center" wrapText="1" shrinkToFit="1"/>
    </xf>
    <xf numFmtId="0" fontId="74" fillId="0" borderId="124" xfId="0" applyFont="1" applyFill="1" applyBorder="1" applyAlignment="1">
      <alignment horizontal="left" vertical="center" wrapText="1" shrinkToFit="1"/>
    </xf>
    <xf numFmtId="3" fontId="74" fillId="0" borderId="124" xfId="0" applyNumberFormat="1" applyFont="1" applyFill="1" applyBorder="1" applyAlignment="1">
      <alignment horizontal="right" vertical="center" wrapText="1" shrinkToFit="1"/>
    </xf>
    <xf numFmtId="3" fontId="74" fillId="0" borderId="125" xfId="0" applyNumberFormat="1" applyFont="1" applyFill="1" applyBorder="1" applyAlignment="1">
      <alignment horizontal="right" vertical="center" wrapText="1" shrinkToFit="1"/>
    </xf>
    <xf numFmtId="0" fontId="81" fillId="18" borderId="125" xfId="0" applyFont="1" applyFill="1" applyBorder="1" applyAlignment="1">
      <alignment horizontal="center" vertical="center"/>
    </xf>
    <xf numFmtId="0" fontId="81" fillId="13" borderId="108" xfId="0" applyFont="1" applyFill="1" applyBorder="1" applyAlignment="1">
      <alignment horizontal="center" vertical="center" wrapText="1" shrinkToFit="1"/>
    </xf>
    <xf numFmtId="0" fontId="81" fillId="13" borderId="112" xfId="0" applyFont="1" applyFill="1" applyBorder="1" applyAlignment="1">
      <alignment horizontal="center" vertical="center" wrapText="1" shrinkToFit="1"/>
    </xf>
    <xf numFmtId="0" fontId="81" fillId="13" borderId="129" xfId="0" applyFont="1" applyFill="1" applyBorder="1" applyAlignment="1">
      <alignment horizontal="center" vertical="center" wrapText="1" shrinkToFit="1"/>
    </xf>
    <xf numFmtId="3" fontId="98" fillId="17" borderId="72" xfId="0" applyNumberFormat="1" applyFont="1" applyFill="1" applyBorder="1" applyAlignment="1">
      <alignment horizontal="right" vertical="center" wrapText="1" shrinkToFit="1"/>
    </xf>
    <xf numFmtId="3" fontId="98" fillId="17" borderId="77" xfId="0" applyNumberFormat="1" applyFont="1" applyFill="1" applyBorder="1" applyAlignment="1">
      <alignment horizontal="right" vertical="center" wrapText="1" shrinkToFit="1"/>
    </xf>
    <xf numFmtId="3" fontId="98" fillId="17" borderId="50" xfId="0" applyNumberFormat="1" applyFont="1" applyFill="1" applyBorder="1" applyAlignment="1">
      <alignment horizontal="right" vertical="center" wrapText="1" shrinkToFit="1"/>
    </xf>
    <xf numFmtId="3" fontId="98" fillId="17" borderId="50" xfId="0" applyNumberFormat="1" applyFont="1" applyFill="1" applyBorder="1" applyAlignment="1">
      <alignment horizontal="center" vertical="center" wrapText="1" shrinkToFit="1"/>
    </xf>
    <xf numFmtId="3" fontId="98" fillId="17" borderId="77" xfId="0" applyNumberFormat="1" applyFont="1" applyFill="1" applyBorder="1" applyAlignment="1">
      <alignment horizontal="center" vertical="center" wrapText="1" shrinkToFit="1"/>
    </xf>
    <xf numFmtId="49" fontId="97" fillId="0" borderId="67" xfId="0" applyNumberFormat="1" applyFont="1" applyBorder="1" applyAlignment="1">
      <alignment horizontal="left" vertical="center" wrapText="1" shrinkToFit="1"/>
    </xf>
    <xf numFmtId="49" fontId="97" fillId="0" borderId="68" xfId="0" applyNumberFormat="1" applyFont="1" applyBorder="1" applyAlignment="1">
      <alignment horizontal="left" vertical="center" wrapText="1" shrinkToFit="1"/>
    </xf>
    <xf numFmtId="3" fontId="97" fillId="0" borderId="95" xfId="0" applyNumberFormat="1" applyFont="1" applyBorder="1" applyAlignment="1">
      <alignment horizontal="right" vertical="center" wrapText="1" shrinkToFit="1"/>
    </xf>
    <xf numFmtId="3" fontId="97" fillId="0" borderId="44" xfId="0" applyNumberFormat="1" applyFont="1" applyBorder="1" applyAlignment="1">
      <alignment horizontal="right" vertical="center" wrapText="1" shrinkToFit="1"/>
    </xf>
    <xf numFmtId="3" fontId="97" fillId="0" borderId="124" xfId="0" applyNumberFormat="1" applyFont="1" applyBorder="1" applyAlignment="1">
      <alignment horizontal="center" vertical="center" wrapText="1" shrinkToFit="1"/>
    </xf>
    <xf numFmtId="3" fontId="97" fillId="0" borderId="81" xfId="0" applyNumberFormat="1" applyFont="1" applyBorder="1" applyAlignment="1">
      <alignment horizontal="right" vertical="center" wrapText="1" shrinkToFit="1"/>
    </xf>
    <xf numFmtId="49" fontId="97" fillId="0" borderId="107" xfId="0" applyNumberFormat="1" applyFont="1" applyBorder="1" applyAlignment="1">
      <alignment horizontal="left" vertical="center" wrapText="1" shrinkToFit="1"/>
    </xf>
    <xf numFmtId="49" fontId="97" fillId="0" borderId="108" xfId="0" applyNumberFormat="1" applyFont="1" applyBorder="1" applyAlignment="1">
      <alignment horizontal="left" vertical="center" wrapText="1" shrinkToFit="1"/>
    </xf>
    <xf numFmtId="3" fontId="97" fillId="0" borderId="112" xfId="0" applyNumberFormat="1" applyFont="1" applyBorder="1" applyAlignment="1">
      <alignment horizontal="right" vertical="center" wrapText="1" shrinkToFit="1"/>
    </xf>
    <xf numFmtId="3" fontId="97" fillId="0" borderId="108" xfId="0" applyNumberFormat="1" applyFont="1" applyBorder="1" applyAlignment="1">
      <alignment horizontal="right" vertical="center" wrapText="1" shrinkToFit="1"/>
    </xf>
    <xf numFmtId="3" fontId="97" fillId="0" borderId="98" xfId="0" applyNumberFormat="1" applyFont="1" applyBorder="1" applyAlignment="1">
      <alignment horizontal="center" vertical="center" wrapText="1" shrinkToFit="1"/>
    </xf>
    <xf numFmtId="3" fontId="97" fillId="0" borderId="129" xfId="0" applyNumberFormat="1" applyFont="1" applyBorder="1" applyAlignment="1">
      <alignment horizontal="right" vertical="center" wrapText="1" shrinkToFit="1"/>
    </xf>
    <xf numFmtId="3" fontId="81" fillId="19" borderId="50" xfId="0" applyNumberFormat="1" applyFont="1" applyFill="1" applyBorder="1"/>
    <xf numFmtId="3" fontId="81" fillId="19" borderId="50" xfId="0" applyNumberFormat="1" applyFont="1" applyFill="1" applyBorder="1" applyAlignment="1">
      <alignment horizontal="center"/>
    </xf>
    <xf numFmtId="3" fontId="81" fillId="19" borderId="77" xfId="0" applyNumberFormat="1" applyFont="1" applyFill="1" applyBorder="1"/>
    <xf numFmtId="49" fontId="97" fillId="0" borderId="25" xfId="0" applyNumberFormat="1" applyFont="1" applyFill="1" applyBorder="1" applyAlignment="1">
      <alignment vertical="center" wrapText="1" shrinkToFit="1"/>
    </xf>
    <xf numFmtId="49" fontId="97" fillId="0" borderId="23" xfId="0" applyNumberFormat="1" applyFont="1" applyFill="1" applyBorder="1" applyAlignment="1">
      <alignment horizontal="left" vertical="center" wrapText="1" shrinkToFit="1"/>
    </xf>
    <xf numFmtId="3" fontId="97" fillId="0" borderId="35" xfId="0" applyNumberFormat="1" applyFont="1" applyFill="1" applyBorder="1" applyAlignment="1">
      <alignment horizontal="right" vertical="center" wrapText="1" shrinkToFit="1"/>
    </xf>
    <xf numFmtId="3" fontId="97" fillId="0" borderId="23" xfId="0" applyNumberFormat="1" applyFont="1" applyFill="1" applyBorder="1" applyAlignment="1">
      <alignment horizontal="center" vertical="center" wrapText="1" shrinkToFit="1"/>
    </xf>
    <xf numFmtId="3" fontId="97" fillId="0" borderId="26" xfId="0" applyNumberFormat="1" applyFont="1" applyFill="1" applyBorder="1" applyAlignment="1">
      <alignment horizontal="right" vertical="center" wrapText="1" shrinkToFit="1"/>
    </xf>
    <xf numFmtId="49" fontId="97" fillId="0" borderId="114" xfId="0" applyNumberFormat="1" applyFont="1" applyFill="1" applyBorder="1" applyAlignment="1">
      <alignment vertical="center" wrapText="1" shrinkToFit="1"/>
    </xf>
    <xf numFmtId="49" fontId="97" fillId="0" borderId="115" xfId="0" applyNumberFormat="1" applyFont="1" applyFill="1" applyBorder="1" applyAlignment="1">
      <alignment horizontal="left" vertical="center" wrapText="1" shrinkToFit="1"/>
    </xf>
    <xf numFmtId="3" fontId="97" fillId="0" borderId="127" xfId="0" applyNumberFormat="1" applyFont="1" applyFill="1" applyBorder="1" applyAlignment="1">
      <alignment horizontal="right" vertical="center" wrapText="1" shrinkToFit="1"/>
    </xf>
    <xf numFmtId="49" fontId="97" fillId="0" borderId="117" xfId="0" applyNumberFormat="1" applyFont="1" applyFill="1" applyBorder="1" applyAlignment="1">
      <alignment vertical="center" wrapText="1" shrinkToFit="1"/>
    </xf>
    <xf numFmtId="49" fontId="97" fillId="0" borderId="118" xfId="0" applyNumberFormat="1" applyFont="1" applyFill="1" applyBorder="1" applyAlignment="1">
      <alignment horizontal="left" vertical="center" wrapText="1" shrinkToFit="1"/>
    </xf>
    <xf numFmtId="3" fontId="97" fillId="0" borderId="40" xfId="0" applyNumberFormat="1" applyFont="1" applyFill="1" applyBorder="1" applyAlignment="1">
      <alignment horizontal="right" vertical="center" wrapText="1" shrinkToFit="1"/>
    </xf>
    <xf numFmtId="49" fontId="97" fillId="0" borderId="115" xfId="0" applyNumberFormat="1" applyFont="1" applyFill="1" applyBorder="1" applyAlignment="1">
      <alignment vertical="center" wrapText="1" shrinkToFit="1"/>
    </xf>
    <xf numFmtId="49" fontId="97" fillId="0" borderId="35" xfId="0" applyNumberFormat="1" applyFont="1" applyFill="1" applyBorder="1" applyAlignment="1">
      <alignment horizontal="left" vertical="center" wrapText="1" shrinkToFit="1"/>
    </xf>
    <xf numFmtId="49" fontId="97" fillId="0" borderId="126" xfId="0" applyNumberFormat="1" applyFont="1" applyFill="1" applyBorder="1" applyAlignment="1">
      <alignment horizontal="left" vertical="center" wrapText="1" shrinkToFit="1"/>
    </xf>
    <xf numFmtId="3" fontId="97" fillId="0" borderId="126" xfId="0" applyNumberFormat="1" applyFont="1" applyFill="1" applyBorder="1" applyAlignment="1">
      <alignment horizontal="right" vertical="center" wrapText="1" shrinkToFit="1"/>
    </xf>
    <xf numFmtId="49" fontId="97" fillId="0" borderId="126" xfId="0" applyNumberFormat="1" applyFont="1" applyFill="1" applyBorder="1" applyAlignment="1">
      <alignment vertical="center" wrapText="1" shrinkToFit="1"/>
    </xf>
    <xf numFmtId="3" fontId="97" fillId="0" borderId="128" xfId="0" applyNumberFormat="1" applyFont="1" applyFill="1" applyBorder="1" applyAlignment="1">
      <alignment horizontal="right" vertical="center" wrapText="1" shrinkToFit="1"/>
    </xf>
    <xf numFmtId="3" fontId="97" fillId="0" borderId="130" xfId="0" applyNumberFormat="1" applyFont="1" applyFill="1" applyBorder="1" applyAlignment="1">
      <alignment horizontal="right" vertical="center" wrapText="1" shrinkToFit="1"/>
    </xf>
    <xf numFmtId="0" fontId="76" fillId="8" borderId="112" xfId="0" applyFont="1" applyFill="1" applyBorder="1" applyAlignment="1">
      <alignment horizontal="center" vertical="center" wrapText="1" shrinkToFit="1"/>
    </xf>
    <xf numFmtId="3" fontId="81" fillId="19" borderId="50" xfId="0" applyNumberFormat="1" applyFont="1" applyFill="1" applyBorder="1" applyAlignment="1">
      <alignment horizontal="right" wrapText="1" shrinkToFit="1"/>
    </xf>
    <xf numFmtId="3" fontId="97" fillId="0" borderId="115" xfId="0" applyNumberFormat="1" applyFont="1" applyFill="1" applyBorder="1" applyAlignment="1">
      <alignment horizontal="center" vertical="center" wrapText="1" shrinkToFit="1"/>
    </xf>
    <xf numFmtId="3" fontId="97" fillId="0" borderId="118" xfId="0" applyNumberFormat="1" applyFont="1" applyFill="1" applyBorder="1" applyAlignment="1">
      <alignment horizontal="right" vertical="center" wrapText="1" shrinkToFit="1"/>
    </xf>
    <xf numFmtId="49" fontId="97" fillId="0" borderId="36" xfId="0" applyNumberFormat="1" applyFont="1" applyFill="1" applyBorder="1" applyAlignment="1">
      <alignment horizontal="left" vertical="center" wrapText="1" shrinkToFit="1"/>
    </xf>
    <xf numFmtId="3" fontId="97" fillId="0" borderId="124" xfId="0" applyNumberFormat="1" applyFont="1" applyFill="1" applyBorder="1" applyAlignment="1">
      <alignment horizontal="right" vertical="center" wrapText="1" shrinkToFit="1"/>
    </xf>
    <xf numFmtId="49" fontId="97" fillId="0" borderId="109" xfId="0" applyNumberFormat="1" applyFont="1" applyFill="1" applyBorder="1" applyAlignment="1">
      <alignment horizontal="left" vertical="center" wrapText="1" shrinkToFit="1"/>
    </xf>
    <xf numFmtId="3" fontId="97" fillId="0" borderId="23" xfId="0" applyNumberFormat="1" applyFont="1" applyFill="1" applyBorder="1" applyAlignment="1">
      <alignment horizontal="right" vertical="center" wrapText="1" shrinkToFit="1"/>
    </xf>
    <xf numFmtId="49" fontId="97" fillId="0" borderId="131" xfId="0" applyNumberFormat="1" applyFont="1" applyFill="1" applyBorder="1" applyAlignment="1">
      <alignment horizontal="left" vertical="center" wrapText="1" shrinkToFit="1"/>
    </xf>
    <xf numFmtId="3" fontId="97" fillId="0" borderId="44" xfId="0" applyNumberFormat="1" applyFont="1" applyFill="1" applyBorder="1" applyAlignment="1">
      <alignment horizontal="right" vertical="center" wrapText="1" shrinkToFit="1"/>
    </xf>
    <xf numFmtId="49" fontId="99" fillId="0" borderId="131" xfId="0" applyNumberFormat="1" applyFont="1" applyFill="1" applyBorder="1" applyAlignment="1" applyProtection="1">
      <alignment vertical="center" wrapText="1" readingOrder="1"/>
      <protection locked="0"/>
    </xf>
    <xf numFmtId="3" fontId="99" fillId="0" borderId="108" xfId="0" applyNumberFormat="1" applyFont="1" applyFill="1" applyBorder="1" applyAlignment="1" applyProtection="1">
      <alignment horizontal="right" vertical="center" wrapText="1" readingOrder="1"/>
      <protection locked="0"/>
    </xf>
    <xf numFmtId="165" fontId="49" fillId="0" borderId="46" xfId="1" applyNumberFormat="1" applyFont="1" applyBorder="1" applyAlignment="1"/>
    <xf numFmtId="3" fontId="53" fillId="0" borderId="5" xfId="0" applyNumberFormat="1" applyFont="1" applyBorder="1" applyAlignment="1">
      <alignment horizontal="right" vertical="top" wrapText="1"/>
    </xf>
    <xf numFmtId="3" fontId="65" fillId="3" borderId="28" xfId="0" applyNumberFormat="1" applyFont="1" applyFill="1" applyBorder="1" applyAlignment="1">
      <alignment vertical="center" wrapText="1" shrinkToFit="1"/>
    </xf>
    <xf numFmtId="3" fontId="45" fillId="3" borderId="106" xfId="0" applyNumberFormat="1" applyFont="1" applyFill="1" applyBorder="1" applyAlignment="1">
      <alignment vertical="center" wrapText="1" shrinkToFit="1"/>
    </xf>
    <xf numFmtId="3" fontId="45" fillId="3" borderId="116" xfId="0" applyNumberFormat="1" applyFont="1" applyFill="1" applyBorder="1" applyAlignment="1">
      <alignment vertical="center" wrapText="1" shrinkToFit="1"/>
    </xf>
    <xf numFmtId="49" fontId="45" fillId="3" borderId="131" xfId="0" applyNumberFormat="1" applyFont="1" applyFill="1" applyBorder="1" applyAlignment="1">
      <alignment vertical="center" wrapText="1" shrinkToFit="1"/>
    </xf>
    <xf numFmtId="3" fontId="45" fillId="3" borderId="119" xfId="0" applyNumberFormat="1" applyFont="1" applyFill="1" applyBorder="1" applyAlignment="1">
      <alignment vertical="center" wrapText="1" shrinkToFit="1"/>
    </xf>
    <xf numFmtId="3" fontId="16" fillId="0" borderId="119" xfId="0" applyNumberFormat="1" applyFont="1" applyBorder="1" applyAlignment="1">
      <alignment horizontal="right"/>
    </xf>
    <xf numFmtId="0" fontId="57" fillId="0" borderId="133" xfId="0" applyFont="1" applyBorder="1"/>
    <xf numFmtId="3" fontId="23" fillId="0" borderId="133" xfId="3" applyNumberFormat="1" applyFont="1" applyBorder="1" applyAlignment="1">
      <alignment horizontal="right"/>
    </xf>
    <xf numFmtId="3" fontId="41" fillId="2" borderId="114" xfId="0" applyNumberFormat="1" applyFont="1" applyFill="1" applyBorder="1" applyAlignment="1">
      <alignment horizontal="right" wrapText="1"/>
    </xf>
    <xf numFmtId="3" fontId="41" fillId="2" borderId="115" xfId="0" applyNumberFormat="1" applyFont="1" applyFill="1" applyBorder="1" applyAlignment="1">
      <alignment horizontal="right" wrapText="1"/>
    </xf>
    <xf numFmtId="3" fontId="41" fillId="2" borderId="127" xfId="0" applyNumberFormat="1" applyFont="1" applyFill="1" applyBorder="1" applyAlignment="1">
      <alignment horizontal="right" wrapText="1"/>
    </xf>
    <xf numFmtId="0" fontId="0" fillId="0" borderId="0" xfId="0" applyFont="1"/>
    <xf numFmtId="0" fontId="100" fillId="2" borderId="0" xfId="0" applyFont="1" applyFill="1" applyBorder="1" applyAlignment="1">
      <alignment horizontal="center" wrapText="1"/>
    </xf>
    <xf numFmtId="3" fontId="0" fillId="0" borderId="0" xfId="0" applyNumberFormat="1" applyFont="1"/>
    <xf numFmtId="3" fontId="29" fillId="2" borderId="115" xfId="0" applyNumberFormat="1" applyFont="1" applyFill="1" applyBorder="1" applyAlignment="1">
      <alignment horizontal="right" wrapText="1"/>
    </xf>
    <xf numFmtId="3" fontId="0" fillId="0" borderId="115" xfId="0" applyNumberFormat="1" applyBorder="1" applyAlignment="1">
      <alignment horizontal="right"/>
    </xf>
    <xf numFmtId="3" fontId="24" fillId="2" borderId="115" xfId="0" applyNumberFormat="1" applyFont="1" applyFill="1" applyBorder="1" applyAlignment="1">
      <alignment horizontal="right" wrapText="1"/>
    </xf>
    <xf numFmtId="3" fontId="23" fillId="0" borderId="134" xfId="3" applyNumberFormat="1" applyFont="1" applyBorder="1" applyAlignment="1">
      <alignment horizontal="right"/>
    </xf>
    <xf numFmtId="3" fontId="23" fillId="2" borderId="135" xfId="0" applyNumberFormat="1" applyFont="1" applyFill="1" applyBorder="1" applyAlignment="1">
      <alignment horizontal="right" wrapText="1"/>
    </xf>
    <xf numFmtId="3" fontId="43" fillId="2" borderId="69" xfId="0" applyNumberFormat="1" applyFont="1" applyFill="1" applyBorder="1" applyAlignment="1">
      <alignment horizontal="right" wrapText="1"/>
    </xf>
    <xf numFmtId="3" fontId="29" fillId="2" borderId="114" xfId="0" applyNumberFormat="1" applyFont="1" applyFill="1" applyBorder="1" applyAlignment="1">
      <alignment horizontal="right" wrapText="1"/>
    </xf>
    <xf numFmtId="3" fontId="29" fillId="2" borderId="127" xfId="0" applyNumberFormat="1" applyFont="1" applyFill="1" applyBorder="1" applyAlignment="1">
      <alignment horizontal="right" wrapText="1"/>
    </xf>
    <xf numFmtId="3" fontId="24" fillId="2" borderId="114" xfId="0" applyNumberFormat="1" applyFont="1" applyFill="1" applyBorder="1" applyAlignment="1">
      <alignment horizontal="right" wrapText="1"/>
    </xf>
    <xf numFmtId="3" fontId="24" fillId="2" borderId="127" xfId="0" applyNumberFormat="1" applyFont="1" applyFill="1" applyBorder="1" applyAlignment="1">
      <alignment horizontal="right" wrapText="1"/>
    </xf>
    <xf numFmtId="3" fontId="29" fillId="2" borderId="25" xfId="0" applyNumberFormat="1" applyFont="1" applyFill="1" applyBorder="1" applyAlignment="1">
      <alignment horizontal="right" wrapText="1"/>
    </xf>
    <xf numFmtId="3" fontId="29" fillId="2" borderId="23" xfId="0" applyNumberFormat="1" applyFont="1" applyFill="1" applyBorder="1" applyAlignment="1">
      <alignment horizontal="right" wrapText="1"/>
    </xf>
    <xf numFmtId="3" fontId="29" fillId="2" borderId="26" xfId="0" applyNumberFormat="1" applyFont="1" applyFill="1" applyBorder="1" applyAlignment="1">
      <alignment horizontal="right" wrapText="1"/>
    </xf>
    <xf numFmtId="0" fontId="40" fillId="2" borderId="137" xfId="0" applyFont="1" applyFill="1" applyBorder="1" applyAlignment="1">
      <alignment horizontal="center" wrapText="1"/>
    </xf>
    <xf numFmtId="0" fontId="40" fillId="2" borderId="138" xfId="0" applyFont="1" applyFill="1" applyBorder="1" applyAlignment="1">
      <alignment horizontal="center" wrapText="1"/>
    </xf>
    <xf numFmtId="0" fontId="40" fillId="2" borderId="139" xfId="0" applyFont="1" applyFill="1" applyBorder="1" applyAlignment="1">
      <alignment horizontal="center" wrapText="1"/>
    </xf>
    <xf numFmtId="3" fontId="41" fillId="2" borderId="117" xfId="0" applyNumberFormat="1" applyFont="1" applyFill="1" applyBorder="1" applyAlignment="1">
      <alignment horizontal="right" wrapText="1"/>
    </xf>
    <xf numFmtId="3" fontId="41" fillId="2" borderId="118" xfId="0" applyNumberFormat="1" applyFont="1" applyFill="1" applyBorder="1" applyAlignment="1">
      <alignment horizontal="right" wrapText="1"/>
    </xf>
    <xf numFmtId="3" fontId="24" fillId="2" borderId="130" xfId="0" applyNumberFormat="1" applyFont="1" applyFill="1" applyBorder="1" applyAlignment="1">
      <alignment horizontal="right" wrapText="1"/>
    </xf>
    <xf numFmtId="3" fontId="43" fillId="2" borderId="15" xfId="0" applyNumberFormat="1" applyFont="1" applyFill="1" applyBorder="1" applyAlignment="1">
      <alignment horizontal="right" wrapText="1"/>
    </xf>
    <xf numFmtId="3" fontId="43" fillId="2" borderId="5" xfId="0" applyNumberFormat="1" applyFont="1" applyFill="1" applyBorder="1" applyAlignment="1">
      <alignment horizontal="right" wrapText="1"/>
    </xf>
    <xf numFmtId="3" fontId="24" fillId="2" borderId="15" xfId="0" applyNumberFormat="1" applyFont="1" applyFill="1" applyBorder="1" applyAlignment="1">
      <alignment horizontal="right" wrapText="1"/>
    </xf>
    <xf numFmtId="3" fontId="24" fillId="2" borderId="5" xfId="0" applyNumberFormat="1" applyFont="1" applyFill="1" applyBorder="1" applyAlignment="1">
      <alignment horizontal="right" wrapText="1"/>
    </xf>
    <xf numFmtId="3" fontId="52" fillId="2" borderId="15" xfId="0" applyNumberFormat="1" applyFont="1" applyFill="1" applyBorder="1" applyAlignment="1">
      <alignment horizontal="right" wrapText="1"/>
    </xf>
    <xf numFmtId="3" fontId="41" fillId="2" borderId="5" xfId="0" applyNumberFormat="1" applyFont="1" applyFill="1" applyBorder="1" applyAlignment="1">
      <alignment horizontal="right" wrapText="1"/>
    </xf>
    <xf numFmtId="3" fontId="55" fillId="0" borderId="71" xfId="0" applyNumberFormat="1" applyFont="1" applyBorder="1" applyAlignment="1">
      <alignment horizontal="right"/>
    </xf>
    <xf numFmtId="0" fontId="62" fillId="0" borderId="133" xfId="0" applyFont="1" applyBorder="1"/>
    <xf numFmtId="3" fontId="62" fillId="0" borderId="110" xfId="3" applyNumberFormat="1" applyFont="1" applyBorder="1"/>
    <xf numFmtId="3" fontId="62" fillId="0" borderId="116" xfId="3" applyNumberFormat="1" applyFont="1" applyBorder="1"/>
    <xf numFmtId="3" fontId="62" fillId="0" borderId="110" xfId="0" applyNumberFormat="1" applyFont="1" applyBorder="1"/>
    <xf numFmtId="165" fontId="49" fillId="0" borderId="110" xfId="1" applyNumberFormat="1" applyFont="1" applyBorder="1" applyAlignment="1"/>
    <xf numFmtId="165" fontId="49" fillId="0" borderId="116" xfId="1" applyNumberFormat="1" applyFont="1" applyBorder="1"/>
    <xf numFmtId="0" fontId="62" fillId="0" borderId="132" xfId="0" applyFont="1" applyBorder="1"/>
    <xf numFmtId="3" fontId="62" fillId="0" borderId="140" xfId="3" applyNumberFormat="1" applyFont="1" applyBorder="1"/>
    <xf numFmtId="3" fontId="62" fillId="0" borderId="119" xfId="3" applyNumberFormat="1" applyFont="1" applyBorder="1"/>
    <xf numFmtId="3" fontId="62" fillId="0" borderId="140" xfId="0" applyNumberFormat="1" applyFont="1" applyBorder="1"/>
    <xf numFmtId="165" fontId="49" fillId="0" borderId="140" xfId="1" applyNumberFormat="1" applyFont="1" applyBorder="1" applyAlignment="1"/>
    <xf numFmtId="165" fontId="49" fillId="0" borderId="119" xfId="1" applyNumberFormat="1" applyFont="1" applyBorder="1"/>
    <xf numFmtId="0" fontId="0" fillId="0" borderId="133" xfId="0" applyBorder="1"/>
    <xf numFmtId="0" fontId="0" fillId="0" borderId="116" xfId="0" applyBorder="1"/>
    <xf numFmtId="3" fontId="63" fillId="0" borderId="116" xfId="0" applyNumberFormat="1" applyFont="1" applyBorder="1"/>
    <xf numFmtId="165" fontId="49" fillId="3" borderId="110" xfId="1" applyNumberFormat="1" applyFont="1" applyFill="1" applyBorder="1"/>
    <xf numFmtId="165" fontId="49" fillId="3" borderId="116" xfId="1" applyNumberFormat="1" applyFont="1" applyFill="1" applyBorder="1"/>
    <xf numFmtId="165" fontId="49" fillId="0" borderId="140" xfId="1" applyNumberFormat="1" applyFont="1" applyBorder="1"/>
    <xf numFmtId="3" fontId="63" fillId="0" borderId="119" xfId="0" applyNumberFormat="1" applyFont="1" applyBorder="1"/>
    <xf numFmtId="0" fontId="0" fillId="0" borderId="110" xfId="0" applyBorder="1"/>
    <xf numFmtId="0" fontId="0" fillId="0" borderId="140" xfId="0" applyBorder="1"/>
    <xf numFmtId="0" fontId="0" fillId="0" borderId="119" xfId="0" applyBorder="1"/>
    <xf numFmtId="49" fontId="65" fillId="14" borderId="49" xfId="0" applyNumberFormat="1" applyFont="1" applyFill="1" applyBorder="1" applyAlignment="1">
      <alignment horizontal="center" vertical="center" wrapText="1" shrinkToFit="1"/>
    </xf>
    <xf numFmtId="49" fontId="87" fillId="14" borderId="49" xfId="0" applyNumberFormat="1" applyFont="1" applyFill="1" applyBorder="1" applyAlignment="1">
      <alignment horizontal="center" vertical="center" wrapText="1" shrinkToFit="1"/>
    </xf>
    <xf numFmtId="0" fontId="59" fillId="4" borderId="21" xfId="0" applyFont="1" applyFill="1" applyBorder="1" applyAlignment="1">
      <alignment horizontal="center" vertical="center"/>
    </xf>
    <xf numFmtId="0" fontId="72" fillId="0" borderId="0" xfId="0" applyFont="1" applyAlignment="1">
      <alignment horizontal="center"/>
    </xf>
    <xf numFmtId="0" fontId="72" fillId="14" borderId="106" xfId="0" applyFont="1" applyFill="1" applyBorder="1" applyAlignment="1">
      <alignment horizontal="center"/>
    </xf>
    <xf numFmtId="0" fontId="53" fillId="4" borderId="107" xfId="0" applyFont="1" applyFill="1" applyBorder="1" applyAlignment="1">
      <alignment horizontal="center" vertical="center" wrapText="1" shrinkToFit="1"/>
    </xf>
    <xf numFmtId="0" fontId="53" fillId="4" borderId="108" xfId="0" applyFont="1" applyFill="1" applyBorder="1" applyAlignment="1">
      <alignment horizontal="center" vertical="center" wrapText="1" shrinkToFit="1"/>
    </xf>
    <xf numFmtId="3" fontId="53" fillId="4" borderId="109" xfId="0" applyNumberFormat="1" applyFont="1" applyFill="1" applyBorder="1" applyAlignment="1">
      <alignment horizontal="center" vertical="center" wrapText="1" shrinkToFit="1"/>
    </xf>
    <xf numFmtId="3" fontId="0" fillId="0" borderId="110" xfId="0" applyNumberFormat="1" applyBorder="1" applyAlignment="1">
      <alignment horizontal="center"/>
    </xf>
    <xf numFmtId="3" fontId="0" fillId="0" borderId="111" xfId="0" applyNumberFormat="1" applyBorder="1" applyAlignment="1">
      <alignment horizontal="center"/>
    </xf>
    <xf numFmtId="49" fontId="65" fillId="14" borderId="67" xfId="0" applyNumberFormat="1" applyFont="1" applyFill="1" applyBorder="1" applyAlignment="1">
      <alignment horizontal="center" vertical="center" wrapText="1" shrinkToFit="1"/>
    </xf>
    <xf numFmtId="49" fontId="65" fillId="16" borderId="49" xfId="0" applyNumberFormat="1" applyFont="1" applyFill="1" applyBorder="1" applyAlignment="1">
      <alignment horizontal="center" vertical="center" wrapText="1" shrinkToFit="1"/>
    </xf>
    <xf numFmtId="0" fontId="90" fillId="14" borderId="48" xfId="0" applyFont="1" applyFill="1" applyBorder="1" applyAlignment="1">
      <alignment horizontal="center"/>
    </xf>
    <xf numFmtId="0" fontId="53" fillId="4" borderId="49" xfId="0" applyFont="1" applyFill="1" applyBorder="1" applyAlignment="1">
      <alignment horizontal="center" vertical="center" wrapText="1" shrinkToFit="1"/>
    </xf>
    <xf numFmtId="0" fontId="53" fillId="4" borderId="50" xfId="0" applyFont="1" applyFill="1" applyBorder="1" applyAlignment="1">
      <alignment horizontal="center" vertical="center" wrapText="1" shrinkToFit="1"/>
    </xf>
    <xf numFmtId="0" fontId="53" fillId="4" borderId="95" xfId="0" applyFont="1" applyFill="1" applyBorder="1" applyAlignment="1">
      <alignment horizontal="center" vertical="center" wrapText="1" shrinkToFit="1"/>
    </xf>
    <xf numFmtId="0" fontId="0" fillId="0" borderId="96" xfId="0" applyBorder="1" applyAlignment="1">
      <alignment horizontal="center"/>
    </xf>
    <xf numFmtId="0" fontId="0" fillId="0" borderId="97" xfId="0" applyBorder="1" applyAlignment="1">
      <alignment horizontal="center"/>
    </xf>
    <xf numFmtId="0" fontId="47" fillId="4" borderId="5" xfId="0" applyFont="1" applyFill="1" applyBorder="1" applyAlignment="1">
      <alignment horizontal="center" vertical="center"/>
    </xf>
    <xf numFmtId="0" fontId="65" fillId="16" borderId="49" xfId="0" applyFont="1" applyFill="1" applyBorder="1" applyAlignment="1">
      <alignment horizontal="center"/>
    </xf>
    <xf numFmtId="49" fontId="65" fillId="16" borderId="49" xfId="0" applyNumberFormat="1" applyFont="1" applyFill="1" applyBorder="1" applyAlignment="1">
      <alignment horizontal="left" vertical="center" wrapText="1" shrinkToFit="1"/>
    </xf>
    <xf numFmtId="0" fontId="59" fillId="5" borderId="5" xfId="0" applyFont="1" applyFill="1" applyBorder="1" applyAlignment="1">
      <alignment horizontal="left"/>
    </xf>
    <xf numFmtId="0" fontId="59" fillId="9" borderId="49" xfId="0" applyFont="1" applyFill="1" applyBorder="1" applyAlignment="1">
      <alignment horizontal="center"/>
    </xf>
    <xf numFmtId="0" fontId="59" fillId="9" borderId="50" xfId="0" applyFont="1" applyFill="1" applyBorder="1" applyAlignment="1">
      <alignment horizontal="center"/>
    </xf>
    <xf numFmtId="0" fontId="59" fillId="9" borderId="67" xfId="0" applyFont="1" applyFill="1" applyBorder="1" applyAlignment="1">
      <alignment horizontal="center"/>
    </xf>
    <xf numFmtId="0" fontId="59" fillId="9" borderId="68" xfId="0" applyFont="1" applyFill="1" applyBorder="1" applyAlignment="1">
      <alignment horizontal="center"/>
    </xf>
    <xf numFmtId="0" fontId="53" fillId="8" borderId="114" xfId="0" applyFont="1" applyFill="1" applyBorder="1" applyAlignment="1">
      <alignment horizontal="center" vertical="center" wrapText="1" shrinkToFit="1"/>
    </xf>
    <xf numFmtId="0" fontId="53" fillId="8" borderId="107" xfId="0" applyFont="1" applyFill="1" applyBorder="1" applyAlignment="1">
      <alignment horizontal="center" vertical="center" wrapText="1" shrinkToFit="1"/>
    </xf>
    <xf numFmtId="0" fontId="53" fillId="8" borderId="115" xfId="0" applyFont="1" applyFill="1" applyBorder="1" applyAlignment="1">
      <alignment horizontal="center" vertical="center" wrapText="1" shrinkToFit="1"/>
    </xf>
    <xf numFmtId="0" fontId="53" fillId="8" borderId="108" xfId="0" applyFont="1" applyFill="1" applyBorder="1" applyAlignment="1">
      <alignment horizontal="center" vertical="center" wrapText="1" shrinkToFit="1"/>
    </xf>
    <xf numFmtId="0" fontId="72" fillId="7" borderId="121" xfId="0" applyFont="1" applyFill="1" applyBorder="1" applyAlignment="1">
      <alignment horizontal="center"/>
    </xf>
    <xf numFmtId="0" fontId="72" fillId="7" borderId="124" xfId="0" applyFont="1" applyFill="1" applyBorder="1" applyAlignment="1">
      <alignment horizontal="center"/>
    </xf>
    <xf numFmtId="0" fontId="72" fillId="7" borderId="125" xfId="0" applyFont="1" applyFill="1" applyBorder="1" applyAlignment="1">
      <alignment horizontal="center"/>
    </xf>
    <xf numFmtId="0" fontId="53" fillId="8" borderId="109" xfId="0" applyFont="1" applyFill="1" applyBorder="1" applyAlignment="1">
      <alignment horizontal="center" vertical="center" wrapText="1" shrinkToFit="1"/>
    </xf>
    <xf numFmtId="0" fontId="0" fillId="0" borderId="110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49" fontId="45" fillId="0" borderId="117" xfId="0" applyNumberFormat="1" applyFont="1" applyFill="1" applyBorder="1" applyAlignment="1">
      <alignment horizontal="left" vertical="center" wrapText="1" shrinkToFit="1"/>
    </xf>
    <xf numFmtId="0" fontId="0" fillId="0" borderId="45" xfId="0" applyFill="1" applyBorder="1" applyAlignment="1">
      <alignment horizontal="left" vertical="center" wrapText="1" shrinkToFit="1"/>
    </xf>
    <xf numFmtId="49" fontId="65" fillId="17" borderId="49" xfId="0" applyNumberFormat="1" applyFont="1" applyFill="1" applyBorder="1" applyAlignment="1">
      <alignment horizontal="center" vertical="center" wrapText="1" shrinkToFit="1"/>
    </xf>
    <xf numFmtId="49" fontId="65" fillId="17" borderId="50" xfId="0" applyNumberFormat="1" applyFont="1" applyFill="1" applyBorder="1" applyAlignment="1">
      <alignment horizontal="center" vertical="center" wrapText="1" shrinkToFit="1"/>
    </xf>
    <xf numFmtId="49" fontId="65" fillId="17" borderId="67" xfId="0" applyNumberFormat="1" applyFont="1" applyFill="1" applyBorder="1" applyAlignment="1">
      <alignment horizontal="center" vertical="center" wrapText="1" shrinkToFit="1"/>
    </xf>
    <xf numFmtId="49" fontId="59" fillId="19" borderId="49" xfId="0" applyNumberFormat="1" applyFont="1" applyFill="1" applyBorder="1" applyAlignment="1">
      <alignment horizontal="center" vertical="center" wrapText="1" shrinkToFit="1"/>
    </xf>
    <xf numFmtId="49" fontId="59" fillId="19" borderId="50" xfId="0" applyNumberFormat="1" applyFont="1" applyFill="1" applyBorder="1" applyAlignment="1">
      <alignment horizontal="center" vertical="center" wrapText="1" shrinkToFit="1"/>
    </xf>
    <xf numFmtId="0" fontId="72" fillId="17" borderId="67" xfId="0" applyFont="1" applyFill="1" applyBorder="1" applyAlignment="1">
      <alignment horizontal="center"/>
    </xf>
    <xf numFmtId="0" fontId="72" fillId="17" borderId="68" xfId="0" applyFont="1" applyFill="1" applyBorder="1" applyAlignment="1">
      <alignment horizontal="center"/>
    </xf>
    <xf numFmtId="0" fontId="72" fillId="17" borderId="81" xfId="0" applyFont="1" applyFill="1" applyBorder="1" applyAlignment="1">
      <alignment horizontal="center"/>
    </xf>
    <xf numFmtId="0" fontId="53" fillId="13" borderId="121" xfId="0" applyFont="1" applyFill="1" applyBorder="1" applyAlignment="1">
      <alignment horizontal="center" vertical="center" wrapText="1" shrinkToFit="1"/>
    </xf>
    <xf numFmtId="0" fontId="53" fillId="13" borderId="107" xfId="0" applyFont="1" applyFill="1" applyBorder="1" applyAlignment="1">
      <alignment horizontal="center" vertical="center" wrapText="1" shrinkToFit="1"/>
    </xf>
    <xf numFmtId="0" fontId="53" fillId="13" borderId="124" xfId="0" applyFont="1" applyFill="1" applyBorder="1" applyAlignment="1">
      <alignment horizontal="center" vertical="center" wrapText="1" shrinkToFit="1"/>
    </xf>
    <xf numFmtId="0" fontId="53" fillId="13" borderId="108" xfId="0" applyFont="1" applyFill="1" applyBorder="1" applyAlignment="1">
      <alignment horizontal="center" vertical="center" wrapText="1" shrinkToFit="1"/>
    </xf>
    <xf numFmtId="0" fontId="53" fillId="13" borderId="123" xfId="0" applyFont="1" applyFill="1" applyBorder="1" applyAlignment="1">
      <alignment horizontal="center" vertical="center" wrapText="1" shrinkToFit="1"/>
    </xf>
    <xf numFmtId="0" fontId="0" fillId="0" borderId="73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49" fontId="74" fillId="0" borderId="117" xfId="0" applyNumberFormat="1" applyFont="1" applyFill="1" applyBorder="1" applyAlignment="1">
      <alignment horizontal="left" vertical="center" wrapText="1" shrinkToFit="1"/>
    </xf>
    <xf numFmtId="0" fontId="74" fillId="0" borderId="45" xfId="0" applyFont="1" applyFill="1" applyBorder="1" applyAlignment="1">
      <alignment horizontal="left" vertical="center" wrapText="1" shrinkToFit="1"/>
    </xf>
    <xf numFmtId="0" fontId="76" fillId="9" borderId="49" xfId="0" applyFont="1" applyFill="1" applyBorder="1" applyAlignment="1">
      <alignment horizontal="center"/>
    </xf>
    <xf numFmtId="0" fontId="76" fillId="9" borderId="50" xfId="0" applyFont="1" applyFill="1" applyBorder="1" applyAlignment="1">
      <alignment horizontal="center"/>
    </xf>
    <xf numFmtId="0" fontId="76" fillId="7" borderId="121" xfId="0" applyFont="1" applyFill="1" applyBorder="1" applyAlignment="1">
      <alignment horizontal="center"/>
    </xf>
    <xf numFmtId="0" fontId="76" fillId="7" borderId="124" xfId="0" applyFont="1" applyFill="1" applyBorder="1" applyAlignment="1">
      <alignment horizontal="center"/>
    </xf>
    <xf numFmtId="0" fontId="76" fillId="7" borderId="125" xfId="0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0" fontId="81" fillId="11" borderId="0" xfId="0" applyFont="1" applyFill="1" applyAlignment="1">
      <alignment horizontal="center"/>
    </xf>
    <xf numFmtId="0" fontId="76" fillId="8" borderId="114" xfId="0" applyFont="1" applyFill="1" applyBorder="1" applyAlignment="1">
      <alignment horizontal="center" vertical="center" wrapText="1" shrinkToFit="1"/>
    </xf>
    <xf numFmtId="0" fontId="76" fillId="8" borderId="107" xfId="0" applyFont="1" applyFill="1" applyBorder="1" applyAlignment="1">
      <alignment horizontal="center" vertical="center" wrapText="1" shrinkToFit="1"/>
    </xf>
    <xf numFmtId="0" fontId="76" fillId="8" borderId="115" xfId="0" applyFont="1" applyFill="1" applyBorder="1" applyAlignment="1">
      <alignment horizontal="center" vertical="center" wrapText="1" shrinkToFit="1"/>
    </xf>
    <xf numFmtId="0" fontId="76" fillId="8" borderId="108" xfId="0" applyFont="1" applyFill="1" applyBorder="1" applyAlignment="1">
      <alignment horizontal="center" vertical="center" wrapText="1" shrinkToFit="1"/>
    </xf>
    <xf numFmtId="3" fontId="76" fillId="8" borderId="109" xfId="0" applyNumberFormat="1" applyFont="1" applyFill="1" applyBorder="1" applyAlignment="1">
      <alignment horizontal="center" vertical="center" wrapText="1" shrinkToFit="1"/>
    </xf>
    <xf numFmtId="49" fontId="81" fillId="19" borderId="49" xfId="0" applyNumberFormat="1" applyFont="1" applyFill="1" applyBorder="1" applyAlignment="1">
      <alignment horizontal="center" vertical="center" wrapText="1" shrinkToFit="1"/>
    </xf>
    <xf numFmtId="49" fontId="81" fillId="19" borderId="50" xfId="0" applyNumberFormat="1" applyFont="1" applyFill="1" applyBorder="1" applyAlignment="1">
      <alignment horizontal="center" vertical="center" wrapText="1" shrinkToFit="1"/>
    </xf>
    <xf numFmtId="0" fontId="81" fillId="17" borderId="67" xfId="0" applyFont="1" applyFill="1" applyBorder="1" applyAlignment="1">
      <alignment horizontal="center"/>
    </xf>
    <xf numFmtId="0" fontId="81" fillId="17" borderId="68" xfId="0" applyFont="1" applyFill="1" applyBorder="1" applyAlignment="1">
      <alignment horizontal="center"/>
    </xf>
    <xf numFmtId="0" fontId="81" fillId="17" borderId="81" xfId="0" applyFont="1" applyFill="1" applyBorder="1" applyAlignment="1">
      <alignment horizontal="center"/>
    </xf>
    <xf numFmtId="49" fontId="98" fillId="17" borderId="49" xfId="0" applyNumberFormat="1" applyFont="1" applyFill="1" applyBorder="1" applyAlignment="1">
      <alignment horizontal="center" vertical="center" wrapText="1" shrinkToFit="1"/>
    </xf>
    <xf numFmtId="49" fontId="98" fillId="17" borderId="50" xfId="0" applyNumberFormat="1" applyFont="1" applyFill="1" applyBorder="1" applyAlignment="1">
      <alignment horizontal="center" vertical="center" wrapText="1" shrinkToFit="1"/>
    </xf>
    <xf numFmtId="0" fontId="81" fillId="13" borderId="121" xfId="0" applyFont="1" applyFill="1" applyBorder="1" applyAlignment="1">
      <alignment horizontal="center" vertical="center" wrapText="1" shrinkToFit="1"/>
    </xf>
    <xf numFmtId="0" fontId="81" fillId="13" borderId="107" xfId="0" applyFont="1" applyFill="1" applyBorder="1" applyAlignment="1">
      <alignment horizontal="center" vertical="center" wrapText="1" shrinkToFit="1"/>
    </xf>
    <xf numFmtId="0" fontId="81" fillId="13" borderId="124" xfId="0" applyFont="1" applyFill="1" applyBorder="1" applyAlignment="1">
      <alignment horizontal="center" vertical="center" wrapText="1" shrinkToFit="1"/>
    </xf>
    <xf numFmtId="0" fontId="81" fillId="13" borderId="108" xfId="0" applyFont="1" applyFill="1" applyBorder="1" applyAlignment="1">
      <alignment horizontal="center" vertical="center" wrapText="1" shrinkToFit="1"/>
    </xf>
    <xf numFmtId="0" fontId="81" fillId="13" borderId="123" xfId="0" applyFont="1" applyFill="1" applyBorder="1" applyAlignment="1">
      <alignment horizontal="center" vertical="center" wrapText="1" shrinkToFit="1"/>
    </xf>
    <xf numFmtId="49" fontId="98" fillId="17" borderId="67" xfId="0" applyNumberFormat="1" applyFont="1" applyFill="1" applyBorder="1" applyAlignment="1">
      <alignment horizontal="center" vertical="center" wrapText="1" shrinkToFit="1"/>
    </xf>
    <xf numFmtId="0" fontId="76" fillId="8" borderId="109" xfId="0" applyFont="1" applyFill="1" applyBorder="1" applyAlignment="1">
      <alignment horizontal="center" vertical="center" wrapText="1" shrinkToFit="1"/>
    </xf>
    <xf numFmtId="0" fontId="25" fillId="3" borderId="0" xfId="0" applyFont="1" applyFill="1" applyAlignment="1">
      <alignment horizontal="center" vertical="top" wrapText="1"/>
    </xf>
    <xf numFmtId="14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54" fillId="0" borderId="39" xfId="0" applyNumberFormat="1" applyFont="1" applyBorder="1" applyAlignment="1">
      <alignment horizontal="center"/>
    </xf>
    <xf numFmtId="3" fontId="54" fillId="0" borderId="41" xfId="0" applyNumberFormat="1" applyFont="1" applyBorder="1" applyAlignment="1">
      <alignment horizontal="center"/>
    </xf>
    <xf numFmtId="0" fontId="45" fillId="0" borderId="60" xfId="0" applyFont="1" applyBorder="1" applyAlignment="1">
      <alignment horizontal="center" vertical="top" wrapText="1"/>
    </xf>
    <xf numFmtId="0" fontId="45" fillId="0" borderId="64" xfId="0" applyFont="1" applyBorder="1" applyAlignment="1">
      <alignment horizontal="center" vertical="top" wrapText="1"/>
    </xf>
    <xf numFmtId="0" fontId="45" fillId="0" borderId="81" xfId="0" applyFont="1" applyBorder="1" applyAlignment="1">
      <alignment horizontal="center" vertical="center" wrapText="1"/>
    </xf>
    <xf numFmtId="0" fontId="45" fillId="0" borderId="41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left" vertical="top" wrapText="1"/>
    </xf>
    <xf numFmtId="0" fontId="45" fillId="0" borderId="41" xfId="0" applyFont="1" applyBorder="1" applyAlignment="1">
      <alignment horizontal="left" vertical="top" wrapText="1"/>
    </xf>
    <xf numFmtId="0" fontId="54" fillId="0" borderId="21" xfId="0" applyFont="1" applyBorder="1" applyAlignment="1">
      <alignment horizontal="left"/>
    </xf>
    <xf numFmtId="0" fontId="54" fillId="0" borderId="41" xfId="0" applyFont="1" applyBorder="1" applyAlignment="1">
      <alignment horizontal="left"/>
    </xf>
    <xf numFmtId="3" fontId="49" fillId="0" borderId="50" xfId="0" applyNumberFormat="1" applyFont="1" applyBorder="1" applyAlignment="1">
      <alignment horizontal="center"/>
    </xf>
    <xf numFmtId="3" fontId="49" fillId="0" borderId="77" xfId="0" applyNumberFormat="1" applyFont="1" applyBorder="1" applyAlignment="1">
      <alignment horizontal="center"/>
    </xf>
    <xf numFmtId="0" fontId="30" fillId="0" borderId="62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90" xfId="0" applyFont="1" applyBorder="1" applyAlignment="1">
      <alignment horizontal="center" vertical="center" wrapText="1"/>
    </xf>
    <xf numFmtId="0" fontId="30" fillId="0" borderId="88" xfId="0" applyFont="1" applyBorder="1" applyAlignment="1">
      <alignment horizontal="center" vertical="center" wrapText="1"/>
    </xf>
    <xf numFmtId="0" fontId="48" fillId="0" borderId="60" xfId="0" applyFont="1" applyBorder="1" applyAlignment="1">
      <alignment horizontal="center"/>
    </xf>
    <xf numFmtId="0" fontId="48" fillId="0" borderId="61" xfId="0" applyFont="1" applyBorder="1" applyAlignment="1">
      <alignment horizontal="center"/>
    </xf>
    <xf numFmtId="0" fontId="48" fillId="0" borderId="51" xfId="0" applyFont="1" applyBorder="1" applyAlignment="1">
      <alignment horizontal="center"/>
    </xf>
    <xf numFmtId="0" fontId="0" fillId="0" borderId="60" xfId="0" applyBorder="1" applyAlignment="1">
      <alignment horizontal="right"/>
    </xf>
    <xf numFmtId="0" fontId="0" fillId="0" borderId="80" xfId="0" applyBorder="1" applyAlignment="1">
      <alignment horizontal="right"/>
    </xf>
    <xf numFmtId="0" fontId="30" fillId="0" borderId="68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right" vertical="center" wrapText="1"/>
    </xf>
    <xf numFmtId="0" fontId="30" fillId="0" borderId="28" xfId="0" applyFont="1" applyBorder="1" applyAlignment="1">
      <alignment horizontal="right" vertical="center" wrapText="1"/>
    </xf>
    <xf numFmtId="3" fontId="54" fillId="0" borderId="34" xfId="0" applyNumberFormat="1" applyFont="1" applyBorder="1" applyAlignment="1">
      <alignment horizontal="center"/>
    </xf>
    <xf numFmtId="3" fontId="54" fillId="0" borderId="13" xfId="0" applyNumberFormat="1" applyFont="1" applyBorder="1" applyAlignment="1">
      <alignment horizontal="center"/>
    </xf>
    <xf numFmtId="3" fontId="54" fillId="0" borderId="38" xfId="0" applyNumberFormat="1" applyFont="1" applyBorder="1" applyAlignment="1">
      <alignment horizontal="center"/>
    </xf>
    <xf numFmtId="3" fontId="49" fillId="0" borderId="69" xfId="0" applyNumberFormat="1" applyFont="1" applyBorder="1" applyAlignment="1">
      <alignment horizontal="center"/>
    </xf>
    <xf numFmtId="0" fontId="49" fillId="0" borderId="70" xfId="0" applyFont="1" applyBorder="1" applyAlignment="1">
      <alignment horizontal="center"/>
    </xf>
    <xf numFmtId="0" fontId="49" fillId="0" borderId="71" xfId="0" applyFont="1" applyBorder="1" applyAlignment="1">
      <alignment horizontal="center"/>
    </xf>
    <xf numFmtId="0" fontId="54" fillId="0" borderId="13" xfId="0" applyFont="1" applyBorder="1" applyAlignment="1">
      <alignment horizontal="center"/>
    </xf>
    <xf numFmtId="0" fontId="54" fillId="0" borderId="38" xfId="0" applyFont="1" applyBorder="1" applyAlignment="1">
      <alignment horizontal="center"/>
    </xf>
    <xf numFmtId="3" fontId="49" fillId="0" borderId="58" xfId="1" applyNumberFormat="1" applyFont="1" applyBorder="1" applyAlignment="1">
      <alignment horizontal="right"/>
    </xf>
    <xf numFmtId="3" fontId="49" fillId="0" borderId="23" xfId="0" applyNumberFormat="1" applyFont="1" applyBorder="1" applyAlignment="1">
      <alignment horizontal="right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45" fillId="0" borderId="49" xfId="0" applyFont="1" applyBorder="1" applyAlignment="1">
      <alignment horizontal="justify" vertical="top" wrapText="1"/>
    </xf>
    <xf numFmtId="0" fontId="45" fillId="0" borderId="72" xfId="0" applyFont="1" applyBorder="1" applyAlignment="1">
      <alignment horizontal="justify" vertical="top" wrapText="1"/>
    </xf>
    <xf numFmtId="0" fontId="30" fillId="3" borderId="60" xfId="0" applyFont="1" applyFill="1" applyBorder="1" applyAlignment="1">
      <alignment horizontal="center" vertical="top" wrapText="1"/>
    </xf>
    <xf numFmtId="0" fontId="30" fillId="3" borderId="64" xfId="0" applyFont="1" applyFill="1" applyBorder="1" applyAlignment="1">
      <alignment horizontal="center" vertical="top" wrapText="1"/>
    </xf>
    <xf numFmtId="0" fontId="30" fillId="3" borderId="51" xfId="0" applyFont="1" applyFill="1" applyBorder="1" applyAlignment="1">
      <alignment horizontal="center" vertical="center" wrapText="1"/>
    </xf>
    <xf numFmtId="0" fontId="30" fillId="3" borderId="92" xfId="0" applyFont="1" applyFill="1" applyBorder="1" applyAlignment="1">
      <alignment horizontal="center" vertical="center" wrapText="1"/>
    </xf>
    <xf numFmtId="0" fontId="30" fillId="0" borderId="91" xfId="0" applyFont="1" applyBorder="1" applyAlignment="1">
      <alignment horizontal="center" vertical="top" wrapText="1"/>
    </xf>
    <xf numFmtId="0" fontId="30" fillId="0" borderId="61" xfId="0" applyFont="1" applyBorder="1" applyAlignment="1">
      <alignment horizontal="center" vertical="top" wrapText="1"/>
    </xf>
    <xf numFmtId="0" fontId="30" fillId="0" borderId="80" xfId="0" applyFont="1" applyBorder="1" applyAlignment="1">
      <alignment horizontal="center" vertical="top" wrapText="1"/>
    </xf>
    <xf numFmtId="0" fontId="48" fillId="0" borderId="80" xfId="0" applyFont="1" applyBorder="1" applyAlignment="1">
      <alignment horizontal="center"/>
    </xf>
    <xf numFmtId="0" fontId="0" fillId="0" borderId="61" xfId="0" applyBorder="1" applyAlignment="1">
      <alignment horizontal="right"/>
    </xf>
    <xf numFmtId="14" fontId="82" fillId="0" borderId="0" xfId="0" applyNumberFormat="1" applyFont="1" applyAlignment="1">
      <alignment horizontal="right" vertical="top" wrapText="1"/>
    </xf>
    <xf numFmtId="0" fontId="82" fillId="0" borderId="0" xfId="0" applyFont="1" applyAlignment="1">
      <alignment horizontal="right" vertical="top" wrapText="1"/>
    </xf>
    <xf numFmtId="0" fontId="45" fillId="3" borderId="25" xfId="0" applyFont="1" applyFill="1" applyBorder="1" applyAlignment="1">
      <alignment horizontal="center" vertical="top" wrapText="1"/>
    </xf>
    <xf numFmtId="0" fontId="45" fillId="3" borderId="36" xfId="0" applyFont="1" applyFill="1" applyBorder="1" applyAlignment="1">
      <alignment horizontal="center" vertical="top" wrapText="1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80" xfId="0" applyBorder="1" applyAlignment="1">
      <alignment horizontal="center"/>
    </xf>
    <xf numFmtId="0" fontId="45" fillId="3" borderId="60" xfId="0" applyFont="1" applyFill="1" applyBorder="1" applyAlignment="1">
      <alignment horizontal="center" vertical="top" wrapText="1"/>
    </xf>
    <xf numFmtId="0" fontId="45" fillId="3" borderId="64" xfId="0" applyFont="1" applyFill="1" applyBorder="1" applyAlignment="1">
      <alignment horizontal="center" vertical="top" wrapText="1"/>
    </xf>
    <xf numFmtId="0" fontId="45" fillId="3" borderId="51" xfId="0" applyFont="1" applyFill="1" applyBorder="1" applyAlignment="1">
      <alignment horizontal="center" vertical="center" wrapText="1"/>
    </xf>
    <xf numFmtId="0" fontId="45" fillId="3" borderId="92" xfId="0" applyFont="1" applyFill="1" applyBorder="1" applyAlignment="1">
      <alignment horizontal="center" vertical="center" wrapText="1"/>
    </xf>
    <xf numFmtId="0" fontId="53" fillId="0" borderId="49" xfId="0" applyFont="1" applyBorder="1" applyAlignment="1">
      <alignment horizontal="left" vertical="top" wrapText="1"/>
    </xf>
    <xf numFmtId="0" fontId="53" fillId="0" borderId="72" xfId="0" applyFont="1" applyBorder="1" applyAlignment="1">
      <alignment horizontal="left" vertical="top" wrapText="1"/>
    </xf>
    <xf numFmtId="0" fontId="45" fillId="0" borderId="77" xfId="0" applyFont="1" applyBorder="1" applyAlignment="1">
      <alignment horizontal="justify" vertical="top" wrapText="1"/>
    </xf>
    <xf numFmtId="3" fontId="54" fillId="0" borderId="44" xfId="0" applyNumberFormat="1" applyFont="1" applyBorder="1" applyAlignment="1">
      <alignment horizontal="center"/>
    </xf>
    <xf numFmtId="3" fontId="54" fillId="0" borderId="43" xfId="0" applyNumberFormat="1" applyFont="1" applyBorder="1" applyAlignment="1">
      <alignment horizontal="center"/>
    </xf>
    <xf numFmtId="0" fontId="30" fillId="0" borderId="73" xfId="0" applyFont="1" applyBorder="1" applyAlignment="1">
      <alignment horizontal="center" vertical="top" wrapText="1"/>
    </xf>
    <xf numFmtId="0" fontId="30" fillId="0" borderId="74" xfId="0" applyFont="1" applyBorder="1" applyAlignment="1">
      <alignment horizontal="center" vertical="top" wrapText="1"/>
    </xf>
    <xf numFmtId="0" fontId="48" fillId="0" borderId="90" xfId="0" applyFont="1" applyBorder="1" applyAlignment="1">
      <alignment horizontal="center"/>
    </xf>
    <xf numFmtId="0" fontId="48" fillId="0" borderId="73" xfId="0" applyFont="1" applyBorder="1" applyAlignment="1">
      <alignment horizontal="center"/>
    </xf>
    <xf numFmtId="0" fontId="48" fillId="0" borderId="74" xfId="0" applyFont="1" applyBorder="1" applyAlignment="1">
      <alignment horizontal="center"/>
    </xf>
    <xf numFmtId="0" fontId="0" fillId="0" borderId="90" xfId="0" applyBorder="1" applyAlignment="1">
      <alignment horizontal="right"/>
    </xf>
    <xf numFmtId="0" fontId="0" fillId="0" borderId="74" xfId="0" applyBorder="1" applyAlignment="1">
      <alignment horizontal="right"/>
    </xf>
    <xf numFmtId="0" fontId="30" fillId="0" borderId="51" xfId="0" applyFont="1" applyBorder="1" applyAlignment="1">
      <alignment horizontal="center" vertical="top" wrapText="1"/>
    </xf>
    <xf numFmtId="0" fontId="53" fillId="0" borderId="21" xfId="0" applyFont="1" applyBorder="1" applyAlignment="1">
      <alignment horizontal="left" vertical="top" wrapText="1"/>
    </xf>
    <xf numFmtId="0" fontId="53" fillId="0" borderId="41" xfId="0" applyFont="1" applyBorder="1" applyAlignment="1">
      <alignment horizontal="left" vertical="top" wrapText="1"/>
    </xf>
    <xf numFmtId="0" fontId="45" fillId="0" borderId="69" xfId="0" applyFont="1" applyBorder="1" applyAlignment="1">
      <alignment horizontal="left" vertical="top" wrapText="1"/>
    </xf>
    <xf numFmtId="0" fontId="45" fillId="0" borderId="70" xfId="0" applyFont="1" applyBorder="1" applyAlignment="1">
      <alignment horizontal="left" vertical="top" wrapText="1"/>
    </xf>
    <xf numFmtId="0" fontId="54" fillId="0" borderId="34" xfId="0" applyFont="1" applyBorder="1" applyAlignment="1">
      <alignment horizontal="left"/>
    </xf>
    <xf numFmtId="0" fontId="54" fillId="0" borderId="13" xfId="0" applyFont="1" applyBorder="1" applyAlignment="1">
      <alignment horizontal="left"/>
    </xf>
    <xf numFmtId="0" fontId="45" fillId="0" borderId="25" xfId="0" applyFont="1" applyBorder="1" applyAlignment="1">
      <alignment horizontal="center" vertical="top" wrapText="1"/>
    </xf>
    <xf numFmtId="0" fontId="45" fillId="0" borderId="36" xfId="0" applyFont="1" applyBorder="1" applyAlignment="1">
      <alignment horizontal="center" vertical="top" wrapText="1"/>
    </xf>
    <xf numFmtId="0" fontId="45" fillId="0" borderId="80" xfId="0" applyFont="1" applyBorder="1" applyAlignment="1">
      <alignment horizontal="center" vertical="center" wrapText="1"/>
    </xf>
    <xf numFmtId="0" fontId="45" fillId="0" borderId="75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center" wrapText="1"/>
    </xf>
    <xf numFmtId="0" fontId="68" fillId="0" borderId="77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14" fillId="0" borderId="69" xfId="0" applyFont="1" applyBorder="1" applyAlignment="1"/>
    <xf numFmtId="0" fontId="0" fillId="0" borderId="71" xfId="0" applyBorder="1" applyAlignment="1"/>
    <xf numFmtId="0" fontId="18" fillId="0" borderId="0" xfId="0" applyFont="1" applyAlignment="1">
      <alignment horizontal="center"/>
    </xf>
    <xf numFmtId="0" fontId="36" fillId="0" borderId="69" xfId="0" applyFont="1" applyBorder="1" applyAlignment="1">
      <alignment horizontal="center" vertical="center" wrapText="1"/>
    </xf>
    <xf numFmtId="0" fontId="36" fillId="0" borderId="70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center" wrapText="1"/>
    </xf>
    <xf numFmtId="3" fontId="35" fillId="0" borderId="13" xfId="0" applyNumberFormat="1" applyFont="1" applyBorder="1" applyAlignment="1">
      <alignment horizontal="center" wrapText="1"/>
    </xf>
    <xf numFmtId="0" fontId="42" fillId="2" borderId="0" xfId="0" applyFont="1" applyFill="1" applyAlignment="1">
      <alignment horizontal="center" wrapText="1"/>
    </xf>
    <xf numFmtId="0" fontId="28" fillId="2" borderId="90" xfId="0" applyFont="1" applyFill="1" applyBorder="1" applyAlignment="1">
      <alignment horizontal="center" wrapText="1"/>
    </xf>
    <xf numFmtId="0" fontId="28" fillId="2" borderId="88" xfId="0" applyFont="1" applyFill="1" applyBorder="1" applyAlignment="1">
      <alignment horizontal="center" wrapText="1"/>
    </xf>
    <xf numFmtId="0" fontId="40" fillId="2" borderId="90" xfId="0" applyFont="1" applyFill="1" applyBorder="1" applyAlignment="1">
      <alignment horizontal="center" wrapText="1"/>
    </xf>
    <xf numFmtId="0" fontId="40" fillId="2" borderId="88" xfId="0" applyFont="1" applyFill="1" applyBorder="1" applyAlignment="1">
      <alignment horizontal="center" wrapText="1"/>
    </xf>
    <xf numFmtId="0" fontId="39" fillId="2" borderId="60" xfId="0" applyFont="1" applyFill="1" applyBorder="1" applyAlignment="1">
      <alignment horizontal="center" wrapText="1"/>
    </xf>
    <xf numFmtId="0" fontId="39" fillId="2" borderId="61" xfId="0" applyFont="1" applyFill="1" applyBorder="1" applyAlignment="1">
      <alignment horizontal="center" wrapText="1"/>
    </xf>
    <xf numFmtId="0" fontId="39" fillId="2" borderId="80" xfId="0" applyFont="1" applyFill="1" applyBorder="1" applyAlignment="1">
      <alignment horizontal="center" wrapText="1"/>
    </xf>
    <xf numFmtId="0" fontId="3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8" fillId="2" borderId="33" xfId="0" applyFont="1" applyFill="1" applyBorder="1" applyAlignment="1">
      <alignment horizontal="center" wrapText="1"/>
    </xf>
    <xf numFmtId="0" fontId="28" fillId="2" borderId="32" xfId="0" applyFont="1" applyFill="1" applyBorder="1" applyAlignment="1">
      <alignment horizontal="center" wrapText="1"/>
    </xf>
    <xf numFmtId="0" fontId="40" fillId="2" borderId="31" xfId="0" applyFont="1" applyFill="1" applyBorder="1" applyAlignment="1">
      <alignment horizontal="center" wrapText="1"/>
    </xf>
    <xf numFmtId="0" fontId="40" fillId="2" borderId="32" xfId="0" applyFont="1" applyFill="1" applyBorder="1" applyAlignment="1">
      <alignment horizontal="center" wrapText="1"/>
    </xf>
    <xf numFmtId="0" fontId="39" fillId="2" borderId="136" xfId="0" applyFont="1" applyFill="1" applyBorder="1" applyAlignment="1">
      <alignment horizontal="center" wrapText="1"/>
    </xf>
    <xf numFmtId="0" fontId="39" fillId="2" borderId="96" xfId="0" applyFont="1" applyFill="1" applyBorder="1" applyAlignment="1">
      <alignment horizontal="center" wrapText="1"/>
    </xf>
    <xf numFmtId="0" fontId="39" fillId="2" borderId="97" xfId="0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50" fillId="0" borderId="0" xfId="2" applyFont="1" applyAlignment="1">
      <alignment horizontal="center" vertical="center" wrapText="1"/>
    </xf>
  </cellXfs>
  <cellStyles count="6">
    <cellStyle name="Ezres" xfId="1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3" xfId="5" xr:uid="{00000000-0005-0000-0000-000004000000}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/2019.%20&#233;vi%20ktgvet&#233;s%20-%20&#214;nkorm&#225;nyat%20Pcs&#233;v/2019.III.sz.EI%20m&#243;d.%20-%20Pcs&#233;v%20&#214;nk%202019/2019.III.sz.EI%20m&#243;d.%20-%20&#214;nkorm&#225;nyzat%20Piliscs&#233;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/2019.%20&#233;vi%20ktgvet&#233;s%20-%20K&#246;z&#246;s%20Hivatal/2019.III.sz.%20EI%20m&#243;d.%20-%20Pcs&#233;vi%20K&#246;z&#246;s%20Hivatal/2019.III.sz.%20EI%20m&#243;d.%20-%20K&#246;z&#246;s%20Hiva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/2019.%20&#233;vi%20ktgvet&#233;s%20-%20M&#369;vh&#225;z%20Pcs&#233;v/2019.III.sz.%20EI%20m&#243;d.%20-%20M&#369;v.h&#225;z%20Pcs&#233;v/2019.III.sz.%20EI%20m&#243;d.%20-%20M&#369;v.H&#225;z%20Pcs&#233;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/2019.%20&#233;vi%20ktgvet&#233;s%20-%20&#211;voda%20Pcs&#233;v/2019.III.sz.%20EI%20m&#243;d%20-%20&#211;voda-B&#246;lcsi%20Pcs&#233;v/2019.III.sz.%20EI%20m&#243;d.%20-%20&#211;voda-B&#246;lcsi%20Pcs&#233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önkormányzat 2019)"/>
      <sheetName val="Bevételek(önkormányzat 2019"/>
      <sheetName val="Bevételek COFOG szerint 2019"/>
      <sheetName val="Kiadások(önkormányzat 2019)"/>
      <sheetName val="Kiadások COFOG szerint"/>
      <sheetName val="Kiadások részletes COFOG"/>
      <sheetName val="Kiadások COFOG összesítő"/>
    </sheetNames>
    <sheetDataSet>
      <sheetData sheetId="0"/>
      <sheetData sheetId="1"/>
      <sheetData sheetId="2">
        <row r="10">
          <cell r="G10">
            <v>0</v>
          </cell>
        </row>
        <row r="11">
          <cell r="G11">
            <v>273099</v>
          </cell>
        </row>
        <row r="16">
          <cell r="G16">
            <v>300000</v>
          </cell>
        </row>
        <row r="17">
          <cell r="G17">
            <v>38000000</v>
          </cell>
        </row>
        <row r="20">
          <cell r="G20">
            <v>500000</v>
          </cell>
        </row>
        <row r="21">
          <cell r="G21">
            <v>200000</v>
          </cell>
        </row>
        <row r="22">
          <cell r="G22">
            <v>3000</v>
          </cell>
        </row>
        <row r="24">
          <cell r="G24">
            <v>53827200</v>
          </cell>
        </row>
        <row r="31">
          <cell r="G31">
            <v>377000</v>
          </cell>
        </row>
        <row r="33">
          <cell r="G33">
            <v>220000</v>
          </cell>
        </row>
        <row r="38">
          <cell r="G38">
            <v>1880000</v>
          </cell>
        </row>
        <row r="39">
          <cell r="G39">
            <v>1440000</v>
          </cell>
        </row>
        <row r="44">
          <cell r="G44">
            <v>70984882</v>
          </cell>
        </row>
        <row r="53">
          <cell r="G53">
            <v>43649634</v>
          </cell>
        </row>
        <row r="54">
          <cell r="G54">
            <v>1689000</v>
          </cell>
        </row>
        <row r="55">
          <cell r="G55">
            <v>36120986</v>
          </cell>
        </row>
        <row r="63">
          <cell r="G63">
            <v>3119740</v>
          </cell>
        </row>
        <row r="64">
          <cell r="G64">
            <v>368329</v>
          </cell>
        </row>
        <row r="65">
          <cell r="G65">
            <v>9507600</v>
          </cell>
        </row>
        <row r="66">
          <cell r="G66">
            <v>1813560</v>
          </cell>
        </row>
        <row r="68">
          <cell r="G68">
            <v>329091</v>
          </cell>
        </row>
        <row r="69">
          <cell r="G69">
            <v>1828592</v>
          </cell>
        </row>
        <row r="70">
          <cell r="G70">
            <v>118000</v>
          </cell>
        </row>
        <row r="71">
          <cell r="G71">
            <v>6721874</v>
          </cell>
        </row>
        <row r="77">
          <cell r="G77">
            <v>112562520</v>
          </cell>
        </row>
        <row r="82">
          <cell r="G82">
            <v>2832436</v>
          </cell>
        </row>
        <row r="87">
          <cell r="G87">
            <v>1308017</v>
          </cell>
        </row>
        <row r="93">
          <cell r="G93">
            <v>48529410</v>
          </cell>
        </row>
        <row r="97">
          <cell r="G97">
            <v>14407420</v>
          </cell>
        </row>
        <row r="98">
          <cell r="G98">
            <v>3890004</v>
          </cell>
        </row>
        <row r="104">
          <cell r="G104">
            <v>30285270</v>
          </cell>
        </row>
        <row r="108">
          <cell r="G108">
            <v>1382550</v>
          </cell>
        </row>
        <row r="113">
          <cell r="G113">
            <v>5788100</v>
          </cell>
        </row>
        <row r="118">
          <cell r="G118">
            <v>6180000</v>
          </cell>
        </row>
        <row r="123">
          <cell r="G123">
            <v>4186383</v>
          </cell>
        </row>
        <row r="124">
          <cell r="G124">
            <v>1130322</v>
          </cell>
        </row>
        <row r="129">
          <cell r="G129">
            <v>283464</v>
          </cell>
        </row>
        <row r="130">
          <cell r="G130">
            <v>76536</v>
          </cell>
        </row>
        <row r="135">
          <cell r="G135">
            <v>283464</v>
          </cell>
        </row>
        <row r="136">
          <cell r="G136">
            <v>73539</v>
          </cell>
        </row>
        <row r="141">
          <cell r="G141">
            <v>6000000</v>
          </cell>
        </row>
        <row r="142">
          <cell r="G142">
            <v>95470000</v>
          </cell>
        </row>
        <row r="143">
          <cell r="G143">
            <v>7238050</v>
          </cell>
        </row>
        <row r="144">
          <cell r="G144">
            <v>300000</v>
          </cell>
        </row>
        <row r="147">
          <cell r="G147">
            <v>200000</v>
          </cell>
        </row>
        <row r="155">
          <cell r="G155">
            <v>103500</v>
          </cell>
        </row>
        <row r="158">
          <cell r="C158">
            <v>425416438</v>
          </cell>
          <cell r="D158">
            <v>520041000</v>
          </cell>
          <cell r="E158">
            <v>96091572</v>
          </cell>
          <cell r="F158">
            <v>118.47769156662649</v>
          </cell>
          <cell r="G158">
            <v>616132572</v>
          </cell>
        </row>
      </sheetData>
      <sheetData sheetId="3"/>
      <sheetData sheetId="4">
        <row r="10">
          <cell r="G10">
            <v>1556250</v>
          </cell>
        </row>
        <row r="13">
          <cell r="G13">
            <v>0</v>
          </cell>
        </row>
        <row r="14">
          <cell r="G14">
            <v>16234200</v>
          </cell>
        </row>
        <row r="15">
          <cell r="G15">
            <v>1806000</v>
          </cell>
        </row>
        <row r="16">
          <cell r="G16">
            <v>176000</v>
          </cell>
        </row>
        <row r="17">
          <cell r="G17">
            <v>3700000</v>
          </cell>
        </row>
        <row r="18">
          <cell r="G18">
            <v>40000</v>
          </cell>
        </row>
        <row r="19">
          <cell r="G19">
            <v>60000</v>
          </cell>
        </row>
        <row r="20">
          <cell r="G20">
            <v>2615000</v>
          </cell>
        </row>
        <row r="21">
          <cell r="G21">
            <v>1300000</v>
          </cell>
        </row>
        <row r="22">
          <cell r="G22">
            <v>300000</v>
          </cell>
        </row>
        <row r="23">
          <cell r="G23">
            <v>666000</v>
          </cell>
        </row>
        <row r="24">
          <cell r="G24">
            <v>1100000</v>
          </cell>
        </row>
        <row r="25">
          <cell r="G25">
            <v>300000</v>
          </cell>
        </row>
        <row r="26">
          <cell r="G26">
            <v>150000</v>
          </cell>
        </row>
        <row r="27">
          <cell r="G27">
            <v>451000</v>
          </cell>
        </row>
        <row r="28">
          <cell r="G28">
            <v>720000</v>
          </cell>
        </row>
        <row r="29">
          <cell r="G29">
            <v>2490000</v>
          </cell>
        </row>
        <row r="30">
          <cell r="G30">
            <v>5320000</v>
          </cell>
        </row>
        <row r="31">
          <cell r="G31">
            <v>40000</v>
          </cell>
        </row>
        <row r="32">
          <cell r="G32">
            <v>2626832</v>
          </cell>
        </row>
        <row r="33">
          <cell r="G33">
            <v>12000000</v>
          </cell>
        </row>
        <row r="34">
          <cell r="G34">
            <v>20000</v>
          </cell>
        </row>
        <row r="35">
          <cell r="G35">
            <v>300000</v>
          </cell>
        </row>
        <row r="36">
          <cell r="G36">
            <v>0</v>
          </cell>
        </row>
        <row r="40">
          <cell r="G40">
            <v>107266988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1913000</v>
          </cell>
        </row>
        <row r="44">
          <cell r="G44">
            <v>389500</v>
          </cell>
        </row>
        <row r="45">
          <cell r="G45">
            <v>263000</v>
          </cell>
        </row>
        <row r="46">
          <cell r="G46">
            <v>618500</v>
          </cell>
        </row>
        <row r="58">
          <cell r="G58">
            <v>594929</v>
          </cell>
        </row>
        <row r="60">
          <cell r="G60">
            <v>161071</v>
          </cell>
        </row>
        <row r="70">
          <cell r="G70">
            <v>100000</v>
          </cell>
        </row>
        <row r="71">
          <cell r="G71">
            <v>600000</v>
          </cell>
        </row>
        <row r="72">
          <cell r="G72">
            <v>200000</v>
          </cell>
        </row>
        <row r="73">
          <cell r="G73">
            <v>150000</v>
          </cell>
        </row>
        <row r="74">
          <cell r="G74">
            <v>11000</v>
          </cell>
        </row>
        <row r="75">
          <cell r="G75">
            <v>150000</v>
          </cell>
        </row>
        <row r="76">
          <cell r="G76">
            <v>240000</v>
          </cell>
        </row>
        <row r="77">
          <cell r="G77">
            <v>450000</v>
          </cell>
        </row>
        <row r="78">
          <cell r="G78">
            <v>121500</v>
          </cell>
        </row>
        <row r="83">
          <cell r="G83">
            <v>314000</v>
          </cell>
        </row>
        <row r="84">
          <cell r="G84">
            <v>860000</v>
          </cell>
        </row>
        <row r="86">
          <cell r="G86">
            <v>604000</v>
          </cell>
        </row>
        <row r="87">
          <cell r="G87">
            <v>506000</v>
          </cell>
        </row>
        <row r="88">
          <cell r="G88">
            <v>430000</v>
          </cell>
        </row>
        <row r="93">
          <cell r="G93">
            <v>0</v>
          </cell>
        </row>
        <row r="94">
          <cell r="G94">
            <v>6042266</v>
          </cell>
        </row>
        <row r="99">
          <cell r="G99">
            <v>7156000</v>
          </cell>
        </row>
        <row r="100">
          <cell r="G100">
            <v>149377101</v>
          </cell>
        </row>
        <row r="105">
          <cell r="G105">
            <v>2990000</v>
          </cell>
        </row>
        <row r="106">
          <cell r="G106">
            <v>307000</v>
          </cell>
        </row>
        <row r="107">
          <cell r="G107">
            <v>165000</v>
          </cell>
        </row>
        <row r="108">
          <cell r="G108">
            <v>44633</v>
          </cell>
        </row>
        <row r="109">
          <cell r="G109">
            <v>133000</v>
          </cell>
        </row>
        <row r="110">
          <cell r="G110">
            <v>36000</v>
          </cell>
        </row>
        <row r="115">
          <cell r="G115">
            <v>3218000</v>
          </cell>
        </row>
        <row r="116">
          <cell r="G116">
            <v>40000</v>
          </cell>
        </row>
        <row r="117">
          <cell r="G117">
            <v>321000</v>
          </cell>
        </row>
        <row r="118">
          <cell r="G118">
            <v>60604</v>
          </cell>
        </row>
        <row r="119">
          <cell r="G119">
            <v>10963</v>
          </cell>
        </row>
        <row r="124">
          <cell r="G124">
            <v>680000</v>
          </cell>
        </row>
        <row r="125">
          <cell r="G125">
            <v>201150</v>
          </cell>
        </row>
        <row r="126">
          <cell r="G126">
            <v>1700000</v>
          </cell>
        </row>
        <row r="128">
          <cell r="G128">
            <v>733850</v>
          </cell>
        </row>
        <row r="129">
          <cell r="G129">
            <v>45000000</v>
          </cell>
        </row>
        <row r="130">
          <cell r="G130">
            <v>1900000</v>
          </cell>
        </row>
        <row r="137">
          <cell r="G137">
            <v>10819007</v>
          </cell>
        </row>
        <row r="138">
          <cell r="G138">
            <v>2921132</v>
          </cell>
        </row>
        <row r="143">
          <cell r="G143">
            <v>348080</v>
          </cell>
        </row>
        <row r="144">
          <cell r="G144">
            <v>3100668</v>
          </cell>
        </row>
        <row r="145">
          <cell r="G145">
            <v>564445</v>
          </cell>
        </row>
        <row r="146">
          <cell r="G146">
            <v>1052954</v>
          </cell>
        </row>
        <row r="151">
          <cell r="G151">
            <v>4517500</v>
          </cell>
        </row>
        <row r="153">
          <cell r="G153">
            <v>24000</v>
          </cell>
        </row>
        <row r="154">
          <cell r="G154">
            <v>146000</v>
          </cell>
        </row>
        <row r="155">
          <cell r="G155">
            <v>5300</v>
          </cell>
        </row>
        <row r="156">
          <cell r="G156">
            <v>938000</v>
          </cell>
        </row>
        <row r="158">
          <cell r="G158">
            <v>2755396</v>
          </cell>
        </row>
        <row r="159">
          <cell r="G159">
            <v>750000</v>
          </cell>
        </row>
        <row r="161">
          <cell r="G161">
            <v>633000</v>
          </cell>
        </row>
        <row r="163">
          <cell r="G163">
            <v>1790000</v>
          </cell>
        </row>
        <row r="165">
          <cell r="G165">
            <v>1364437</v>
          </cell>
        </row>
        <row r="166">
          <cell r="G166">
            <v>58000</v>
          </cell>
        </row>
        <row r="167">
          <cell r="G167">
            <v>131000</v>
          </cell>
        </row>
        <row r="168">
          <cell r="G168">
            <v>36000</v>
          </cell>
        </row>
        <row r="169">
          <cell r="G169">
            <v>116030000</v>
          </cell>
        </row>
        <row r="170">
          <cell r="G170">
            <v>21090000</v>
          </cell>
        </row>
        <row r="171">
          <cell r="G171">
            <v>1263000</v>
          </cell>
        </row>
        <row r="176">
          <cell r="G176">
            <v>4658760</v>
          </cell>
        </row>
        <row r="177">
          <cell r="G177">
            <v>100000</v>
          </cell>
        </row>
        <row r="178">
          <cell r="G178">
            <v>24000</v>
          </cell>
        </row>
        <row r="179">
          <cell r="G179">
            <v>0</v>
          </cell>
        </row>
        <row r="180">
          <cell r="G180">
            <v>12000</v>
          </cell>
        </row>
        <row r="181">
          <cell r="G181">
            <v>236000</v>
          </cell>
        </row>
        <row r="182">
          <cell r="G182">
            <v>687000</v>
          </cell>
        </row>
        <row r="183">
          <cell r="G183">
            <v>1031000</v>
          </cell>
        </row>
        <row r="185">
          <cell r="G185">
            <v>60000</v>
          </cell>
        </row>
        <row r="186">
          <cell r="G186">
            <v>180000</v>
          </cell>
        </row>
        <row r="187">
          <cell r="G187">
            <v>100000</v>
          </cell>
        </row>
        <row r="188">
          <cell r="G188">
            <v>140000</v>
          </cell>
        </row>
        <row r="189">
          <cell r="G189">
            <v>50000</v>
          </cell>
        </row>
        <row r="190">
          <cell r="G190">
            <v>10000</v>
          </cell>
        </row>
        <row r="191">
          <cell r="G191">
            <v>20000</v>
          </cell>
        </row>
        <row r="192">
          <cell r="G192">
            <v>60000</v>
          </cell>
        </row>
        <row r="193">
          <cell r="G193">
            <v>120000</v>
          </cell>
        </row>
        <row r="194">
          <cell r="G194">
            <v>120000</v>
          </cell>
        </row>
        <row r="195">
          <cell r="G195">
            <v>33000</v>
          </cell>
        </row>
        <row r="196">
          <cell r="G196">
            <v>160000</v>
          </cell>
        </row>
        <row r="197">
          <cell r="G197">
            <v>44000</v>
          </cell>
        </row>
        <row r="202">
          <cell r="G202">
            <v>90000</v>
          </cell>
        </row>
        <row r="208">
          <cell r="G208">
            <v>1000000</v>
          </cell>
        </row>
        <row r="209">
          <cell r="G209">
            <v>195000</v>
          </cell>
        </row>
        <row r="211">
          <cell r="G211">
            <v>1000000</v>
          </cell>
        </row>
        <row r="212">
          <cell r="G212">
            <v>800000</v>
          </cell>
        </row>
        <row r="213">
          <cell r="G213">
            <v>384997</v>
          </cell>
        </row>
        <row r="214">
          <cell r="G214">
            <v>2000000</v>
          </cell>
        </row>
        <row r="215">
          <cell r="G215">
            <v>800000</v>
          </cell>
        </row>
        <row r="220">
          <cell r="G220">
            <v>6207000</v>
          </cell>
        </row>
        <row r="225">
          <cell r="G225">
            <v>2531420</v>
          </cell>
        </row>
        <row r="226">
          <cell r="G226">
            <v>24000</v>
          </cell>
        </row>
        <row r="227">
          <cell r="G227">
            <v>12000</v>
          </cell>
        </row>
        <row r="228">
          <cell r="G228">
            <v>513484</v>
          </cell>
        </row>
        <row r="229">
          <cell r="G229">
            <v>115000</v>
          </cell>
        </row>
        <row r="230">
          <cell r="G230">
            <v>11161854</v>
          </cell>
        </row>
        <row r="231">
          <cell r="G231">
            <v>23000</v>
          </cell>
        </row>
        <row r="232">
          <cell r="G232">
            <v>50000</v>
          </cell>
        </row>
        <row r="233">
          <cell r="G233">
            <v>3035301</v>
          </cell>
        </row>
        <row r="234">
          <cell r="G234">
            <v>53000</v>
          </cell>
        </row>
        <row r="235">
          <cell r="G235">
            <v>15000</v>
          </cell>
        </row>
        <row r="247">
          <cell r="G247">
            <v>1621500</v>
          </cell>
        </row>
        <row r="248">
          <cell r="G248">
            <v>438000</v>
          </cell>
        </row>
        <row r="253">
          <cell r="G253">
            <v>27559</v>
          </cell>
        </row>
        <row r="254">
          <cell r="G254">
            <v>7440.93</v>
          </cell>
        </row>
        <row r="259">
          <cell r="G259">
            <v>103500</v>
          </cell>
        </row>
        <row r="264">
          <cell r="G264">
            <v>414000</v>
          </cell>
        </row>
        <row r="265">
          <cell r="G265">
            <v>26000</v>
          </cell>
        </row>
        <row r="266">
          <cell r="G266">
            <v>77000</v>
          </cell>
        </row>
        <row r="267">
          <cell r="G267">
            <v>25500</v>
          </cell>
        </row>
        <row r="273">
          <cell r="G273">
            <v>2758000</v>
          </cell>
        </row>
        <row r="275">
          <cell r="G275">
            <v>753000</v>
          </cell>
        </row>
        <row r="276">
          <cell r="G276">
            <v>948000</v>
          </cell>
        </row>
        <row r="277">
          <cell r="G277">
            <v>500000</v>
          </cell>
        </row>
        <row r="278">
          <cell r="G278">
            <v>5667000</v>
          </cell>
        </row>
        <row r="279">
          <cell r="G279">
            <v>4540000</v>
          </cell>
        </row>
        <row r="283">
          <cell r="C283">
            <v>425416438</v>
          </cell>
          <cell r="D283">
            <v>520040999.93000001</v>
          </cell>
          <cell r="E283">
            <v>96091572</v>
          </cell>
          <cell r="G283">
            <v>616132571.92999995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Hivatal 2019.)"/>
      <sheetName val="Bevételek(Hivatal 2019)"/>
      <sheetName val="Kiadások(Hivatal 2019)"/>
      <sheetName val="Kiadások COFOG szerint"/>
    </sheetNames>
    <sheetDataSet>
      <sheetData sheetId="0"/>
      <sheetData sheetId="1"/>
      <sheetData sheetId="2"/>
      <sheetData sheetId="3">
        <row r="9">
          <cell r="G9">
            <v>51705000</v>
          </cell>
        </row>
        <row r="10">
          <cell r="G10">
            <v>0</v>
          </cell>
        </row>
        <row r="11">
          <cell r="G11">
            <v>1338000</v>
          </cell>
        </row>
        <row r="12">
          <cell r="G12">
            <v>0</v>
          </cell>
        </row>
        <row r="13">
          <cell r="G13">
            <v>3298000</v>
          </cell>
        </row>
        <row r="14">
          <cell r="G14">
            <v>2500000</v>
          </cell>
        </row>
        <row r="15">
          <cell r="G15">
            <v>150000</v>
          </cell>
        </row>
        <row r="16">
          <cell r="G16">
            <v>156000</v>
          </cell>
        </row>
        <row r="17">
          <cell r="G17">
            <v>0</v>
          </cell>
        </row>
        <row r="18">
          <cell r="G18">
            <v>1868800</v>
          </cell>
        </row>
        <row r="19">
          <cell r="G19">
            <v>633000</v>
          </cell>
        </row>
        <row r="21">
          <cell r="G21">
            <v>11355552</v>
          </cell>
        </row>
        <row r="22">
          <cell r="G22">
            <v>250000</v>
          </cell>
        </row>
        <row r="24">
          <cell r="G24">
            <v>100000</v>
          </cell>
        </row>
        <row r="25">
          <cell r="G25">
            <v>100000</v>
          </cell>
        </row>
        <row r="26">
          <cell r="G26">
            <v>435000</v>
          </cell>
        </row>
        <row r="27">
          <cell r="G27">
            <v>40000</v>
          </cell>
        </row>
        <row r="28">
          <cell r="G28">
            <v>1737168</v>
          </cell>
        </row>
        <row r="29">
          <cell r="G29">
            <v>445735</v>
          </cell>
        </row>
        <row r="30">
          <cell r="G30">
            <v>395000</v>
          </cell>
        </row>
        <row r="31">
          <cell r="G31">
            <v>170076</v>
          </cell>
        </row>
        <row r="32">
          <cell r="G32">
            <v>7000</v>
          </cell>
        </row>
        <row r="34">
          <cell r="G34">
            <v>0</v>
          </cell>
        </row>
        <row r="39">
          <cell r="G39">
            <v>1282000</v>
          </cell>
        </row>
        <row r="41">
          <cell r="G41">
            <v>1209480</v>
          </cell>
        </row>
        <row r="43">
          <cell r="G43">
            <v>440000</v>
          </cell>
        </row>
        <row r="44">
          <cell r="G44">
            <v>44000</v>
          </cell>
        </row>
        <row r="46">
          <cell r="G46">
            <v>61000</v>
          </cell>
        </row>
        <row r="47">
          <cell r="G47">
            <v>43000</v>
          </cell>
        </row>
        <row r="48">
          <cell r="G48">
            <v>176265</v>
          </cell>
        </row>
        <row r="52">
          <cell r="C52">
            <v>71206800</v>
          </cell>
          <cell r="D52">
            <v>79820000</v>
          </cell>
          <cell r="E52">
            <v>120076</v>
          </cell>
          <cell r="G52">
            <v>79940076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Műv.Ház 2019.)"/>
      <sheetName val="Bevételek(Műv.Ház 2019)"/>
      <sheetName val="Bevételek COFOG"/>
      <sheetName val="Kiadások(Műv.Ház 2019)"/>
      <sheetName val="Kiadások COFOG szerint"/>
    </sheetNames>
    <sheetDataSet>
      <sheetData sheetId="0"/>
      <sheetData sheetId="1"/>
      <sheetData sheetId="2"/>
      <sheetData sheetId="3"/>
      <sheetData sheetId="4">
        <row r="9">
          <cell r="G9">
            <v>72500</v>
          </cell>
        </row>
        <row r="11">
          <cell r="G11">
            <v>15500</v>
          </cell>
        </row>
        <row r="16">
          <cell r="G16">
            <v>720000</v>
          </cell>
        </row>
        <row r="18">
          <cell r="G18">
            <v>125400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30">
          <cell r="G30">
            <v>6103000</v>
          </cell>
        </row>
        <row r="31">
          <cell r="G31">
            <v>48000</v>
          </cell>
        </row>
        <row r="32">
          <cell r="G32">
            <v>0</v>
          </cell>
        </row>
        <row r="33">
          <cell r="G33">
            <v>24000</v>
          </cell>
        </row>
        <row r="34">
          <cell r="G34">
            <v>228000</v>
          </cell>
        </row>
        <row r="35">
          <cell r="G35">
            <v>0</v>
          </cell>
        </row>
        <row r="36">
          <cell r="G36">
            <v>0</v>
          </cell>
        </row>
        <row r="38">
          <cell r="G38">
            <v>1200000</v>
          </cell>
        </row>
        <row r="39">
          <cell r="G39">
            <v>9500</v>
          </cell>
        </row>
        <row r="41">
          <cell r="G41">
            <v>114000</v>
          </cell>
        </row>
        <row r="42">
          <cell r="G42">
            <v>719000</v>
          </cell>
        </row>
        <row r="43">
          <cell r="G43">
            <v>80000</v>
          </cell>
        </row>
        <row r="44">
          <cell r="G44">
            <v>80000</v>
          </cell>
        </row>
        <row r="45">
          <cell r="G45">
            <v>100000</v>
          </cell>
        </row>
        <row r="46">
          <cell r="G46">
            <v>1100000</v>
          </cell>
        </row>
        <row r="47">
          <cell r="G47">
            <v>130000</v>
          </cell>
        </row>
        <row r="48">
          <cell r="G48">
            <v>450000</v>
          </cell>
        </row>
        <row r="49">
          <cell r="G49">
            <v>585000</v>
          </cell>
        </row>
        <row r="50">
          <cell r="G50">
            <v>260000</v>
          </cell>
        </row>
        <row r="51">
          <cell r="G51">
            <v>583500</v>
          </cell>
        </row>
        <row r="52">
          <cell r="G52">
            <v>5000</v>
          </cell>
        </row>
        <row r="54">
          <cell r="G54">
            <v>800000</v>
          </cell>
        </row>
        <row r="55">
          <cell r="G55">
            <v>216000</v>
          </cell>
        </row>
        <row r="59">
          <cell r="C59">
            <v>13768400</v>
          </cell>
          <cell r="D59">
            <v>13768400</v>
          </cell>
          <cell r="E59">
            <v>0</v>
          </cell>
          <cell r="F59">
            <v>100</v>
          </cell>
          <cell r="G59">
            <v>13768400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Óvoda 2019.)"/>
      <sheetName val="Bevételek(Óvoda 2019)"/>
      <sheetName val="Bevételek COFOG"/>
      <sheetName val="Kiadások(Óvoda 2019)"/>
      <sheetName val="Kiadások COFOG szerint"/>
    </sheetNames>
    <sheetDataSet>
      <sheetData sheetId="0"/>
      <sheetData sheetId="1"/>
      <sheetData sheetId="2"/>
      <sheetData sheetId="3"/>
      <sheetData sheetId="4">
        <row r="9">
          <cell r="G9">
            <v>15600000</v>
          </cell>
        </row>
        <row r="10">
          <cell r="G10">
            <v>150000</v>
          </cell>
        </row>
        <row r="11">
          <cell r="G11">
            <v>448000</v>
          </cell>
        </row>
        <row r="12">
          <cell r="G12">
            <v>215000</v>
          </cell>
        </row>
        <row r="13">
          <cell r="G13">
            <v>153000</v>
          </cell>
        </row>
        <row r="14">
          <cell r="G14">
            <v>656000</v>
          </cell>
        </row>
        <row r="17">
          <cell r="G17">
            <v>3173500</v>
          </cell>
        </row>
        <row r="18">
          <cell r="G18">
            <v>155000</v>
          </cell>
        </row>
        <row r="24">
          <cell r="G24">
            <v>13684000</v>
          </cell>
        </row>
        <row r="25">
          <cell r="G25">
            <v>1356000</v>
          </cell>
        </row>
        <row r="26">
          <cell r="G26">
            <v>503080</v>
          </cell>
        </row>
        <row r="27">
          <cell r="G27">
            <v>398000</v>
          </cell>
        </row>
        <row r="28">
          <cell r="G28">
            <v>0</v>
          </cell>
        </row>
        <row r="29">
          <cell r="G29">
            <v>72000</v>
          </cell>
        </row>
        <row r="30">
          <cell r="G30">
            <v>380000</v>
          </cell>
        </row>
        <row r="33">
          <cell r="G33">
            <v>3115880</v>
          </cell>
        </row>
        <row r="34">
          <cell r="G34">
            <v>50000</v>
          </cell>
        </row>
        <row r="40">
          <cell r="G40">
            <v>541500</v>
          </cell>
        </row>
        <row r="41">
          <cell r="G41">
            <v>95000</v>
          </cell>
        </row>
        <row r="42">
          <cell r="G42">
            <v>240000</v>
          </cell>
        </row>
        <row r="43">
          <cell r="G43">
            <v>825000</v>
          </cell>
        </row>
        <row r="44">
          <cell r="G44">
            <v>100000</v>
          </cell>
        </row>
        <row r="45">
          <cell r="G45">
            <v>150000</v>
          </cell>
        </row>
        <row r="46">
          <cell r="G46">
            <v>140000</v>
          </cell>
        </row>
        <row r="47">
          <cell r="G47">
            <v>2230000</v>
          </cell>
        </row>
        <row r="48">
          <cell r="G48">
            <v>500000</v>
          </cell>
        </row>
        <row r="49">
          <cell r="G49">
            <v>574000</v>
          </cell>
        </row>
        <row r="50">
          <cell r="G50">
            <v>226000</v>
          </cell>
        </row>
        <row r="51">
          <cell r="G51">
            <v>445000</v>
          </cell>
        </row>
        <row r="52">
          <cell r="G52">
            <v>60000</v>
          </cell>
        </row>
        <row r="53">
          <cell r="G53">
            <v>1202599</v>
          </cell>
        </row>
        <row r="54">
          <cell r="G54">
            <v>7000</v>
          </cell>
        </row>
        <row r="56">
          <cell r="G56">
            <v>1270000</v>
          </cell>
        </row>
        <row r="57">
          <cell r="G57">
            <v>304000</v>
          </cell>
        </row>
        <row r="63">
          <cell r="G63">
            <v>2432770</v>
          </cell>
        </row>
        <row r="64">
          <cell r="G64">
            <v>25000</v>
          </cell>
        </row>
        <row r="65">
          <cell r="G65">
            <v>64000</v>
          </cell>
        </row>
        <row r="66">
          <cell r="G66">
            <v>24000</v>
          </cell>
        </row>
        <row r="67">
          <cell r="G67">
            <v>121000</v>
          </cell>
        </row>
        <row r="70">
          <cell r="G70">
            <v>499005</v>
          </cell>
        </row>
        <row r="71">
          <cell r="G71">
            <v>6000</v>
          </cell>
        </row>
        <row r="77">
          <cell r="G77">
            <v>10277001</v>
          </cell>
        </row>
        <row r="78">
          <cell r="G78">
            <v>75000</v>
          </cell>
        </row>
        <row r="79">
          <cell r="G79">
            <v>274000</v>
          </cell>
        </row>
        <row r="80">
          <cell r="G80">
            <v>96000</v>
          </cell>
        </row>
        <row r="81">
          <cell r="G81">
            <v>122000</v>
          </cell>
        </row>
        <row r="84">
          <cell r="G84">
            <v>2073665</v>
          </cell>
        </row>
        <row r="85">
          <cell r="G85">
            <v>0</v>
          </cell>
        </row>
        <row r="89">
          <cell r="C89">
            <v>63710301</v>
          </cell>
          <cell r="D89">
            <v>65109000</v>
          </cell>
          <cell r="E89">
            <v>0</v>
          </cell>
          <cell r="F89">
            <v>100</v>
          </cell>
          <cell r="G89">
            <v>65109000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6653-BE5C-4C51-ACD9-8C7D53F38AE2}">
  <dimension ref="A1:J55"/>
  <sheetViews>
    <sheetView workbookViewId="0">
      <selection activeCell="B18" sqref="B18"/>
    </sheetView>
  </sheetViews>
  <sheetFormatPr defaultRowHeight="12.75" x14ac:dyDescent="0.2"/>
  <cols>
    <col min="1" max="1" width="11.85546875" customWidth="1"/>
    <col min="2" max="2" width="51.5703125" customWidth="1"/>
    <col min="3" max="3" width="19.7109375" customWidth="1"/>
    <col min="4" max="4" width="17.7109375" customWidth="1"/>
    <col min="5" max="5" width="14.7109375" customWidth="1"/>
    <col min="6" max="6" width="12.7109375" customWidth="1"/>
    <col min="7" max="7" width="18.28515625" customWidth="1"/>
    <col min="8" max="8" width="20.140625" customWidth="1"/>
    <col min="9" max="9" width="8.42578125" customWidth="1"/>
    <col min="10" max="10" width="9.7109375" customWidth="1"/>
    <col min="11" max="1025" width="8.42578125" customWidth="1"/>
  </cols>
  <sheetData>
    <row r="1" spans="1:7" x14ac:dyDescent="0.2">
      <c r="G1" s="511" t="s">
        <v>606</v>
      </c>
    </row>
    <row r="2" spans="1:7" ht="15.75" x14ac:dyDescent="0.25">
      <c r="A2" s="832" t="s">
        <v>607</v>
      </c>
      <c r="B2" s="832"/>
      <c r="C2" s="832"/>
      <c r="D2" s="832"/>
      <c r="E2" s="832"/>
      <c r="F2" s="832"/>
      <c r="G2" s="832"/>
    </row>
    <row r="3" spans="1:7" ht="15.75" x14ac:dyDescent="0.25">
      <c r="A3" s="832" t="s">
        <v>243</v>
      </c>
      <c r="B3" s="832"/>
      <c r="C3" s="832"/>
      <c r="D3" s="832"/>
      <c r="E3" s="832"/>
      <c r="F3" s="832"/>
      <c r="G3" s="832"/>
    </row>
    <row r="4" spans="1:7" ht="13.5" thickBot="1" x14ac:dyDescent="0.25">
      <c r="G4" s="158" t="s">
        <v>392</v>
      </c>
    </row>
    <row r="5" spans="1:7" ht="15.75" x14ac:dyDescent="0.25">
      <c r="A5" s="833" t="s">
        <v>1</v>
      </c>
      <c r="B5" s="833"/>
      <c r="C5" s="833"/>
      <c r="D5" s="833"/>
      <c r="E5" s="833"/>
      <c r="F5" s="833"/>
      <c r="G5" s="833"/>
    </row>
    <row r="6" spans="1:7" ht="15.75" customHeight="1" thickBot="1" x14ac:dyDescent="0.25">
      <c r="A6" s="834" t="s">
        <v>394</v>
      </c>
      <c r="B6" s="835" t="s">
        <v>395</v>
      </c>
      <c r="C6" s="836">
        <v>2019</v>
      </c>
      <c r="D6" s="837"/>
      <c r="E6" s="837"/>
      <c r="F6" s="837"/>
      <c r="G6" s="838"/>
    </row>
    <row r="7" spans="1:7" ht="25.5" customHeight="1" thickBot="1" x14ac:dyDescent="0.25">
      <c r="A7" s="834"/>
      <c r="B7" s="835"/>
      <c r="C7" s="512" t="s">
        <v>396</v>
      </c>
      <c r="D7" s="512" t="s">
        <v>599</v>
      </c>
      <c r="E7" s="513" t="s">
        <v>397</v>
      </c>
      <c r="F7" s="513" t="s">
        <v>398</v>
      </c>
      <c r="G7" s="514" t="s">
        <v>608</v>
      </c>
    </row>
    <row r="8" spans="1:7" ht="24.95" customHeight="1" x14ac:dyDescent="0.2">
      <c r="A8" s="515" t="s">
        <v>416</v>
      </c>
      <c r="B8" s="516" t="s">
        <v>340</v>
      </c>
      <c r="C8" s="517">
        <v>68882406</v>
      </c>
      <c r="D8" s="518">
        <v>70891556</v>
      </c>
      <c r="E8" s="518">
        <f>G8-D8</f>
        <v>93326</v>
      </c>
      <c r="F8" s="519">
        <f>G8/D8*100</f>
        <v>100.13164614414727</v>
      </c>
      <c r="G8" s="520">
        <f>'[1]Bevételek COFOG szerint 2019'!G44</f>
        <v>70984882</v>
      </c>
    </row>
    <row r="9" spans="1:7" ht="24.95" customHeight="1" x14ac:dyDescent="0.2">
      <c r="A9" s="521" t="s">
        <v>417</v>
      </c>
      <c r="B9" s="522" t="s">
        <v>341</v>
      </c>
      <c r="C9" s="523">
        <v>43424600</v>
      </c>
      <c r="D9" s="524">
        <v>44593433</v>
      </c>
      <c r="E9" s="518">
        <f t="shared" ref="E9:E13" si="0">G9-D9</f>
        <v>745201</v>
      </c>
      <c r="F9" s="519">
        <f t="shared" ref="F9:F13" si="1">G9/D9*100</f>
        <v>101.67110031649726</v>
      </c>
      <c r="G9" s="525">
        <f>'[1]Bevételek COFOG szerint 2019'!G53+'[1]Bevételek COFOG szerint 2019'!G54</f>
        <v>45338634</v>
      </c>
    </row>
    <row r="10" spans="1:7" ht="24.95" customHeight="1" x14ac:dyDescent="0.2">
      <c r="A10" s="521" t="s">
        <v>418</v>
      </c>
      <c r="B10" s="522" t="s">
        <v>342</v>
      </c>
      <c r="C10" s="523">
        <v>32311987</v>
      </c>
      <c r="D10" s="524">
        <v>33359198</v>
      </c>
      <c r="E10" s="518">
        <f t="shared" si="0"/>
        <v>2761788</v>
      </c>
      <c r="F10" s="519">
        <f t="shared" si="1"/>
        <v>108.27894003926592</v>
      </c>
      <c r="G10" s="525">
        <f>'[1]Bevételek COFOG szerint 2019'!G55</f>
        <v>36120986</v>
      </c>
    </row>
    <row r="11" spans="1:7" ht="24.95" customHeight="1" x14ac:dyDescent="0.2">
      <c r="A11" s="521" t="s">
        <v>419</v>
      </c>
      <c r="B11" s="522" t="s">
        <v>343</v>
      </c>
      <c r="C11" s="523">
        <v>3017740</v>
      </c>
      <c r="D11" s="524">
        <v>3119740</v>
      </c>
      <c r="E11" s="518">
        <f t="shared" si="0"/>
        <v>368329</v>
      </c>
      <c r="F11" s="519">
        <f t="shared" si="1"/>
        <v>111.80640053337778</v>
      </c>
      <c r="G11" s="525">
        <f>'[1]Bevételek COFOG szerint 2019'!G63+'[1]Bevételek COFOG szerint 2019'!G64</f>
        <v>3488069</v>
      </c>
    </row>
    <row r="12" spans="1:7" ht="24.95" customHeight="1" x14ac:dyDescent="0.2">
      <c r="A12" s="526" t="s">
        <v>420</v>
      </c>
      <c r="B12" s="527" t="s">
        <v>427</v>
      </c>
      <c r="C12" s="528">
        <v>0</v>
      </c>
      <c r="D12" s="529">
        <v>11321160</v>
      </c>
      <c r="E12" s="518">
        <f t="shared" si="0"/>
        <v>0</v>
      </c>
      <c r="F12" s="519">
        <f t="shared" si="1"/>
        <v>100</v>
      </c>
      <c r="G12" s="530">
        <f>'[1]Bevételek COFOG szerint 2019'!G65+'[1]Bevételek COFOG szerint 2019'!G66</f>
        <v>11321160</v>
      </c>
    </row>
    <row r="13" spans="1:7" ht="24.95" customHeight="1" thickBot="1" x14ac:dyDescent="0.25">
      <c r="A13" s="531" t="s">
        <v>421</v>
      </c>
      <c r="B13" s="532" t="s">
        <v>422</v>
      </c>
      <c r="C13" s="533">
        <v>0</v>
      </c>
      <c r="D13" s="534">
        <v>329091</v>
      </c>
      <c r="E13" s="518">
        <f t="shared" si="0"/>
        <v>0</v>
      </c>
      <c r="F13" s="519">
        <f t="shared" si="1"/>
        <v>100</v>
      </c>
      <c r="G13" s="535">
        <f>'[1]Bevételek COFOG szerint 2019'!G68</f>
        <v>329091</v>
      </c>
    </row>
    <row r="14" spans="1:7" ht="30" customHeight="1" thickBot="1" x14ac:dyDescent="0.25">
      <c r="A14" s="829" t="s">
        <v>609</v>
      </c>
      <c r="B14" s="829"/>
      <c r="C14" s="536">
        <v>147636733</v>
      </c>
      <c r="D14" s="537">
        <v>163614178</v>
      </c>
      <c r="E14" s="537">
        <f>SUM(E8:E13)</f>
        <v>3968644</v>
      </c>
      <c r="F14" s="538">
        <f>G14/D14*100</f>
        <v>102.42561130613022</v>
      </c>
      <c r="G14" s="539">
        <f>SUM(G8:G13)</f>
        <v>167582822</v>
      </c>
    </row>
    <row r="15" spans="1:7" ht="24.95" customHeight="1" x14ac:dyDescent="0.2">
      <c r="A15" s="515" t="s">
        <v>399</v>
      </c>
      <c r="B15" s="516" t="s">
        <v>400</v>
      </c>
      <c r="C15" s="517">
        <v>0</v>
      </c>
      <c r="D15" s="518">
        <v>273099</v>
      </c>
      <c r="E15" s="518">
        <f>G15-D15</f>
        <v>0</v>
      </c>
      <c r="F15" s="519">
        <f>G15/D15*100</f>
        <v>100</v>
      </c>
      <c r="G15" s="520">
        <f>'[1]Bevételek COFOG szerint 2019'!G11</f>
        <v>273099</v>
      </c>
    </row>
    <row r="16" spans="1:7" ht="24.95" customHeight="1" thickBot="1" x14ac:dyDescent="0.25">
      <c r="A16" s="526" t="s">
        <v>401</v>
      </c>
      <c r="B16" s="527" t="s">
        <v>344</v>
      </c>
      <c r="C16" s="528">
        <v>5136000</v>
      </c>
      <c r="D16" s="529">
        <v>35898238</v>
      </c>
      <c r="E16" s="518">
        <f>G16-D16</f>
        <v>7630227</v>
      </c>
      <c r="F16" s="519">
        <f>G16/D16*100</f>
        <v>121.25515742583244</v>
      </c>
      <c r="G16" s="530">
        <f>'[1]Bevételek COFOG szerint 2019'!G69+'[1]Bevételek COFOG szerint 2019'!G82+'[1]Bevételek COFOG szerint 2019'!G87+'[1]Bevételek COFOG szerint 2019'!G108+'[1]Bevételek COFOG szerint 2019'!G113+'[1]Bevételek COFOG szerint 2019'!G155+'[1]Bevételek COFOG szerint 2019'!G104</f>
        <v>43528465</v>
      </c>
    </row>
    <row r="17" spans="1:7" ht="30" customHeight="1" thickBot="1" x14ac:dyDescent="0.25">
      <c r="A17" s="839" t="s">
        <v>610</v>
      </c>
      <c r="B17" s="839"/>
      <c r="C17" s="540">
        <v>5136000</v>
      </c>
      <c r="D17" s="541">
        <v>36171337</v>
      </c>
      <c r="E17" s="541">
        <f>SUM(E15:E16)</f>
        <v>7630227</v>
      </c>
      <c r="F17" s="542">
        <f>G17/D17*100</f>
        <v>121.09467781077596</v>
      </c>
      <c r="G17" s="543">
        <f>SUM(G15:G16)</f>
        <v>43801564</v>
      </c>
    </row>
    <row r="18" spans="1:7" ht="36.75" customHeight="1" thickBot="1" x14ac:dyDescent="0.25">
      <c r="A18" s="544" t="s">
        <v>431</v>
      </c>
      <c r="B18" s="545" t="s">
        <v>432</v>
      </c>
      <c r="C18" s="546">
        <v>0</v>
      </c>
      <c r="D18" s="547">
        <v>6180000</v>
      </c>
      <c r="E18" s="547">
        <f>G18-D18</f>
        <v>0</v>
      </c>
      <c r="F18" s="548">
        <f>G18/D18*100</f>
        <v>100</v>
      </c>
      <c r="G18" s="549">
        <f>'[1]Bevételek COFOG szerint 2019'!G118</f>
        <v>6180000</v>
      </c>
    </row>
    <row r="19" spans="1:7" ht="30" customHeight="1" thickBot="1" x14ac:dyDescent="0.25">
      <c r="A19" s="829" t="s">
        <v>611</v>
      </c>
      <c r="B19" s="829"/>
      <c r="C19" s="536">
        <v>0</v>
      </c>
      <c r="D19" s="537">
        <v>6180000</v>
      </c>
      <c r="E19" s="537">
        <f>E18</f>
        <v>0</v>
      </c>
      <c r="F19" s="550"/>
      <c r="G19" s="539">
        <f>G18</f>
        <v>6180000</v>
      </c>
    </row>
    <row r="20" spans="1:7" ht="24.95" customHeight="1" x14ac:dyDescent="0.2">
      <c r="A20" s="521" t="s">
        <v>434</v>
      </c>
      <c r="B20" s="522" t="s">
        <v>345</v>
      </c>
      <c r="C20" s="523">
        <v>6000000</v>
      </c>
      <c r="D20" s="524">
        <v>6000000</v>
      </c>
      <c r="E20" s="518">
        <f t="shared" ref="E20:E28" si="2">G20-D20</f>
        <v>0</v>
      </c>
      <c r="F20" s="519">
        <f t="shared" ref="F20:F27" si="3">G20/D20*100</f>
        <v>100</v>
      </c>
      <c r="G20" s="525">
        <f>'[1]Bevételek COFOG szerint 2019'!G141</f>
        <v>6000000</v>
      </c>
    </row>
    <row r="21" spans="1:7" ht="24.95" customHeight="1" x14ac:dyDescent="0.2">
      <c r="A21" s="521" t="s">
        <v>435</v>
      </c>
      <c r="B21" s="522" t="s">
        <v>346</v>
      </c>
      <c r="C21" s="523">
        <v>67000000</v>
      </c>
      <c r="D21" s="524">
        <v>67000000</v>
      </c>
      <c r="E21" s="518">
        <f t="shared" si="2"/>
        <v>28470000</v>
      </c>
      <c r="F21" s="519">
        <f t="shared" si="3"/>
        <v>142.49253731343282</v>
      </c>
      <c r="G21" s="525">
        <f>'[1]Bevételek COFOG szerint 2019'!G142</f>
        <v>95470000</v>
      </c>
    </row>
    <row r="22" spans="1:7" ht="24.95" customHeight="1" x14ac:dyDescent="0.2">
      <c r="A22" s="521" t="s">
        <v>436</v>
      </c>
      <c r="B22" s="522" t="s">
        <v>347</v>
      </c>
      <c r="C22" s="523">
        <v>6000000</v>
      </c>
      <c r="D22" s="524">
        <v>6000000</v>
      </c>
      <c r="E22" s="518">
        <f t="shared" si="2"/>
        <v>1238050</v>
      </c>
      <c r="F22" s="519">
        <f t="shared" si="3"/>
        <v>120.63416666666666</v>
      </c>
      <c r="G22" s="525">
        <f>'[1]Bevételek COFOG szerint 2019'!G143</f>
        <v>7238050</v>
      </c>
    </row>
    <row r="23" spans="1:7" ht="24.95" customHeight="1" x14ac:dyDescent="0.2">
      <c r="A23" s="521" t="s">
        <v>612</v>
      </c>
      <c r="B23" s="522" t="s">
        <v>348</v>
      </c>
      <c r="C23" s="523">
        <v>300000</v>
      </c>
      <c r="D23" s="524">
        <v>300000</v>
      </c>
      <c r="E23" s="518">
        <f t="shared" si="2"/>
        <v>0</v>
      </c>
      <c r="F23" s="519">
        <f t="shared" si="3"/>
        <v>100</v>
      </c>
      <c r="G23" s="525">
        <f>'[1]Bevételek COFOG szerint 2019'!G144</f>
        <v>300000</v>
      </c>
    </row>
    <row r="24" spans="1:7" ht="24.95" customHeight="1" x14ac:dyDescent="0.2">
      <c r="A24" s="521" t="s">
        <v>437</v>
      </c>
      <c r="B24" s="522" t="s">
        <v>350</v>
      </c>
      <c r="C24" s="523">
        <v>0</v>
      </c>
      <c r="D24" s="524">
        <v>0</v>
      </c>
      <c r="E24" s="518">
        <f t="shared" si="2"/>
        <v>0</v>
      </c>
      <c r="F24" s="519"/>
      <c r="G24" s="525">
        <v>0</v>
      </c>
    </row>
    <row r="25" spans="1:7" ht="24.95" customHeight="1" x14ac:dyDescent="0.2">
      <c r="A25" s="521" t="s">
        <v>438</v>
      </c>
      <c r="B25" s="522" t="s">
        <v>439</v>
      </c>
      <c r="C25" s="523">
        <v>0</v>
      </c>
      <c r="D25" s="524">
        <v>0</v>
      </c>
      <c r="E25" s="518">
        <f t="shared" si="2"/>
        <v>0</v>
      </c>
      <c r="F25" s="519"/>
      <c r="G25" s="525">
        <f>'[1]Bevételek COFOG szerint 2019'!G10</f>
        <v>0</v>
      </c>
    </row>
    <row r="26" spans="1:7" ht="24.95" customHeight="1" x14ac:dyDescent="0.2">
      <c r="A26" s="521" t="s">
        <v>440</v>
      </c>
      <c r="B26" s="522" t="s">
        <v>441</v>
      </c>
      <c r="C26" s="523">
        <v>0</v>
      </c>
      <c r="D26" s="524">
        <v>0</v>
      </c>
      <c r="E26" s="518">
        <f t="shared" si="2"/>
        <v>0</v>
      </c>
      <c r="F26" s="519"/>
      <c r="G26" s="525">
        <v>0</v>
      </c>
    </row>
    <row r="27" spans="1:7" ht="24.95" customHeight="1" x14ac:dyDescent="0.2">
      <c r="A27" s="521" t="s">
        <v>442</v>
      </c>
      <c r="B27" s="522" t="s">
        <v>443</v>
      </c>
      <c r="C27" s="523">
        <v>200000</v>
      </c>
      <c r="D27" s="524">
        <v>200000</v>
      </c>
      <c r="E27" s="518">
        <f t="shared" si="2"/>
        <v>0</v>
      </c>
      <c r="F27" s="519">
        <f t="shared" si="3"/>
        <v>100</v>
      </c>
      <c r="G27" s="525">
        <f>'[1]Bevételek COFOG szerint 2019'!G147</f>
        <v>200000</v>
      </c>
    </row>
    <row r="28" spans="1:7" ht="24.95" customHeight="1" thickBot="1" x14ac:dyDescent="0.25">
      <c r="A28" s="526" t="s">
        <v>613</v>
      </c>
      <c r="B28" s="527" t="s">
        <v>403</v>
      </c>
      <c r="C28" s="528">
        <v>0</v>
      </c>
      <c r="D28" s="529">
        <v>0</v>
      </c>
      <c r="E28" s="518">
        <f t="shared" si="2"/>
        <v>0</v>
      </c>
      <c r="F28" s="519"/>
      <c r="G28" s="530">
        <v>0</v>
      </c>
    </row>
    <row r="29" spans="1:7" ht="24.95" customHeight="1" thickBot="1" x14ac:dyDescent="0.25">
      <c r="A29" s="829" t="s">
        <v>614</v>
      </c>
      <c r="B29" s="829"/>
      <c r="C29" s="536">
        <v>79500000</v>
      </c>
      <c r="D29" s="551">
        <v>79500000</v>
      </c>
      <c r="E29" s="551">
        <f>SUM(E20:E28)</f>
        <v>29708050</v>
      </c>
      <c r="F29" s="552">
        <f>G29/D29*100</f>
        <v>137.36861635220126</v>
      </c>
      <c r="G29" s="553">
        <f>SUM(G20:G28)</f>
        <v>109208050</v>
      </c>
    </row>
    <row r="30" spans="1:7" ht="24.95" customHeight="1" x14ac:dyDescent="0.2">
      <c r="A30" s="515" t="s">
        <v>404</v>
      </c>
      <c r="B30" s="516" t="s">
        <v>218</v>
      </c>
      <c r="C30" s="517">
        <v>100000</v>
      </c>
      <c r="D30" s="524">
        <v>100000</v>
      </c>
      <c r="E30" s="518">
        <f>G30-D30</f>
        <v>0</v>
      </c>
      <c r="F30" s="519">
        <f>G30/D30*100</f>
        <v>100</v>
      </c>
      <c r="G30" s="525">
        <v>100000</v>
      </c>
    </row>
    <row r="31" spans="1:7" ht="24.95" customHeight="1" x14ac:dyDescent="0.2">
      <c r="A31" s="515" t="s">
        <v>615</v>
      </c>
      <c r="B31" s="516" t="s">
        <v>351</v>
      </c>
      <c r="C31" s="517">
        <v>250000</v>
      </c>
      <c r="D31" s="524">
        <v>250000</v>
      </c>
      <c r="E31" s="518">
        <f t="shared" ref="E31:E39" si="4">G31-D31</f>
        <v>0</v>
      </c>
      <c r="F31" s="519">
        <f t="shared" ref="F31:F39" si="5">G31/D31*100</f>
        <v>100</v>
      </c>
      <c r="G31" s="525">
        <v>250000</v>
      </c>
    </row>
    <row r="32" spans="1:7" ht="24.95" customHeight="1" x14ac:dyDescent="0.2">
      <c r="A32" s="515" t="s">
        <v>405</v>
      </c>
      <c r="B32" s="516" t="s">
        <v>352</v>
      </c>
      <c r="C32" s="517">
        <v>300000</v>
      </c>
      <c r="D32" s="524">
        <v>300000</v>
      </c>
      <c r="E32" s="518">
        <f t="shared" si="4"/>
        <v>0</v>
      </c>
      <c r="F32" s="519">
        <f t="shared" si="5"/>
        <v>100</v>
      </c>
      <c r="G32" s="525">
        <f>'[1]Bevételek COFOG szerint 2019'!G16</f>
        <v>300000</v>
      </c>
    </row>
    <row r="33" spans="1:9" ht="24.95" customHeight="1" x14ac:dyDescent="0.2">
      <c r="A33" s="521" t="s">
        <v>406</v>
      </c>
      <c r="B33" s="522" t="s">
        <v>353</v>
      </c>
      <c r="C33" s="523">
        <v>47097000</v>
      </c>
      <c r="D33" s="524">
        <v>54287420</v>
      </c>
      <c r="E33" s="518">
        <f t="shared" si="4"/>
        <v>0</v>
      </c>
      <c r="F33" s="519">
        <f t="shared" si="5"/>
        <v>100</v>
      </c>
      <c r="G33" s="525">
        <f>'[1]Bevételek COFOG szerint 2019'!G17+'[1]Bevételek COFOG szerint 2019'!G38+'[1]Bevételek COFOG szerint 2019'!G97</f>
        <v>54287420</v>
      </c>
      <c r="I33" s="155"/>
    </row>
    <row r="34" spans="1:9" ht="24.95" customHeight="1" x14ac:dyDescent="0.2">
      <c r="A34" s="521" t="s">
        <v>433</v>
      </c>
      <c r="B34" s="522" t="s">
        <v>354</v>
      </c>
      <c r="C34" s="523">
        <v>4753311</v>
      </c>
      <c r="D34" s="524">
        <v>4753311</v>
      </c>
      <c r="E34" s="518">
        <f t="shared" si="4"/>
        <v>0</v>
      </c>
      <c r="F34" s="519">
        <f t="shared" si="5"/>
        <v>100</v>
      </c>
      <c r="G34" s="525">
        <f>'[1]Bevételek COFOG szerint 2019'!G123+'[1]Bevételek COFOG szerint 2019'!G129+'[1]Bevételek COFOG szerint 2019'!G135</f>
        <v>4753311</v>
      </c>
    </row>
    <row r="35" spans="1:9" ht="24.95" customHeight="1" x14ac:dyDescent="0.2">
      <c r="A35" s="521" t="s">
        <v>430</v>
      </c>
      <c r="B35" s="522" t="s">
        <v>355</v>
      </c>
      <c r="C35" s="523">
        <v>1283393.9700000002</v>
      </c>
      <c r="D35" s="524">
        <v>5170401</v>
      </c>
      <c r="E35" s="518">
        <f t="shared" si="4"/>
        <v>0</v>
      </c>
      <c r="F35" s="519">
        <f t="shared" si="5"/>
        <v>100</v>
      </c>
      <c r="G35" s="525">
        <f>'[1]Bevételek COFOG szerint 2019'!G98+'[1]Bevételek COFOG szerint 2019'!G124+'[1]Bevételek COFOG szerint 2019'!G130+'[1]Bevételek COFOG szerint 2019'!G136</f>
        <v>5170401</v>
      </c>
    </row>
    <row r="36" spans="1:9" ht="24.95" customHeight="1" x14ac:dyDescent="0.2">
      <c r="A36" s="521" t="s">
        <v>407</v>
      </c>
      <c r="B36" s="522" t="s">
        <v>356</v>
      </c>
      <c r="C36" s="523">
        <v>500000</v>
      </c>
      <c r="D36" s="524">
        <v>500000</v>
      </c>
      <c r="E36" s="518">
        <f t="shared" si="4"/>
        <v>0</v>
      </c>
      <c r="F36" s="519">
        <f t="shared" si="5"/>
        <v>100</v>
      </c>
      <c r="G36" s="525">
        <f>'[1]Bevételek COFOG szerint 2019'!G20</f>
        <v>500000</v>
      </c>
    </row>
    <row r="37" spans="1:9" ht="24.95" customHeight="1" x14ac:dyDescent="0.2">
      <c r="A37" s="521" t="s">
        <v>408</v>
      </c>
      <c r="B37" s="522" t="s">
        <v>357</v>
      </c>
      <c r="C37" s="523">
        <v>200000</v>
      </c>
      <c r="D37" s="524">
        <v>200000</v>
      </c>
      <c r="E37" s="518">
        <f t="shared" si="4"/>
        <v>0</v>
      </c>
      <c r="F37" s="519">
        <f t="shared" si="5"/>
        <v>100</v>
      </c>
      <c r="G37" s="525">
        <f>'[1]Bevételek COFOG szerint 2019'!G21</f>
        <v>200000</v>
      </c>
    </row>
    <row r="38" spans="1:9" ht="24.95" customHeight="1" x14ac:dyDescent="0.2">
      <c r="A38" s="521" t="s">
        <v>409</v>
      </c>
      <c r="B38" s="522" t="s">
        <v>410</v>
      </c>
      <c r="C38" s="523">
        <v>1440000</v>
      </c>
      <c r="D38" s="524">
        <v>1440000</v>
      </c>
      <c r="E38" s="518">
        <f t="shared" si="4"/>
        <v>0</v>
      </c>
      <c r="F38" s="519">
        <f t="shared" si="5"/>
        <v>100</v>
      </c>
      <c r="G38" s="525">
        <f>'[1]Bevételek COFOG szerint 2019'!G39</f>
        <v>1440000</v>
      </c>
    </row>
    <row r="39" spans="1:9" ht="24.95" customHeight="1" thickBot="1" x14ac:dyDescent="0.25">
      <c r="A39" s="531" t="s">
        <v>444</v>
      </c>
      <c r="B39" s="554" t="s">
        <v>445</v>
      </c>
      <c r="C39" s="555">
        <v>0</v>
      </c>
      <c r="D39" s="534">
        <v>3000</v>
      </c>
      <c r="E39" s="518">
        <f t="shared" si="4"/>
        <v>0</v>
      </c>
      <c r="F39" s="519">
        <f t="shared" si="5"/>
        <v>100</v>
      </c>
      <c r="G39" s="535">
        <f>'[1]Bevételek COFOG szerint 2019'!G22</f>
        <v>3000</v>
      </c>
    </row>
    <row r="40" spans="1:9" ht="30" customHeight="1" thickBot="1" x14ac:dyDescent="0.25">
      <c r="A40" s="829" t="s">
        <v>616</v>
      </c>
      <c r="B40" s="829"/>
      <c r="C40" s="536">
        <v>55923704.969999999</v>
      </c>
      <c r="D40" s="551">
        <v>67004132</v>
      </c>
      <c r="E40" s="551">
        <f>SUM(E30:E39)</f>
        <v>0</v>
      </c>
      <c r="F40" s="552">
        <f>G40/D40*100</f>
        <v>100</v>
      </c>
      <c r="G40" s="553">
        <f>SUM(G30:G39)</f>
        <v>67004132</v>
      </c>
    </row>
    <row r="41" spans="1:9" ht="24.95" customHeight="1" x14ac:dyDescent="0.2">
      <c r="A41" s="515" t="s">
        <v>411</v>
      </c>
      <c r="B41" s="516" t="s">
        <v>412</v>
      </c>
      <c r="C41" s="517">
        <v>0</v>
      </c>
      <c r="D41" s="524">
        <v>53827200</v>
      </c>
      <c r="E41" s="518">
        <f t="shared" ref="E41:E47" si="6">G41-D41</f>
        <v>0</v>
      </c>
      <c r="F41" s="519">
        <f>G41/D41*100</f>
        <v>100</v>
      </c>
      <c r="G41" s="525">
        <f>'[1]Bevételek COFOG szerint 2019'!G24</f>
        <v>53827200</v>
      </c>
    </row>
    <row r="42" spans="1:9" ht="24.95" customHeight="1" x14ac:dyDescent="0.2">
      <c r="A42" s="515" t="s">
        <v>617</v>
      </c>
      <c r="B42" s="516" t="s">
        <v>618</v>
      </c>
      <c r="C42" s="517">
        <v>26000000</v>
      </c>
      <c r="D42" s="524">
        <v>0</v>
      </c>
      <c r="E42" s="518">
        <f t="shared" si="6"/>
        <v>0</v>
      </c>
      <c r="F42" s="519"/>
      <c r="G42" s="525">
        <v>0</v>
      </c>
    </row>
    <row r="43" spans="1:9" ht="24.95" customHeight="1" x14ac:dyDescent="0.2">
      <c r="A43" s="521" t="s">
        <v>413</v>
      </c>
      <c r="B43" s="522" t="s">
        <v>414</v>
      </c>
      <c r="C43" s="523">
        <v>0</v>
      </c>
      <c r="D43" s="524">
        <v>277000</v>
      </c>
      <c r="E43" s="518">
        <f t="shared" si="6"/>
        <v>100000</v>
      </c>
      <c r="F43" s="519">
        <f t="shared" ref="F43:F44" si="7">G43/D43*100</f>
        <v>136.10108303249098</v>
      </c>
      <c r="G43" s="525">
        <f>'[1]Bevételek COFOG szerint 2019'!G31</f>
        <v>377000</v>
      </c>
    </row>
    <row r="44" spans="1:9" ht="24.95" customHeight="1" x14ac:dyDescent="0.2">
      <c r="A44" s="521" t="s">
        <v>415</v>
      </c>
      <c r="B44" s="522" t="s">
        <v>619</v>
      </c>
      <c r="C44" s="523">
        <v>220000</v>
      </c>
      <c r="D44" s="524">
        <v>220000</v>
      </c>
      <c r="E44" s="518">
        <f t="shared" si="6"/>
        <v>0</v>
      </c>
      <c r="F44" s="519">
        <f t="shared" si="7"/>
        <v>100</v>
      </c>
      <c r="G44" s="525">
        <f>'[1]Bevételek COFOG szerint 2019'!G33</f>
        <v>220000</v>
      </c>
    </row>
    <row r="45" spans="1:9" ht="24.95" customHeight="1" x14ac:dyDescent="0.2">
      <c r="A45" s="526" t="s">
        <v>620</v>
      </c>
      <c r="B45" s="527" t="s">
        <v>621</v>
      </c>
      <c r="C45" s="528">
        <v>0</v>
      </c>
      <c r="D45" s="524">
        <v>0</v>
      </c>
      <c r="E45" s="518">
        <f t="shared" si="6"/>
        <v>0</v>
      </c>
      <c r="F45" s="519"/>
      <c r="G45" s="525">
        <v>0</v>
      </c>
    </row>
    <row r="46" spans="1:9" ht="24.95" customHeight="1" x14ac:dyDescent="0.2">
      <c r="A46" s="526" t="s">
        <v>423</v>
      </c>
      <c r="B46" s="556" t="s">
        <v>424</v>
      </c>
      <c r="C46" s="528">
        <v>0</v>
      </c>
      <c r="D46" s="524">
        <v>0</v>
      </c>
      <c r="E46" s="518">
        <f t="shared" si="6"/>
        <v>118000</v>
      </c>
      <c r="F46" s="519"/>
      <c r="G46" s="525">
        <f>'[1]Bevételek COFOG szerint 2019'!G70</f>
        <v>118000</v>
      </c>
    </row>
    <row r="47" spans="1:9" ht="39" customHeight="1" thickBot="1" x14ac:dyDescent="0.25">
      <c r="A47" s="526" t="s">
        <v>402</v>
      </c>
      <c r="B47" s="527" t="s">
        <v>622</v>
      </c>
      <c r="C47" s="528">
        <v>0</v>
      </c>
      <c r="D47" s="524">
        <v>0</v>
      </c>
      <c r="E47" s="518">
        <f t="shared" si="6"/>
        <v>48529410</v>
      </c>
      <c r="F47" s="519"/>
      <c r="G47" s="525">
        <f>'[1]Bevételek COFOG szerint 2019'!G93</f>
        <v>48529410</v>
      </c>
    </row>
    <row r="48" spans="1:9" ht="28.5" customHeight="1" thickBot="1" x14ac:dyDescent="0.25">
      <c r="A48" s="830" t="s">
        <v>623</v>
      </c>
      <c r="B48" s="830"/>
      <c r="C48" s="557">
        <v>26220000</v>
      </c>
      <c r="D48" s="551">
        <v>54324200</v>
      </c>
      <c r="E48" s="551">
        <f>SUM(E41:E47)</f>
        <v>48747410</v>
      </c>
      <c r="F48" s="552">
        <f>G48/D48*100</f>
        <v>189.7342436704084</v>
      </c>
      <c r="G48" s="553">
        <f>SUM(G41:G47)</f>
        <v>103071610</v>
      </c>
    </row>
    <row r="49" spans="1:10" ht="30" customHeight="1" thickBot="1" x14ac:dyDescent="0.25">
      <c r="A49" s="558" t="s">
        <v>428</v>
      </c>
      <c r="B49" s="559" t="s">
        <v>429</v>
      </c>
      <c r="C49" s="560">
        <v>111000000</v>
      </c>
      <c r="D49" s="561">
        <v>112562520</v>
      </c>
      <c r="E49" s="561">
        <f>G49-D49</f>
        <v>0</v>
      </c>
      <c r="F49" s="562">
        <f>G49/D49*100</f>
        <v>100</v>
      </c>
      <c r="G49" s="563">
        <f>'[1]Bevételek COFOG szerint 2019'!G77</f>
        <v>112562520</v>
      </c>
    </row>
    <row r="50" spans="1:10" ht="30" customHeight="1" thickBot="1" x14ac:dyDescent="0.25">
      <c r="A50" s="564" t="s">
        <v>425</v>
      </c>
      <c r="B50" s="565" t="s">
        <v>624</v>
      </c>
      <c r="C50" s="566">
        <v>0</v>
      </c>
      <c r="D50" s="567">
        <v>684633</v>
      </c>
      <c r="E50" s="561">
        <f>G50-D50</f>
        <v>6037241</v>
      </c>
      <c r="F50" s="562">
        <f>G50/D50*100</f>
        <v>981.82150144676064</v>
      </c>
      <c r="G50" s="568">
        <f>'[1]Bevételek COFOG szerint 2019'!G71</f>
        <v>6721874</v>
      </c>
    </row>
    <row r="51" spans="1:10" ht="24.95" customHeight="1" thickBot="1" x14ac:dyDescent="0.25">
      <c r="A51" s="831" t="s">
        <v>601</v>
      </c>
      <c r="B51" s="831"/>
      <c r="C51" s="569">
        <v>425416437.97000003</v>
      </c>
      <c r="D51" s="570">
        <v>520041000</v>
      </c>
      <c r="E51" s="570">
        <f>E14+E17+E19+E29+E40+E48+E49+E50</f>
        <v>96091572</v>
      </c>
      <c r="F51" s="571">
        <f>G51/D51*100</f>
        <v>118.47769156662649</v>
      </c>
      <c r="G51" s="572">
        <f>G14+G17+G19+G29+G40+G48+G49+G50</f>
        <v>616132572</v>
      </c>
      <c r="J51" s="3"/>
    </row>
    <row r="54" spans="1:10" x14ac:dyDescent="0.2">
      <c r="B54" s="508"/>
      <c r="C54" s="508"/>
    </row>
    <row r="55" spans="1:10" x14ac:dyDescent="0.2">
      <c r="B55" s="157" t="s">
        <v>625</v>
      </c>
      <c r="C55" s="573">
        <f>C51-'[1]Bevételek COFOG szerint 2019'!C158</f>
        <v>-2.9999971389770508E-2</v>
      </c>
      <c r="D55" s="573">
        <f>D51-'[1]Bevételek COFOG szerint 2019'!D158</f>
        <v>0</v>
      </c>
      <c r="E55" s="573">
        <f>E51-'[1]Bevételek COFOG szerint 2019'!E158</f>
        <v>0</v>
      </c>
      <c r="F55" s="573">
        <f>F51-'[1]Bevételek COFOG szerint 2019'!F158</f>
        <v>0</v>
      </c>
      <c r="G55" s="573">
        <f>G51-'[1]Bevételek COFOG szerint 2019'!G158</f>
        <v>0</v>
      </c>
    </row>
  </sheetData>
  <mergeCells count="13">
    <mergeCell ref="A19:B19"/>
    <mergeCell ref="A29:B29"/>
    <mergeCell ref="A48:B48"/>
    <mergeCell ref="A51:B51"/>
    <mergeCell ref="A2:G2"/>
    <mergeCell ref="A3:G3"/>
    <mergeCell ref="A5:G5"/>
    <mergeCell ref="A6:A7"/>
    <mergeCell ref="B6:B7"/>
    <mergeCell ref="C6:G6"/>
    <mergeCell ref="A14:B14"/>
    <mergeCell ref="A17:B17"/>
    <mergeCell ref="A40:B4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27"/>
  <sheetViews>
    <sheetView topLeftCell="A4" workbookViewId="0">
      <selection activeCell="B22" sqref="B22"/>
    </sheetView>
  </sheetViews>
  <sheetFormatPr defaultRowHeight="12.75" x14ac:dyDescent="0.2"/>
  <cols>
    <col min="1" max="1" width="49.85546875" bestFit="1" customWidth="1"/>
    <col min="2" max="4" width="12.7109375" customWidth="1"/>
    <col min="5" max="5" width="46.42578125" customWidth="1"/>
    <col min="6" max="8" width="12.7109375" customWidth="1"/>
    <col min="9" max="9" width="12.5703125" bestFit="1" customWidth="1"/>
    <col min="10" max="10" width="13.7109375" bestFit="1" customWidth="1"/>
  </cols>
  <sheetData>
    <row r="1" spans="1:9" ht="15" customHeight="1" x14ac:dyDescent="0.2">
      <c r="A1" s="910" t="s">
        <v>375</v>
      </c>
      <c r="B1" s="910"/>
      <c r="C1" s="910"/>
      <c r="D1" s="910"/>
      <c r="E1" s="910"/>
      <c r="F1" s="910"/>
      <c r="G1" s="910"/>
      <c r="H1" s="910"/>
    </row>
    <row r="2" spans="1:9" ht="15.75" customHeight="1" x14ac:dyDescent="0.2">
      <c r="B2" s="919"/>
      <c r="C2" s="920"/>
      <c r="D2" s="920"/>
      <c r="E2" s="920"/>
      <c r="F2" s="920"/>
      <c r="G2" s="6"/>
      <c r="H2" s="6"/>
      <c r="I2" s="6"/>
    </row>
    <row r="3" spans="1:9" s="1" customFormat="1" ht="16.5" customHeight="1" x14ac:dyDescent="0.25">
      <c r="A3" s="917" t="s">
        <v>243</v>
      </c>
      <c r="B3" s="917"/>
      <c r="C3" s="917"/>
      <c r="D3" s="917"/>
      <c r="E3" s="917"/>
      <c r="F3" s="917"/>
      <c r="G3" s="917"/>
      <c r="H3" s="917"/>
    </row>
    <row r="4" spans="1:9" ht="24" customHeight="1" x14ac:dyDescent="0.2">
      <c r="A4" s="918" t="s">
        <v>370</v>
      </c>
      <c r="B4" s="918"/>
      <c r="C4" s="918"/>
      <c r="D4" s="918"/>
      <c r="E4" s="918"/>
      <c r="F4" s="918"/>
      <c r="G4" s="918"/>
      <c r="H4" s="918"/>
    </row>
    <row r="5" spans="1:9" ht="23.25" customHeight="1" thickBot="1" x14ac:dyDescent="0.3">
      <c r="A5" s="121"/>
      <c r="B5" s="121"/>
      <c r="C5" s="121"/>
      <c r="D5" s="121"/>
      <c r="E5" s="121"/>
      <c r="G5" s="4"/>
      <c r="H5" s="1" t="s">
        <v>11</v>
      </c>
    </row>
    <row r="6" spans="1:9" ht="27" customHeight="1" thickBot="1" x14ac:dyDescent="0.25">
      <c r="A6" s="913" t="s">
        <v>1</v>
      </c>
      <c r="B6" s="914"/>
      <c r="C6" s="914"/>
      <c r="D6" s="915"/>
      <c r="E6" s="916" t="s">
        <v>2</v>
      </c>
      <c r="F6" s="914"/>
      <c r="G6" s="914"/>
      <c r="H6" s="915"/>
    </row>
    <row r="7" spans="1:9" ht="27" customHeight="1" thickBot="1" x14ac:dyDescent="0.3">
      <c r="A7" s="216"/>
      <c r="B7" s="476" t="s">
        <v>299</v>
      </c>
      <c r="C7" s="480" t="s">
        <v>300</v>
      </c>
      <c r="D7" s="476" t="s">
        <v>301</v>
      </c>
      <c r="E7" s="217"/>
      <c r="F7" s="476" t="s">
        <v>299</v>
      </c>
      <c r="G7" s="480" t="s">
        <v>300</v>
      </c>
      <c r="H7" s="476" t="s">
        <v>301</v>
      </c>
    </row>
    <row r="8" spans="1:9" ht="20.100000000000001" customHeight="1" x14ac:dyDescent="0.25">
      <c r="A8" s="122" t="s">
        <v>302</v>
      </c>
      <c r="B8" s="477">
        <f>C8+D8</f>
        <v>167582.82199999999</v>
      </c>
      <c r="C8" s="475">
        <f>'Önk.bev.'!G14/1000</f>
        <v>167582.82199999999</v>
      </c>
      <c r="D8" s="477">
        <v>0</v>
      </c>
      <c r="E8" s="149" t="s">
        <v>196</v>
      </c>
      <c r="F8" s="123">
        <f>G8+H8</f>
        <v>159683.06099999999</v>
      </c>
      <c r="G8" s="765">
        <f>('Önk.kiad.'!G19+'Hiv.kiad.'!G21+'Művh.kiad.'!G15+Ovikiad.!G16)/1000-H8</f>
        <v>152590.78099999999</v>
      </c>
      <c r="H8" s="486">
        <f>('Önk.kiad.'!G17+'Önk.kiad.'!G18+'Hiv.kiad.'!G19+'Hiv.kiad.'!G20+'Művh.kiad.'!G14+Ovikiad.!G15)/1000</f>
        <v>7092.28</v>
      </c>
    </row>
    <row r="9" spans="1:9" ht="20.100000000000001" customHeight="1" x14ac:dyDescent="0.25">
      <c r="A9" s="807" t="s">
        <v>205</v>
      </c>
      <c r="B9" s="477">
        <f t="shared" ref="B9:B11" si="0">C9+D9</f>
        <v>50427.756000000001</v>
      </c>
      <c r="C9" s="808">
        <f>('Önk.bev.'!G17+'Hiv.bev.'!G17+'Hiv.bev.'!G24)/1000</f>
        <v>50427.756000000001</v>
      </c>
      <c r="D9" s="809">
        <v>0</v>
      </c>
      <c r="E9" s="810" t="s">
        <v>197</v>
      </c>
      <c r="F9" s="123">
        <f t="shared" ref="F9:F15" si="1">G9+H9</f>
        <v>29714.986000000001</v>
      </c>
      <c r="G9" s="811">
        <f>('Hiv.kiad.'!G24+'Művh.kiad.'!G18+Ovikiad.!G19+'Önk.kiad.'!G22)/1000-H9</f>
        <v>28473.837</v>
      </c>
      <c r="H9" s="812">
        <f>H8*0.175</f>
        <v>1241.1489999999999</v>
      </c>
    </row>
    <row r="10" spans="1:9" ht="20.100000000000001" customHeight="1" x14ac:dyDescent="0.25">
      <c r="A10" s="807" t="s">
        <v>206</v>
      </c>
      <c r="B10" s="477">
        <f t="shared" si="0"/>
        <v>109208.05</v>
      </c>
      <c r="C10" s="808">
        <f>'Önk.bev.'!G29/1000</f>
        <v>109208.05</v>
      </c>
      <c r="D10" s="809">
        <v>0</v>
      </c>
      <c r="E10" s="810" t="s">
        <v>198</v>
      </c>
      <c r="F10" s="123">
        <f t="shared" si="1"/>
        <v>89762.506930000003</v>
      </c>
      <c r="G10" s="811">
        <f>('Önk.kiad.'!G52+'Hiv.kiad.'!G34+'Művh.kiad.'!G29+Ovikiad.!G31)/1000-H10</f>
        <v>87762.506930000003</v>
      </c>
      <c r="H10" s="812">
        <f>2000000/1000</f>
        <v>2000</v>
      </c>
    </row>
    <row r="11" spans="1:9" ht="20.100000000000001" customHeight="1" x14ac:dyDescent="0.25">
      <c r="A11" s="807" t="s">
        <v>207</v>
      </c>
      <c r="B11" s="477">
        <f t="shared" si="0"/>
        <v>68599.671000000002</v>
      </c>
      <c r="C11" s="808">
        <f>('Önk.bev.'!G40+'Hiv.bev.'!G18+'Hiv.bev.'!G19+'Művh.bev.'!G19+Ovibev.!G20)/1000-D11</f>
        <v>66306.671000000002</v>
      </c>
      <c r="D11" s="809">
        <f>('Önk.bev.'!G30+'Önk.bev.'!G31+'Önk.bev.'!G32+'Önk.bev.'!G37+'Önk.bev.'!G38+'Önk.bev.'!G39)/1000</f>
        <v>2293</v>
      </c>
      <c r="E11" s="810" t="s">
        <v>199</v>
      </c>
      <c r="F11" s="123">
        <f t="shared" si="1"/>
        <v>10810.5</v>
      </c>
      <c r="G11" s="811">
        <f>8347000/1000</f>
        <v>8347</v>
      </c>
      <c r="H11" s="812">
        <f>'Önk.kiad.'!G60/1000-'2. sz.melléklet'!G11</f>
        <v>2463.5</v>
      </c>
    </row>
    <row r="12" spans="1:9" ht="20.100000000000001" customHeight="1" x14ac:dyDescent="0.25">
      <c r="A12" s="125" t="s">
        <v>694</v>
      </c>
      <c r="B12" s="477">
        <f>C12+D12</f>
        <v>377</v>
      </c>
      <c r="C12" s="808">
        <v>0</v>
      </c>
      <c r="D12" s="809">
        <f>'Önk.bev.'!G43/1000</f>
        <v>377</v>
      </c>
      <c r="E12" s="810" t="s">
        <v>200</v>
      </c>
      <c r="F12" s="123">
        <f t="shared" si="1"/>
        <v>7156</v>
      </c>
      <c r="G12" s="811">
        <f>'Önk.kiad.'!G63/1000</f>
        <v>7156</v>
      </c>
      <c r="H12" s="812">
        <v>0</v>
      </c>
    </row>
    <row r="13" spans="1:9" ht="20.100000000000001" customHeight="1" x14ac:dyDescent="0.25">
      <c r="A13" s="813" t="s">
        <v>212</v>
      </c>
      <c r="B13" s="478">
        <f>C13+D13</f>
        <v>149377.101</v>
      </c>
      <c r="C13" s="814">
        <f>'Önk.kiad.'!G78/1000</f>
        <v>149377.101</v>
      </c>
      <c r="D13" s="815">
        <v>0</v>
      </c>
      <c r="E13" s="810" t="s">
        <v>201</v>
      </c>
      <c r="F13" s="123">
        <f t="shared" si="1"/>
        <v>6207</v>
      </c>
      <c r="G13" s="811">
        <v>0</v>
      </c>
      <c r="H13" s="812">
        <f>'Önk.kiad.'!G65/1000</f>
        <v>6207</v>
      </c>
    </row>
    <row r="14" spans="1:9" ht="20.100000000000001" customHeight="1" x14ac:dyDescent="0.25">
      <c r="A14" s="813" t="s">
        <v>700</v>
      </c>
      <c r="B14" s="815">
        <f>C14+D14</f>
        <v>0</v>
      </c>
      <c r="C14" s="814">
        <v>0</v>
      </c>
      <c r="D14" s="815"/>
      <c r="E14" s="816" t="s">
        <v>260</v>
      </c>
      <c r="F14" s="127">
        <f t="shared" si="1"/>
        <v>6042.2659999999996</v>
      </c>
      <c r="G14" s="817">
        <f>'Önk.kiad.'!G77/1000</f>
        <v>6042.2659999999996</v>
      </c>
      <c r="H14" s="818">
        <v>0</v>
      </c>
    </row>
    <row r="15" spans="1:9" ht="20.100000000000001" customHeight="1" thickBot="1" x14ac:dyDescent="0.3">
      <c r="A15" s="819" t="s">
        <v>572</v>
      </c>
      <c r="B15" s="815">
        <f>C15+D15</f>
        <v>6721.8739999999998</v>
      </c>
      <c r="C15" s="814">
        <f>'Önk.bev.'!G50/1000</f>
        <v>6721.8739999999998</v>
      </c>
      <c r="D15" s="820"/>
      <c r="E15" s="810" t="s">
        <v>204</v>
      </c>
      <c r="F15" s="821">
        <f t="shared" si="1"/>
        <v>149377.101</v>
      </c>
      <c r="G15" s="811">
        <f>'Önk.kiad.'!G78/1000</f>
        <v>149377.101</v>
      </c>
      <c r="H15" s="812">
        <v>0</v>
      </c>
    </row>
    <row r="16" spans="1:9" ht="20.100000000000001" customHeight="1" thickBot="1" x14ac:dyDescent="0.25">
      <c r="A16" s="221" t="s">
        <v>9</v>
      </c>
      <c r="B16" s="474">
        <f>SUM(B8:B15)</f>
        <v>552294.27399999998</v>
      </c>
      <c r="C16" s="474">
        <f t="shared" ref="C16:D16" si="2">SUM(C8:C15)</f>
        <v>549624.27399999998</v>
      </c>
      <c r="D16" s="474">
        <f t="shared" si="2"/>
        <v>2670</v>
      </c>
      <c r="E16" s="218" t="s">
        <v>10</v>
      </c>
      <c r="F16" s="128">
        <f>SUM(F8:F15)</f>
        <v>458753.42093000002</v>
      </c>
      <c r="G16" s="128">
        <f t="shared" ref="G16:H16" si="3">SUM(G8:G15)</f>
        <v>439749.49193000002</v>
      </c>
      <c r="H16" s="128">
        <f t="shared" si="3"/>
        <v>19003.929</v>
      </c>
    </row>
    <row r="17" spans="1:9" ht="20.100000000000001" customHeight="1" x14ac:dyDescent="0.25">
      <c r="A17" s="807" t="s">
        <v>208</v>
      </c>
      <c r="B17" s="477">
        <f t="shared" ref="B17:B18" si="4">C17+D17</f>
        <v>102474.61</v>
      </c>
      <c r="C17" s="808">
        <v>0</v>
      </c>
      <c r="D17" s="809">
        <f>('Önk.bev.'!G48-'Önk.bev.'!G43-'Önk.bev.'!G44)/1000</f>
        <v>102474.61</v>
      </c>
      <c r="E17" s="149" t="s">
        <v>203</v>
      </c>
      <c r="F17" s="123">
        <f>G17+H17</f>
        <v>9702.5</v>
      </c>
      <c r="G17" s="484">
        <f>('Önk.kiad.'!G67+'Önk.kiad.'!G70+'Önk.kiad.'!G71)/1000</f>
        <v>6723</v>
      </c>
      <c r="H17" s="486">
        <f>('Önk.kiad.'!G69+'Művh.kiad.'!G32+Ovikiad.!G34)/1000</f>
        <v>2979.5</v>
      </c>
    </row>
    <row r="18" spans="1:9" ht="20.100000000000001" customHeight="1" x14ac:dyDescent="0.25">
      <c r="A18" s="807" t="s">
        <v>209</v>
      </c>
      <c r="B18" s="477">
        <f t="shared" si="4"/>
        <v>220</v>
      </c>
      <c r="C18" s="808">
        <v>0</v>
      </c>
      <c r="D18" s="809">
        <f>'Önk.bev.'!G44/1000</f>
        <v>220</v>
      </c>
      <c r="E18" s="810" t="s">
        <v>303</v>
      </c>
      <c r="F18" s="123">
        <f t="shared" ref="F18:F20" si="5">G18+H18</f>
        <v>197964.139</v>
      </c>
      <c r="G18" s="822">
        <f>('Önk.kiad.'!G72+'Önk.kiad.'!G73+'Önk.kiad.'!G74)/1000</f>
        <v>197964.139</v>
      </c>
      <c r="H18" s="823">
        <v>0</v>
      </c>
    </row>
    <row r="19" spans="1:9" ht="20.100000000000001" customHeight="1" x14ac:dyDescent="0.25">
      <c r="A19" s="122" t="s">
        <v>210</v>
      </c>
      <c r="B19" s="477">
        <f>C19+D19</f>
        <v>112562.52</v>
      </c>
      <c r="C19" s="475">
        <f>'Önk.bev.'!G49/1000</f>
        <v>112562.52</v>
      </c>
      <c r="D19" s="477">
        <v>0</v>
      </c>
      <c r="E19" s="816" t="s">
        <v>570</v>
      </c>
      <c r="F19" s="123">
        <f t="shared" si="5"/>
        <v>1263</v>
      </c>
      <c r="G19" s="824">
        <f>'Önk.kiad.'!G76/1000</f>
        <v>1263</v>
      </c>
      <c r="H19" s="818">
        <v>0</v>
      </c>
    </row>
    <row r="20" spans="1:9" ht="20.100000000000001" customHeight="1" x14ac:dyDescent="0.25">
      <c r="A20" s="807" t="s">
        <v>211</v>
      </c>
      <c r="B20" s="477">
        <f t="shared" ref="B20:B23" si="6">C20+D20</f>
        <v>298.68700000000001</v>
      </c>
      <c r="C20" s="808">
        <f>Ovibev.!G9/1000</f>
        <v>298.68700000000001</v>
      </c>
      <c r="D20" s="809">
        <v>0</v>
      </c>
      <c r="E20" s="816" t="s">
        <v>202</v>
      </c>
      <c r="F20" s="127">
        <f t="shared" si="5"/>
        <v>107266.988</v>
      </c>
      <c r="G20" s="824">
        <f>'Önk.kiad.'!G79/1000</f>
        <v>107266.988</v>
      </c>
      <c r="H20" s="818">
        <v>0</v>
      </c>
    </row>
    <row r="21" spans="1:9" ht="20.100000000000001" customHeight="1" x14ac:dyDescent="0.25">
      <c r="A21" s="813" t="s">
        <v>304</v>
      </c>
      <c r="B21" s="478">
        <f t="shared" si="6"/>
        <v>103.089</v>
      </c>
      <c r="C21" s="814">
        <f>'Művh.bev.'!G9/1000</f>
        <v>103.089</v>
      </c>
      <c r="D21" s="815">
        <v>0</v>
      </c>
      <c r="E21" s="816"/>
      <c r="F21" s="825"/>
      <c r="G21" s="824"/>
      <c r="H21" s="818"/>
      <c r="I21" s="145"/>
    </row>
    <row r="22" spans="1:9" ht="20.100000000000001" customHeight="1" x14ac:dyDescent="0.25">
      <c r="A22" s="807" t="s">
        <v>259</v>
      </c>
      <c r="B22" s="809">
        <f t="shared" si="6"/>
        <v>816.86800000000005</v>
      </c>
      <c r="C22" s="808">
        <f>'Hiv.bev.'!G8/1000</f>
        <v>816.86800000000005</v>
      </c>
      <c r="D22" s="809">
        <v>0</v>
      </c>
      <c r="E22" s="826"/>
      <c r="F22" s="820"/>
      <c r="G22" s="826"/>
      <c r="H22" s="820"/>
    </row>
    <row r="23" spans="1:9" ht="20.100000000000001" customHeight="1" thickBot="1" x14ac:dyDescent="0.3">
      <c r="A23" s="813" t="s">
        <v>571</v>
      </c>
      <c r="B23" s="809">
        <f t="shared" si="6"/>
        <v>6180</v>
      </c>
      <c r="C23" s="814">
        <v>6180</v>
      </c>
      <c r="D23" s="815">
        <v>0</v>
      </c>
      <c r="E23" s="827"/>
      <c r="F23" s="828"/>
      <c r="G23" s="827"/>
      <c r="H23" s="828"/>
    </row>
    <row r="24" spans="1:9" ht="20.100000000000001" customHeight="1" thickBot="1" x14ac:dyDescent="0.25">
      <c r="A24" s="221" t="s">
        <v>7</v>
      </c>
      <c r="B24" s="479">
        <f>SUM(B16:B23)</f>
        <v>774950.04800000007</v>
      </c>
      <c r="C24" s="218">
        <f>SUM(C16:C22)</f>
        <v>663405.43800000008</v>
      </c>
      <c r="D24" s="479">
        <f>SUM(D16:D23)</f>
        <v>105364.61</v>
      </c>
      <c r="E24" s="218" t="s">
        <v>7</v>
      </c>
      <c r="F24" s="124">
        <f>SUM(F16:F20)</f>
        <v>774950.04793</v>
      </c>
      <c r="G24" s="488">
        <f>SUM(G16:G20)</f>
        <v>752966.61893</v>
      </c>
      <c r="H24" s="124">
        <f>SUM(H16:H20)</f>
        <v>21983.429</v>
      </c>
      <c r="I24" s="3"/>
    </row>
    <row r="25" spans="1:9" ht="20.100000000000001" customHeight="1" thickBot="1" x14ac:dyDescent="0.3">
      <c r="A25" s="125" t="s">
        <v>189</v>
      </c>
      <c r="B25" s="126">
        <f>C25+D25</f>
        <v>-149377.101</v>
      </c>
      <c r="C25" s="481">
        <f>-C13</f>
        <v>-149377.101</v>
      </c>
      <c r="D25" s="482">
        <v>0</v>
      </c>
      <c r="E25" s="219" t="s">
        <v>189</v>
      </c>
      <c r="F25" s="127">
        <f>G25+H25</f>
        <v>-149377.101</v>
      </c>
      <c r="G25" s="485">
        <f>-G15</f>
        <v>-149377.101</v>
      </c>
      <c r="H25" s="487"/>
    </row>
    <row r="26" spans="1:9" ht="20.100000000000001" customHeight="1" thickBot="1" x14ac:dyDescent="0.25">
      <c r="A26" s="221" t="s">
        <v>190</v>
      </c>
      <c r="B26" s="479">
        <f>SUM(B24:B25)</f>
        <v>625572.94700000004</v>
      </c>
      <c r="C26" s="218">
        <f t="shared" ref="C26:D26" si="7">SUM(C24:C25)</f>
        <v>514028.33700000006</v>
      </c>
      <c r="D26" s="479">
        <f t="shared" si="7"/>
        <v>105364.61</v>
      </c>
      <c r="E26" s="220" t="s">
        <v>190</v>
      </c>
      <c r="F26" s="128">
        <f>SUM(F24:F25)</f>
        <v>625572.94692999998</v>
      </c>
      <c r="G26" s="483">
        <f t="shared" ref="G26:H26" si="8">SUM(G24:G25)</f>
        <v>603589.51792999997</v>
      </c>
      <c r="H26" s="128">
        <f t="shared" si="8"/>
        <v>21983.429</v>
      </c>
    </row>
    <row r="27" spans="1:9" x14ac:dyDescent="0.2">
      <c r="E27" s="3"/>
    </row>
  </sheetData>
  <mergeCells count="6">
    <mergeCell ref="A6:D6"/>
    <mergeCell ref="E6:H6"/>
    <mergeCell ref="A3:H3"/>
    <mergeCell ref="A4:H4"/>
    <mergeCell ref="A1:H1"/>
    <mergeCell ref="B2:F2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71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D160"/>
  <sheetViews>
    <sheetView topLeftCell="B129" zoomScaleNormal="100" workbookViewId="0">
      <selection activeCell="E86" sqref="E86:P125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10.7109375" customWidth="1"/>
    <col min="5" max="5" width="11.140625" bestFit="1" customWidth="1"/>
    <col min="6" max="16" width="10.7109375" customWidth="1"/>
    <col min="17" max="17" width="11.140625" bestFit="1" customWidth="1"/>
    <col min="18" max="18" width="8.5703125" bestFit="1" customWidth="1"/>
  </cols>
  <sheetData>
    <row r="1" spans="1:16" ht="15" customHeight="1" x14ac:dyDescent="0.2">
      <c r="A1" s="956" t="s">
        <v>387</v>
      </c>
      <c r="B1" s="956"/>
      <c r="C1" s="956"/>
      <c r="D1" s="956"/>
      <c r="E1" s="956"/>
      <c r="F1" s="956"/>
      <c r="G1" s="956"/>
      <c r="H1" s="956"/>
      <c r="I1" s="956"/>
      <c r="J1" s="956"/>
      <c r="K1" s="956"/>
      <c r="L1" s="956"/>
      <c r="M1" s="956"/>
      <c r="N1" s="956"/>
      <c r="O1" s="956"/>
      <c r="P1" s="956"/>
    </row>
    <row r="2" spans="1:16" ht="15" customHeight="1" x14ac:dyDescent="0.2">
      <c r="A2" s="969" t="s">
        <v>577</v>
      </c>
      <c r="B2" s="970"/>
      <c r="C2" s="970"/>
      <c r="D2" s="970"/>
      <c r="E2" s="970"/>
      <c r="F2" s="970"/>
      <c r="G2" s="970"/>
      <c r="H2" s="970"/>
      <c r="I2" s="970"/>
      <c r="J2" s="970"/>
      <c r="K2" s="970"/>
      <c r="L2" s="970"/>
      <c r="M2" s="970"/>
      <c r="N2" s="970"/>
      <c r="O2" s="970"/>
      <c r="P2" s="970"/>
    </row>
    <row r="3" spans="1:16" ht="12.95" customHeight="1" thickBot="1" x14ac:dyDescent="0.25">
      <c r="A3" s="957" t="s">
        <v>573</v>
      </c>
      <c r="B3" s="957"/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957"/>
    </row>
    <row r="4" spans="1:16" ht="12.95" customHeight="1" x14ac:dyDescent="0.2">
      <c r="A4" s="960" t="s">
        <v>35</v>
      </c>
      <c r="B4" s="962" t="s">
        <v>329</v>
      </c>
      <c r="C4" s="935" t="s">
        <v>186</v>
      </c>
      <c r="D4" s="942" t="s">
        <v>191</v>
      </c>
      <c r="E4" s="964" t="s">
        <v>167</v>
      </c>
      <c r="F4" s="965"/>
      <c r="G4" s="965"/>
      <c r="H4" s="965"/>
      <c r="I4" s="966"/>
      <c r="J4" s="937" t="s">
        <v>4</v>
      </c>
      <c r="K4" s="938"/>
      <c r="L4" s="967"/>
      <c r="M4" s="940" t="s">
        <v>359</v>
      </c>
      <c r="N4" s="968"/>
      <c r="O4" s="968"/>
      <c r="P4" s="941"/>
    </row>
    <row r="5" spans="1:16" ht="24.75" customHeight="1" thickBot="1" x14ac:dyDescent="0.25">
      <c r="A5" s="961"/>
      <c r="B5" s="963"/>
      <c r="C5" s="936"/>
      <c r="D5" s="943"/>
      <c r="E5" s="231" t="s">
        <v>213</v>
      </c>
      <c r="F5" s="232" t="s">
        <v>164</v>
      </c>
      <c r="G5" s="233" t="s">
        <v>165</v>
      </c>
      <c r="H5" s="233" t="s">
        <v>214</v>
      </c>
      <c r="I5" s="234" t="s">
        <v>166</v>
      </c>
      <c r="J5" s="235" t="s">
        <v>215</v>
      </c>
      <c r="K5" s="233" t="s">
        <v>168</v>
      </c>
      <c r="L5" s="234" t="s">
        <v>169</v>
      </c>
      <c r="M5" s="269" t="s">
        <v>170</v>
      </c>
      <c r="N5" s="233" t="s">
        <v>171</v>
      </c>
      <c r="O5" s="233" t="s">
        <v>172</v>
      </c>
      <c r="P5" s="234" t="s">
        <v>173</v>
      </c>
    </row>
    <row r="6" spans="1:16" ht="12.95" customHeight="1" x14ac:dyDescent="0.2">
      <c r="A6" s="971" t="s">
        <v>574</v>
      </c>
      <c r="B6" s="972"/>
      <c r="C6" s="264"/>
      <c r="D6" s="265"/>
      <c r="E6" s="266"/>
      <c r="F6" s="266"/>
      <c r="G6" s="267"/>
      <c r="H6" s="267"/>
      <c r="I6" s="268"/>
      <c r="J6" s="270"/>
      <c r="K6" s="267"/>
      <c r="L6" s="268"/>
      <c r="M6" s="270"/>
      <c r="N6" s="267"/>
      <c r="O6" s="267"/>
      <c r="P6" s="271"/>
    </row>
    <row r="7" spans="1:16" ht="12.95" customHeight="1" x14ac:dyDescent="0.2">
      <c r="A7" s="222" t="s">
        <v>15</v>
      </c>
      <c r="B7" s="223" t="s">
        <v>569</v>
      </c>
      <c r="C7" s="224"/>
      <c r="D7" s="255"/>
      <c r="E7" s="262"/>
      <c r="F7" s="262"/>
      <c r="G7" s="256"/>
      <c r="H7" s="256">
        <v>18297424</v>
      </c>
      <c r="I7" s="257"/>
      <c r="J7" s="260"/>
      <c r="K7" s="256"/>
      <c r="L7" s="257"/>
      <c r="M7" s="260"/>
      <c r="N7" s="256"/>
      <c r="O7" s="256"/>
      <c r="P7" s="261"/>
    </row>
    <row r="8" spans="1:16" ht="12.95" customHeight="1" x14ac:dyDescent="0.2">
      <c r="A8" s="222" t="s">
        <v>37</v>
      </c>
      <c r="B8" s="225" t="s">
        <v>16</v>
      </c>
      <c r="C8" s="224"/>
      <c r="D8" s="255"/>
      <c r="E8" s="262"/>
      <c r="F8" s="262"/>
      <c r="G8" s="256"/>
      <c r="H8" s="256"/>
      <c r="I8" s="257"/>
      <c r="J8" s="260"/>
      <c r="K8" s="256">
        <v>48529410</v>
      </c>
      <c r="L8" s="257"/>
      <c r="M8" s="260"/>
      <c r="N8" s="256"/>
      <c r="O8" s="256"/>
      <c r="P8" s="261"/>
    </row>
    <row r="9" spans="1:16" ht="15.75" customHeight="1" x14ac:dyDescent="0.2">
      <c r="A9" s="222" t="s">
        <v>38</v>
      </c>
      <c r="B9" s="226" t="s">
        <v>328</v>
      </c>
      <c r="C9" s="224"/>
      <c r="D9" s="255"/>
      <c r="E9" s="262"/>
      <c r="F9" s="262"/>
      <c r="G9" s="256"/>
      <c r="H9" s="256">
        <v>3320000</v>
      </c>
      <c r="I9" s="257"/>
      <c r="J9" s="260"/>
      <c r="K9" s="256"/>
      <c r="L9" s="257"/>
      <c r="M9" s="260"/>
      <c r="N9" s="256"/>
      <c r="O9" s="256"/>
      <c r="P9" s="261"/>
    </row>
    <row r="10" spans="1:16" ht="27" customHeight="1" x14ac:dyDescent="0.2">
      <c r="A10" s="222" t="s">
        <v>39</v>
      </c>
      <c r="B10" s="226" t="s">
        <v>306</v>
      </c>
      <c r="C10" s="227">
        <v>1</v>
      </c>
      <c r="D10" s="263"/>
      <c r="E10" s="272">
        <v>273099</v>
      </c>
      <c r="F10" s="262"/>
      <c r="G10" s="256">
        <v>109208050</v>
      </c>
      <c r="H10" s="256">
        <v>39353000</v>
      </c>
      <c r="I10" s="257"/>
      <c r="J10" s="260">
        <f>53827200</f>
        <v>53827200</v>
      </c>
      <c r="K10" s="256"/>
      <c r="L10" s="257">
        <v>220000</v>
      </c>
      <c r="M10" s="260">
        <v>377000</v>
      </c>
      <c r="N10" s="256"/>
      <c r="O10" s="256"/>
      <c r="P10" s="261"/>
    </row>
    <row r="11" spans="1:16" ht="12.95" customHeight="1" x14ac:dyDescent="0.2">
      <c r="A11" s="222" t="s">
        <v>40</v>
      </c>
      <c r="B11" s="223" t="s">
        <v>307</v>
      </c>
      <c r="C11" s="227"/>
      <c r="D11" s="263"/>
      <c r="E11" s="262"/>
      <c r="F11" s="262"/>
      <c r="G11" s="256"/>
      <c r="H11" s="256"/>
      <c r="I11" s="257"/>
      <c r="J11" s="260"/>
      <c r="K11" s="256"/>
      <c r="L11" s="257"/>
      <c r="M11" s="260"/>
      <c r="N11" s="256"/>
      <c r="O11" s="256"/>
      <c r="P11" s="261"/>
    </row>
    <row r="12" spans="1:16" ht="12.95" customHeight="1" x14ac:dyDescent="0.2">
      <c r="A12" s="222" t="s">
        <v>41</v>
      </c>
      <c r="B12" s="225" t="s">
        <v>19</v>
      </c>
      <c r="C12" s="227"/>
      <c r="D12" s="263"/>
      <c r="E12" s="262"/>
      <c r="F12" s="262"/>
      <c r="G12" s="256"/>
      <c r="H12" s="256"/>
      <c r="I12" s="257"/>
      <c r="J12" s="260"/>
      <c r="K12" s="256"/>
      <c r="L12" s="257"/>
      <c r="M12" s="260"/>
      <c r="N12" s="256"/>
      <c r="O12" s="256"/>
      <c r="P12" s="261"/>
    </row>
    <row r="13" spans="1:16" ht="12.95" customHeight="1" x14ac:dyDescent="0.2">
      <c r="A13" s="222" t="s">
        <v>42</v>
      </c>
      <c r="B13" s="225" t="s">
        <v>308</v>
      </c>
      <c r="C13" s="227">
        <v>2</v>
      </c>
      <c r="D13" s="263"/>
      <c r="E13" s="262">
        <v>1382550</v>
      </c>
      <c r="F13" s="262"/>
      <c r="G13" s="256"/>
      <c r="H13" s="256"/>
      <c r="I13" s="257"/>
      <c r="J13" s="260"/>
      <c r="K13" s="256"/>
      <c r="L13" s="257"/>
      <c r="M13" s="260"/>
      <c r="N13" s="256"/>
      <c r="O13" s="256"/>
      <c r="P13" s="261"/>
    </row>
    <row r="14" spans="1:16" ht="12.95" customHeight="1" x14ac:dyDescent="0.2">
      <c r="A14" s="222" t="s">
        <v>43</v>
      </c>
      <c r="B14" s="225" t="s">
        <v>309</v>
      </c>
      <c r="C14" s="227"/>
      <c r="D14" s="263"/>
      <c r="E14" s="262">
        <v>169411414</v>
      </c>
      <c r="F14" s="262"/>
      <c r="G14" s="256"/>
      <c r="H14" s="256"/>
      <c r="I14" s="257"/>
      <c r="J14" s="260"/>
      <c r="K14" s="256">
        <v>118000</v>
      </c>
      <c r="L14" s="257"/>
      <c r="M14" s="260"/>
      <c r="N14" s="256"/>
      <c r="O14" s="256"/>
      <c r="P14" s="261">
        <v>6721874</v>
      </c>
    </row>
    <row r="15" spans="1:16" ht="12.95" customHeight="1" x14ac:dyDescent="0.2">
      <c r="A15" s="222" t="s">
        <v>44</v>
      </c>
      <c r="B15" s="225" t="s">
        <v>323</v>
      </c>
      <c r="C15" s="227"/>
      <c r="D15" s="263"/>
      <c r="E15" s="262"/>
      <c r="F15" s="262"/>
      <c r="G15" s="256"/>
      <c r="H15" s="256"/>
      <c r="I15" s="257"/>
      <c r="J15" s="260"/>
      <c r="K15" s="256"/>
      <c r="L15" s="257"/>
      <c r="M15" s="260"/>
      <c r="N15" s="256"/>
      <c r="O15" s="256"/>
      <c r="P15" s="261">
        <v>112562520</v>
      </c>
    </row>
    <row r="16" spans="1:16" ht="12.95" customHeight="1" x14ac:dyDescent="0.2">
      <c r="A16" s="222" t="s">
        <v>45</v>
      </c>
      <c r="B16" s="225" t="s">
        <v>575</v>
      </c>
      <c r="C16" s="227"/>
      <c r="D16" s="263"/>
      <c r="E16" s="262"/>
      <c r="F16" s="262"/>
      <c r="G16" s="256"/>
      <c r="H16" s="256"/>
      <c r="I16" s="257">
        <v>6180000</v>
      </c>
      <c r="J16" s="260"/>
      <c r="K16" s="256"/>
      <c r="L16" s="257"/>
      <c r="M16" s="260"/>
      <c r="N16" s="256"/>
      <c r="O16" s="256"/>
      <c r="P16" s="261"/>
    </row>
    <row r="17" spans="1:16" ht="25.5" customHeight="1" x14ac:dyDescent="0.2">
      <c r="A17" s="222" t="s">
        <v>46</v>
      </c>
      <c r="B17" s="225" t="s">
        <v>311</v>
      </c>
      <c r="C17" s="227"/>
      <c r="D17" s="263"/>
      <c r="E17" s="262"/>
      <c r="F17" s="262"/>
      <c r="G17" s="256"/>
      <c r="H17" s="256"/>
      <c r="I17" s="257"/>
      <c r="J17" s="260"/>
      <c r="K17" s="256"/>
      <c r="L17" s="257"/>
      <c r="M17" s="260"/>
      <c r="N17" s="256"/>
      <c r="O17" s="256"/>
      <c r="P17" s="261"/>
    </row>
    <row r="18" spans="1:16" ht="12.95" customHeight="1" x14ac:dyDescent="0.2">
      <c r="A18" s="222" t="s">
        <v>47</v>
      </c>
      <c r="B18" s="225" t="s">
        <v>576</v>
      </c>
      <c r="C18" s="227"/>
      <c r="D18" s="263"/>
      <c r="E18" s="262"/>
      <c r="F18" s="262"/>
      <c r="G18" s="256"/>
      <c r="H18" s="954">
        <f>357003+5316705</f>
        <v>5673708</v>
      </c>
      <c r="I18" s="257"/>
      <c r="J18" s="260"/>
      <c r="K18" s="256"/>
      <c r="L18" s="257"/>
      <c r="M18" s="260"/>
      <c r="N18" s="256"/>
      <c r="O18" s="256"/>
      <c r="P18" s="261"/>
    </row>
    <row r="19" spans="1:16" ht="12.95" customHeight="1" x14ac:dyDescent="0.2">
      <c r="A19" s="222" t="s">
        <v>48</v>
      </c>
      <c r="B19" s="225" t="s">
        <v>18</v>
      </c>
      <c r="C19" s="227">
        <v>1</v>
      </c>
      <c r="D19" s="263"/>
      <c r="E19" s="262"/>
      <c r="F19" s="262"/>
      <c r="G19" s="256"/>
      <c r="H19" s="955"/>
      <c r="I19" s="257"/>
      <c r="J19" s="260"/>
      <c r="K19" s="256"/>
      <c r="L19" s="257"/>
      <c r="M19" s="260"/>
      <c r="N19" s="256"/>
      <c r="O19" s="256"/>
      <c r="P19" s="261"/>
    </row>
    <row r="20" spans="1:16" ht="12.95" customHeight="1" x14ac:dyDescent="0.2">
      <c r="A20" s="222" t="s">
        <v>49</v>
      </c>
      <c r="B20" s="225" t="s">
        <v>695</v>
      </c>
      <c r="C20" s="227"/>
      <c r="D20" s="263"/>
      <c r="E20" s="262"/>
      <c r="F20" s="262"/>
      <c r="G20" s="256"/>
      <c r="H20" s="256">
        <v>360000</v>
      </c>
      <c r="I20" s="257"/>
      <c r="J20" s="260"/>
      <c r="K20" s="256"/>
      <c r="L20" s="257"/>
      <c r="M20" s="260"/>
      <c r="N20" s="256"/>
      <c r="O20" s="256"/>
      <c r="P20" s="261"/>
    </row>
    <row r="21" spans="1:16" ht="12.95" customHeight="1" x14ac:dyDescent="0.2">
      <c r="A21" s="222" t="s">
        <v>50</v>
      </c>
      <c r="B21" s="223" t="s">
        <v>20</v>
      </c>
      <c r="C21" s="227">
        <v>1</v>
      </c>
      <c r="D21" s="263"/>
      <c r="E21" s="262">
        <v>5788100</v>
      </c>
      <c r="F21" s="262"/>
      <c r="G21" s="256"/>
      <c r="H21" s="256"/>
      <c r="I21" s="257"/>
      <c r="J21" s="260"/>
      <c r="K21" s="256"/>
      <c r="L21" s="257"/>
      <c r="M21" s="260"/>
      <c r="N21" s="256"/>
      <c r="O21" s="256"/>
      <c r="P21" s="261"/>
    </row>
    <row r="22" spans="1:16" ht="14.25" customHeight="1" x14ac:dyDescent="0.2">
      <c r="A22" s="222" t="s">
        <v>51</v>
      </c>
      <c r="B22" s="223" t="s">
        <v>21</v>
      </c>
      <c r="C22" s="227"/>
      <c r="D22" s="263"/>
      <c r="E22" s="262"/>
      <c r="F22" s="262"/>
      <c r="G22" s="256"/>
      <c r="H22" s="256"/>
      <c r="I22" s="257"/>
      <c r="J22" s="260"/>
      <c r="K22" s="256"/>
      <c r="L22" s="257"/>
      <c r="M22" s="260"/>
      <c r="N22" s="256"/>
      <c r="O22" s="256"/>
      <c r="P22" s="261"/>
    </row>
    <row r="23" spans="1:16" ht="12.95" customHeight="1" x14ac:dyDescent="0.2">
      <c r="A23" s="222" t="s">
        <v>52</v>
      </c>
      <c r="B23" s="225" t="s">
        <v>312</v>
      </c>
      <c r="C23" s="224"/>
      <c r="D23" s="255"/>
      <c r="E23" s="262"/>
      <c r="F23" s="256"/>
      <c r="G23" s="256"/>
      <c r="H23" s="256"/>
      <c r="I23" s="257"/>
      <c r="J23" s="260"/>
      <c r="K23" s="256"/>
      <c r="L23" s="257"/>
      <c r="M23" s="260"/>
      <c r="N23" s="256"/>
      <c r="O23" s="256"/>
      <c r="P23" s="261"/>
    </row>
    <row r="24" spans="1:16" ht="12.95" customHeight="1" x14ac:dyDescent="0.2">
      <c r="A24" s="222" t="s">
        <v>53</v>
      </c>
      <c r="B24" s="223" t="s">
        <v>313</v>
      </c>
      <c r="C24" s="224"/>
      <c r="D24" s="255"/>
      <c r="E24" s="262"/>
      <c r="F24" s="262"/>
      <c r="G24" s="256"/>
      <c r="H24" s="256"/>
      <c r="I24" s="257"/>
      <c r="J24" s="260"/>
      <c r="K24" s="256"/>
      <c r="L24" s="257"/>
      <c r="M24" s="260"/>
      <c r="N24" s="256"/>
      <c r="O24" s="256"/>
      <c r="P24" s="261"/>
    </row>
    <row r="25" spans="1:16" ht="12.95" customHeight="1" x14ac:dyDescent="0.2">
      <c r="A25" s="222" t="s">
        <v>54</v>
      </c>
      <c r="B25" s="223" t="s">
        <v>22</v>
      </c>
      <c r="C25" s="224"/>
      <c r="D25" s="255"/>
      <c r="E25" s="262"/>
      <c r="F25" s="262"/>
      <c r="G25" s="256"/>
      <c r="H25" s="256"/>
      <c r="I25" s="257"/>
      <c r="J25" s="260"/>
      <c r="K25" s="256"/>
      <c r="L25" s="257"/>
      <c r="M25" s="260"/>
      <c r="N25" s="256"/>
      <c r="O25" s="256"/>
      <c r="P25" s="261"/>
    </row>
    <row r="26" spans="1:16" ht="12.95" customHeight="1" x14ac:dyDescent="0.2">
      <c r="A26" s="222" t="s">
        <v>55</v>
      </c>
      <c r="B26" s="223" t="s">
        <v>245</v>
      </c>
      <c r="C26" s="227"/>
      <c r="D26" s="263"/>
      <c r="E26" s="262"/>
      <c r="F26" s="262"/>
      <c r="G26" s="256"/>
      <c r="H26" s="256"/>
      <c r="I26" s="257"/>
      <c r="J26" s="260"/>
      <c r="K26" s="256"/>
      <c r="L26" s="257"/>
      <c r="M26" s="260"/>
      <c r="N26" s="256"/>
      <c r="O26" s="256"/>
      <c r="P26" s="261"/>
    </row>
    <row r="27" spans="1:16" ht="12.95" customHeight="1" x14ac:dyDescent="0.2">
      <c r="A27" s="222" t="s">
        <v>56</v>
      </c>
      <c r="B27" s="223" t="s">
        <v>23</v>
      </c>
      <c r="C27" s="224"/>
      <c r="D27" s="255"/>
      <c r="E27" s="262"/>
      <c r="F27" s="262"/>
      <c r="G27" s="256"/>
      <c r="H27" s="256"/>
      <c r="I27" s="257"/>
      <c r="J27" s="260"/>
      <c r="K27" s="256"/>
      <c r="L27" s="257"/>
      <c r="M27" s="260"/>
      <c r="N27" s="256"/>
      <c r="O27" s="256"/>
      <c r="P27" s="261"/>
    </row>
    <row r="28" spans="1:16" ht="12.95" customHeight="1" x14ac:dyDescent="0.2">
      <c r="A28" s="222" t="s">
        <v>57</v>
      </c>
      <c r="B28" s="223" t="s">
        <v>24</v>
      </c>
      <c r="C28" s="224"/>
      <c r="D28" s="255"/>
      <c r="E28" s="262"/>
      <c r="F28" s="262"/>
      <c r="G28" s="256"/>
      <c r="H28" s="256"/>
      <c r="I28" s="257"/>
      <c r="J28" s="260"/>
      <c r="K28" s="256"/>
      <c r="L28" s="257"/>
      <c r="M28" s="260"/>
      <c r="N28" s="256"/>
      <c r="O28" s="256"/>
      <c r="P28" s="261"/>
    </row>
    <row r="29" spans="1:16" ht="12.95" customHeight="1" x14ac:dyDescent="0.2">
      <c r="A29" s="222" t="s">
        <v>58</v>
      </c>
      <c r="B29" s="223" t="s">
        <v>25</v>
      </c>
      <c r="C29" s="224"/>
      <c r="D29" s="255"/>
      <c r="E29" s="262"/>
      <c r="F29" s="262"/>
      <c r="G29" s="256"/>
      <c r="H29" s="256"/>
      <c r="I29" s="257"/>
      <c r="J29" s="260"/>
      <c r="K29" s="256"/>
      <c r="L29" s="257"/>
      <c r="M29" s="260"/>
      <c r="N29" s="256"/>
      <c r="O29" s="256"/>
      <c r="P29" s="261"/>
    </row>
    <row r="30" spans="1:16" ht="12.95" customHeight="1" x14ac:dyDescent="0.2">
      <c r="A30" s="222" t="s">
        <v>59</v>
      </c>
      <c r="B30" s="223" t="s">
        <v>26</v>
      </c>
      <c r="C30" s="224"/>
      <c r="D30" s="255"/>
      <c r="E30" s="262"/>
      <c r="F30" s="262"/>
      <c r="G30" s="256"/>
      <c r="H30" s="256"/>
      <c r="I30" s="257"/>
      <c r="J30" s="260"/>
      <c r="K30" s="256"/>
      <c r="L30" s="257"/>
      <c r="M30" s="260"/>
      <c r="N30" s="256"/>
      <c r="O30" s="256"/>
      <c r="P30" s="261"/>
    </row>
    <row r="31" spans="1:16" ht="12.95" customHeight="1" x14ac:dyDescent="0.2">
      <c r="A31" s="222" t="s">
        <v>60</v>
      </c>
      <c r="B31" s="223" t="s">
        <v>27</v>
      </c>
      <c r="C31" s="224"/>
      <c r="D31" s="255"/>
      <c r="E31" s="262"/>
      <c r="F31" s="262"/>
      <c r="G31" s="256"/>
      <c r="H31" s="256"/>
      <c r="I31" s="257"/>
      <c r="J31" s="260"/>
      <c r="K31" s="256"/>
      <c r="L31" s="257"/>
      <c r="M31" s="260"/>
      <c r="N31" s="256"/>
      <c r="O31" s="256"/>
      <c r="P31" s="261"/>
    </row>
    <row r="32" spans="1:16" ht="12.95" customHeight="1" x14ac:dyDescent="0.2">
      <c r="A32" s="222" t="s">
        <v>61</v>
      </c>
      <c r="B32" s="223" t="s">
        <v>246</v>
      </c>
      <c r="C32" s="224"/>
      <c r="D32" s="255"/>
      <c r="E32" s="262"/>
      <c r="F32" s="262"/>
      <c r="G32" s="256"/>
      <c r="H32" s="256"/>
      <c r="I32" s="257"/>
      <c r="J32" s="260"/>
      <c r="K32" s="256"/>
      <c r="L32" s="257"/>
      <c r="M32" s="260"/>
      <c r="N32" s="256"/>
      <c r="O32" s="256"/>
      <c r="P32" s="261"/>
    </row>
    <row r="33" spans="1:16" ht="12.95" customHeight="1" x14ac:dyDescent="0.2">
      <c r="A33" s="222" t="s">
        <v>62</v>
      </c>
      <c r="B33" s="228" t="s">
        <v>331</v>
      </c>
      <c r="C33" s="224"/>
      <c r="D33" s="255"/>
      <c r="E33" s="262"/>
      <c r="F33" s="262"/>
      <c r="G33" s="256"/>
      <c r="H33" s="256"/>
      <c r="I33" s="257"/>
      <c r="J33" s="260"/>
      <c r="K33" s="256"/>
      <c r="L33" s="257"/>
      <c r="M33" s="260"/>
      <c r="N33" s="256"/>
      <c r="O33" s="256"/>
      <c r="P33" s="261"/>
    </row>
    <row r="34" spans="1:16" ht="12.95" customHeight="1" x14ac:dyDescent="0.2">
      <c r="A34" s="222" t="s">
        <v>63</v>
      </c>
      <c r="B34" s="223" t="s">
        <v>315</v>
      </c>
      <c r="C34" s="224"/>
      <c r="D34" s="255"/>
      <c r="E34" s="262"/>
      <c r="F34" s="262"/>
      <c r="G34" s="256"/>
      <c r="H34" s="256"/>
      <c r="I34" s="257"/>
      <c r="J34" s="260"/>
      <c r="K34" s="256"/>
      <c r="L34" s="257"/>
      <c r="M34" s="260"/>
      <c r="N34" s="256"/>
      <c r="O34" s="256"/>
      <c r="P34" s="261"/>
    </row>
    <row r="35" spans="1:16" ht="12.95" customHeight="1" x14ac:dyDescent="0.2">
      <c r="A35" s="222" t="s">
        <v>64</v>
      </c>
      <c r="B35" s="223" t="s">
        <v>316</v>
      </c>
      <c r="C35" s="224"/>
      <c r="D35" s="255"/>
      <c r="E35" s="262"/>
      <c r="F35" s="262">
        <v>103500</v>
      </c>
      <c r="G35" s="256"/>
      <c r="H35" s="256"/>
      <c r="I35" s="257"/>
      <c r="J35" s="260"/>
      <c r="K35" s="256"/>
      <c r="L35" s="257"/>
      <c r="M35" s="260"/>
      <c r="N35" s="256"/>
      <c r="O35" s="256"/>
      <c r="P35" s="261"/>
    </row>
    <row r="36" spans="1:16" ht="12.95" customHeight="1" x14ac:dyDescent="0.2">
      <c r="A36" s="222" t="s">
        <v>65</v>
      </c>
      <c r="B36" s="223" t="s">
        <v>28</v>
      </c>
      <c r="C36" s="224"/>
      <c r="D36" s="255"/>
      <c r="E36" s="262"/>
      <c r="F36" s="262"/>
      <c r="G36" s="256"/>
      <c r="H36" s="256"/>
      <c r="I36" s="257"/>
      <c r="J36" s="260"/>
      <c r="K36" s="256"/>
      <c r="L36" s="257"/>
      <c r="M36" s="260"/>
      <c r="N36" s="256"/>
      <c r="O36" s="256"/>
      <c r="P36" s="261"/>
    </row>
    <row r="37" spans="1:16" ht="12.95" customHeight="1" x14ac:dyDescent="0.2">
      <c r="A37" s="222" t="s">
        <v>66</v>
      </c>
      <c r="B37" s="223" t="s">
        <v>29</v>
      </c>
      <c r="C37" s="224"/>
      <c r="D37" s="255"/>
      <c r="E37" s="262"/>
      <c r="F37" s="262"/>
      <c r="G37" s="256"/>
      <c r="H37" s="256"/>
      <c r="I37" s="257"/>
      <c r="J37" s="260"/>
      <c r="K37" s="256"/>
      <c r="L37" s="257"/>
      <c r="M37" s="260"/>
      <c r="N37" s="256"/>
      <c r="O37" s="256"/>
      <c r="P37" s="261"/>
    </row>
    <row r="38" spans="1:16" ht="12.95" customHeight="1" x14ac:dyDescent="0.2">
      <c r="A38" s="222" t="s">
        <v>67</v>
      </c>
      <c r="B38" s="223" t="s">
        <v>696</v>
      </c>
      <c r="C38" s="224"/>
      <c r="D38" s="255"/>
      <c r="E38" s="262"/>
      <c r="F38" s="262"/>
      <c r="G38" s="256"/>
      <c r="H38" s="256"/>
      <c r="I38" s="257"/>
      <c r="J38" s="260"/>
      <c r="K38" s="256">
        <v>30285270</v>
      </c>
      <c r="L38" s="257"/>
      <c r="M38" s="260"/>
      <c r="N38" s="256"/>
      <c r="O38" s="256"/>
      <c r="P38" s="261"/>
    </row>
    <row r="39" spans="1:16" ht="12.95" customHeight="1" x14ac:dyDescent="0.2">
      <c r="A39" s="222" t="s">
        <v>68</v>
      </c>
      <c r="B39" s="223" t="s">
        <v>31</v>
      </c>
      <c r="C39" s="224"/>
      <c r="D39" s="255"/>
      <c r="E39" s="262"/>
      <c r="F39" s="262"/>
      <c r="G39" s="256"/>
      <c r="H39" s="256"/>
      <c r="I39" s="257"/>
      <c r="J39" s="260"/>
      <c r="K39" s="256"/>
      <c r="L39" s="257"/>
      <c r="M39" s="260"/>
      <c r="N39" s="256"/>
      <c r="O39" s="256"/>
      <c r="P39" s="261"/>
    </row>
    <row r="40" spans="1:16" ht="12.95" customHeight="1" x14ac:dyDescent="0.2">
      <c r="A40" s="222" t="s">
        <v>69</v>
      </c>
      <c r="B40" s="223" t="s">
        <v>32</v>
      </c>
      <c r="C40" s="224"/>
      <c r="D40" s="255"/>
      <c r="E40" s="262"/>
      <c r="F40" s="262"/>
      <c r="G40" s="256"/>
      <c r="H40" s="256"/>
      <c r="I40" s="257"/>
      <c r="J40" s="260"/>
      <c r="K40" s="256"/>
      <c r="L40" s="257"/>
      <c r="M40" s="260"/>
      <c r="N40" s="256"/>
      <c r="O40" s="256"/>
      <c r="P40" s="261"/>
    </row>
    <row r="41" spans="1:16" ht="12.95" customHeight="1" thickBot="1" x14ac:dyDescent="0.25">
      <c r="A41" s="222" t="s">
        <v>70</v>
      </c>
      <c r="B41" s="229" t="s">
        <v>247</v>
      </c>
      <c r="C41" s="230"/>
      <c r="D41" s="273"/>
      <c r="E41" s="274"/>
      <c r="F41" s="274"/>
      <c r="G41" s="275"/>
      <c r="H41" s="275"/>
      <c r="I41" s="276"/>
      <c r="J41" s="277"/>
      <c r="K41" s="275"/>
      <c r="L41" s="276"/>
      <c r="M41" s="277"/>
      <c r="N41" s="275"/>
      <c r="O41" s="275"/>
      <c r="P41" s="278"/>
    </row>
    <row r="42" spans="1:16" ht="12.95" customHeight="1" x14ac:dyDescent="0.2">
      <c r="A42" s="976" t="s">
        <v>35</v>
      </c>
      <c r="B42" s="978" t="s">
        <v>329</v>
      </c>
      <c r="C42" s="935" t="s">
        <v>186</v>
      </c>
      <c r="D42" s="944" t="s">
        <v>191</v>
      </c>
      <c r="E42" s="964" t="s">
        <v>167</v>
      </c>
      <c r="F42" s="965"/>
      <c r="G42" s="965"/>
      <c r="H42" s="965"/>
      <c r="I42" s="966"/>
      <c r="J42" s="973" t="s">
        <v>4</v>
      </c>
      <c r="K42" s="974"/>
      <c r="L42" s="975"/>
      <c r="M42" s="940" t="s">
        <v>359</v>
      </c>
      <c r="N42" s="968"/>
      <c r="O42" s="968"/>
      <c r="P42" s="941"/>
    </row>
    <row r="43" spans="1:16" ht="27.75" customHeight="1" thickBot="1" x14ac:dyDescent="0.25">
      <c r="A43" s="977"/>
      <c r="B43" s="979"/>
      <c r="C43" s="936"/>
      <c r="D43" s="945"/>
      <c r="E43" s="231" t="s">
        <v>213</v>
      </c>
      <c r="F43" s="232" t="s">
        <v>164</v>
      </c>
      <c r="G43" s="233" t="s">
        <v>165</v>
      </c>
      <c r="H43" s="233" t="s">
        <v>214</v>
      </c>
      <c r="I43" s="234" t="s">
        <v>166</v>
      </c>
      <c r="J43" s="235" t="s">
        <v>215</v>
      </c>
      <c r="K43" s="233" t="s">
        <v>168</v>
      </c>
      <c r="L43" s="234" t="s">
        <v>169</v>
      </c>
      <c r="M43" s="235" t="s">
        <v>170</v>
      </c>
      <c r="N43" s="233" t="s">
        <v>171</v>
      </c>
      <c r="O43" s="233" t="s">
        <v>172</v>
      </c>
      <c r="P43" s="234" t="s">
        <v>173</v>
      </c>
    </row>
    <row r="44" spans="1:16" ht="12.95" customHeight="1" x14ac:dyDescent="0.2">
      <c r="A44" s="236" t="s">
        <v>71</v>
      </c>
      <c r="B44" s="237" t="s">
        <v>248</v>
      </c>
      <c r="C44" s="238"/>
      <c r="D44" s="279"/>
      <c r="E44" s="280"/>
      <c r="F44" s="254"/>
      <c r="G44" s="281"/>
      <c r="H44" s="281"/>
      <c r="I44" s="282"/>
      <c r="J44" s="283"/>
      <c r="K44" s="281"/>
      <c r="L44" s="282"/>
      <c r="M44" s="283"/>
      <c r="N44" s="281"/>
      <c r="O44" s="281"/>
      <c r="P44" s="282"/>
    </row>
    <row r="45" spans="1:16" ht="12.95" customHeight="1" x14ac:dyDescent="0.2">
      <c r="A45" s="222" t="s">
        <v>72</v>
      </c>
      <c r="B45" s="203" t="s">
        <v>249</v>
      </c>
      <c r="C45" s="239"/>
      <c r="D45" s="284"/>
      <c r="E45" s="285"/>
      <c r="F45" s="258"/>
      <c r="G45" s="286"/>
      <c r="H45" s="286"/>
      <c r="I45" s="287"/>
      <c r="J45" s="288"/>
      <c r="K45" s="286"/>
      <c r="L45" s="287"/>
      <c r="M45" s="288"/>
      <c r="N45" s="286"/>
      <c r="O45" s="286"/>
      <c r="P45" s="287"/>
    </row>
    <row r="46" spans="1:16" ht="12.95" customHeight="1" x14ac:dyDescent="0.2">
      <c r="A46" s="222" t="s">
        <v>73</v>
      </c>
      <c r="B46" s="204" t="s">
        <v>317</v>
      </c>
      <c r="C46" s="239"/>
      <c r="D46" s="284"/>
      <c r="E46" s="285"/>
      <c r="F46" s="258"/>
      <c r="G46" s="286"/>
      <c r="H46" s="286"/>
      <c r="I46" s="287"/>
      <c r="J46" s="288"/>
      <c r="K46" s="286"/>
      <c r="L46" s="287"/>
      <c r="M46" s="288"/>
      <c r="N46" s="286"/>
      <c r="O46" s="286"/>
      <c r="P46" s="287"/>
    </row>
    <row r="47" spans="1:16" ht="12.95" customHeight="1" x14ac:dyDescent="0.2">
      <c r="A47" s="222" t="s">
        <v>74</v>
      </c>
      <c r="B47" s="204" t="s">
        <v>318</v>
      </c>
      <c r="C47" s="239">
        <v>4</v>
      </c>
      <c r="D47" s="284"/>
      <c r="E47" s="285">
        <v>2832436</v>
      </c>
      <c r="F47" s="258"/>
      <c r="G47" s="286"/>
      <c r="H47" s="286"/>
      <c r="I47" s="287"/>
      <c r="J47" s="288"/>
      <c r="K47" s="286"/>
      <c r="L47" s="287"/>
      <c r="M47" s="288"/>
      <c r="N47" s="286"/>
      <c r="O47" s="286"/>
      <c r="P47" s="287"/>
    </row>
    <row r="48" spans="1:16" ht="12.95" customHeight="1" x14ac:dyDescent="0.2">
      <c r="A48" s="222" t="s">
        <v>75</v>
      </c>
      <c r="B48" s="204" t="s">
        <v>319</v>
      </c>
      <c r="C48" s="240">
        <v>0</v>
      </c>
      <c r="D48" s="289"/>
      <c r="E48" s="285">
        <v>1308017</v>
      </c>
      <c r="F48" s="258"/>
      <c r="G48" s="286"/>
      <c r="H48" s="286"/>
      <c r="I48" s="287"/>
      <c r="J48" s="288"/>
      <c r="K48" s="286"/>
      <c r="L48" s="287"/>
      <c r="M48" s="288"/>
      <c r="N48" s="286"/>
      <c r="O48" s="286"/>
      <c r="P48" s="287"/>
    </row>
    <row r="49" spans="1:16" ht="12.95" customHeight="1" x14ac:dyDescent="0.2">
      <c r="A49" s="222" t="s">
        <v>76</v>
      </c>
      <c r="B49" s="204" t="s">
        <v>250</v>
      </c>
      <c r="C49" s="239"/>
      <c r="D49" s="284"/>
      <c r="E49" s="285"/>
      <c r="F49" s="258"/>
      <c r="G49" s="286"/>
      <c r="H49" s="286"/>
      <c r="I49" s="287"/>
      <c r="J49" s="288"/>
      <c r="K49" s="286"/>
      <c r="L49" s="287"/>
      <c r="M49" s="288"/>
      <c r="N49" s="286"/>
      <c r="O49" s="286"/>
      <c r="P49" s="287"/>
    </row>
    <row r="50" spans="1:16" ht="12.95" customHeight="1" x14ac:dyDescent="0.2">
      <c r="A50" s="222" t="s">
        <v>77</v>
      </c>
      <c r="B50" s="204" t="s">
        <v>251</v>
      </c>
      <c r="C50" s="239"/>
      <c r="D50" s="284"/>
      <c r="E50" s="285"/>
      <c r="F50" s="258"/>
      <c r="G50" s="286"/>
      <c r="H50" s="286"/>
      <c r="I50" s="287"/>
      <c r="J50" s="288"/>
      <c r="K50" s="286"/>
      <c r="L50" s="287"/>
      <c r="M50" s="288"/>
      <c r="N50" s="286"/>
      <c r="O50" s="286"/>
      <c r="P50" s="287"/>
    </row>
    <row r="51" spans="1:16" ht="12.95" customHeight="1" x14ac:dyDescent="0.2">
      <c r="A51" s="222" t="s">
        <v>78</v>
      </c>
      <c r="B51" s="204" t="s">
        <v>252</v>
      </c>
      <c r="C51" s="240"/>
      <c r="D51" s="289"/>
      <c r="E51" s="290"/>
      <c r="F51" s="258"/>
      <c r="G51" s="286"/>
      <c r="H51" s="286"/>
      <c r="I51" s="287"/>
      <c r="J51" s="288"/>
      <c r="K51" s="286"/>
      <c r="L51" s="287"/>
      <c r="M51" s="288"/>
      <c r="N51" s="286"/>
      <c r="O51" s="286"/>
      <c r="P51" s="287"/>
    </row>
    <row r="52" spans="1:16" ht="12.95" customHeight="1" x14ac:dyDescent="0.2">
      <c r="A52" s="222" t="s">
        <v>79</v>
      </c>
      <c r="B52" s="204" t="s">
        <v>253</v>
      </c>
      <c r="C52" s="240"/>
      <c r="D52" s="289"/>
      <c r="E52" s="291"/>
      <c r="F52" s="289"/>
      <c r="G52" s="286"/>
      <c r="H52" s="286"/>
      <c r="I52" s="287"/>
      <c r="J52" s="288"/>
      <c r="K52" s="286"/>
      <c r="L52" s="287"/>
      <c r="M52" s="288"/>
      <c r="N52" s="286"/>
      <c r="O52" s="286"/>
      <c r="P52" s="287"/>
    </row>
    <row r="53" spans="1:16" ht="12.95" customHeight="1" x14ac:dyDescent="0.2">
      <c r="A53" s="222" t="s">
        <v>80</v>
      </c>
      <c r="B53" s="203" t="s">
        <v>34</v>
      </c>
      <c r="C53" s="239"/>
      <c r="D53" s="284"/>
      <c r="E53" s="285"/>
      <c r="F53" s="258"/>
      <c r="G53" s="286"/>
      <c r="H53" s="286"/>
      <c r="I53" s="287"/>
      <c r="J53" s="288"/>
      <c r="K53" s="286"/>
      <c r="L53" s="287"/>
      <c r="M53" s="288"/>
      <c r="N53" s="286"/>
      <c r="O53" s="286"/>
      <c r="P53" s="287"/>
    </row>
    <row r="54" spans="1:16" ht="12.95" customHeight="1" x14ac:dyDescent="0.2">
      <c r="A54" s="222"/>
      <c r="B54" s="241" t="s">
        <v>254</v>
      </c>
      <c r="C54" s="240"/>
      <c r="D54" s="289"/>
      <c r="E54" s="285"/>
      <c r="F54" s="258"/>
      <c r="G54" s="286"/>
      <c r="H54" s="286"/>
      <c r="I54" s="287"/>
      <c r="J54" s="288"/>
      <c r="K54" s="286"/>
      <c r="L54" s="287"/>
      <c r="M54" s="288"/>
      <c r="N54" s="286"/>
      <c r="O54" s="286"/>
      <c r="P54" s="287"/>
    </row>
    <row r="55" spans="1:16" ht="12.95" customHeight="1" x14ac:dyDescent="0.2">
      <c r="A55" s="222" t="s">
        <v>15</v>
      </c>
      <c r="B55" s="205" t="s">
        <v>320</v>
      </c>
      <c r="C55" s="240"/>
      <c r="D55" s="289"/>
      <c r="E55" s="291"/>
      <c r="F55" s="258"/>
      <c r="G55" s="286"/>
      <c r="H55" s="286"/>
      <c r="I55" s="287"/>
      <c r="J55" s="288"/>
      <c r="K55" s="286"/>
      <c r="L55" s="287"/>
      <c r="M55" s="288"/>
      <c r="N55" s="286"/>
      <c r="O55" s="286"/>
      <c r="P55" s="287"/>
    </row>
    <row r="56" spans="1:16" ht="12.95" customHeight="1" x14ac:dyDescent="0.2">
      <c r="A56" s="222" t="s">
        <v>37</v>
      </c>
      <c r="B56" s="203" t="s">
        <v>313</v>
      </c>
      <c r="C56" s="240"/>
      <c r="D56" s="289"/>
      <c r="E56" s="292"/>
      <c r="F56" s="286"/>
      <c r="G56" s="286"/>
      <c r="H56" s="286"/>
      <c r="I56" s="287"/>
      <c r="J56" s="288"/>
      <c r="K56" s="286"/>
      <c r="L56" s="287"/>
      <c r="M56" s="288"/>
      <c r="N56" s="286"/>
      <c r="O56" s="286"/>
      <c r="P56" s="287"/>
    </row>
    <row r="57" spans="1:16" ht="12.95" customHeight="1" x14ac:dyDescent="0.2">
      <c r="A57" s="222" t="s">
        <v>38</v>
      </c>
      <c r="B57" s="203" t="s">
        <v>325</v>
      </c>
      <c r="C57" s="239"/>
      <c r="D57" s="284"/>
      <c r="E57" s="292"/>
      <c r="F57" s="286"/>
      <c r="G57" s="286"/>
      <c r="H57" s="286"/>
      <c r="I57" s="287"/>
      <c r="J57" s="288"/>
      <c r="K57" s="286"/>
      <c r="L57" s="287"/>
      <c r="M57" s="288"/>
      <c r="N57" s="286"/>
      <c r="O57" s="286"/>
      <c r="P57" s="287"/>
    </row>
    <row r="58" spans="1:16" ht="12.95" customHeight="1" x14ac:dyDescent="0.2">
      <c r="A58" s="222" t="s">
        <v>39</v>
      </c>
      <c r="B58" s="205" t="s">
        <v>255</v>
      </c>
      <c r="C58" s="239"/>
      <c r="D58" s="284"/>
      <c r="E58" s="292"/>
      <c r="F58" s="286"/>
      <c r="G58" s="286"/>
      <c r="H58" s="286"/>
      <c r="I58" s="287"/>
      <c r="J58" s="288"/>
      <c r="K58" s="286"/>
      <c r="L58" s="287"/>
      <c r="M58" s="288"/>
      <c r="N58" s="286"/>
      <c r="O58" s="286"/>
      <c r="P58" s="287"/>
    </row>
    <row r="59" spans="1:16" x14ac:dyDescent="0.2">
      <c r="A59" s="222" t="s">
        <v>40</v>
      </c>
      <c r="B59" s="203" t="s">
        <v>321</v>
      </c>
      <c r="C59" s="239"/>
      <c r="D59" s="284"/>
      <c r="E59" s="292"/>
      <c r="F59" s="293"/>
      <c r="G59" s="286"/>
      <c r="H59" s="286"/>
      <c r="I59" s="287"/>
      <c r="J59" s="288"/>
      <c r="K59" s="286"/>
      <c r="L59" s="287"/>
      <c r="M59" s="288"/>
      <c r="N59" s="286"/>
      <c r="O59" s="286"/>
      <c r="P59" s="287"/>
    </row>
    <row r="60" spans="1:16" ht="25.5" x14ac:dyDescent="0.2">
      <c r="A60" s="222" t="s">
        <v>41</v>
      </c>
      <c r="B60" s="205" t="s">
        <v>306</v>
      </c>
      <c r="C60" s="239">
        <v>13</v>
      </c>
      <c r="D60" s="331">
        <v>72398400</v>
      </c>
      <c r="E60" s="294">
        <v>3126192</v>
      </c>
      <c r="F60" s="333">
        <v>3500000</v>
      </c>
      <c r="G60" s="295"/>
      <c r="H60" s="333">
        <v>98616</v>
      </c>
      <c r="I60" s="332">
        <v>0</v>
      </c>
      <c r="J60" s="297"/>
      <c r="K60" s="295"/>
      <c r="L60" s="296"/>
      <c r="M60" s="297"/>
      <c r="N60" s="295"/>
      <c r="O60" s="295"/>
      <c r="P60" s="332">
        <v>816868</v>
      </c>
    </row>
    <row r="61" spans="1:16" x14ac:dyDescent="0.2">
      <c r="A61" s="222" t="s">
        <v>42</v>
      </c>
      <c r="B61" s="203" t="s">
        <v>322</v>
      </c>
      <c r="C61" s="239"/>
      <c r="D61" s="284"/>
      <c r="E61" s="292"/>
      <c r="F61" s="286"/>
      <c r="G61" s="286"/>
      <c r="H61" s="286"/>
      <c r="I61" s="287"/>
      <c r="J61" s="288"/>
      <c r="K61" s="286"/>
      <c r="L61" s="287"/>
      <c r="M61" s="288"/>
      <c r="N61" s="286"/>
      <c r="O61" s="286"/>
      <c r="P61" s="287"/>
    </row>
    <row r="62" spans="1:16" x14ac:dyDescent="0.2">
      <c r="A62" s="222"/>
      <c r="B62" s="241" t="s">
        <v>256</v>
      </c>
      <c r="C62" s="239"/>
      <c r="D62" s="284"/>
      <c r="E62" s="292"/>
      <c r="F62" s="286"/>
      <c r="G62" s="286"/>
      <c r="H62" s="286"/>
      <c r="I62" s="287"/>
      <c r="J62" s="288"/>
      <c r="K62" s="286"/>
      <c r="L62" s="287"/>
      <c r="M62" s="288"/>
      <c r="N62" s="286"/>
      <c r="O62" s="286"/>
      <c r="P62" s="287"/>
    </row>
    <row r="63" spans="1:16" x14ac:dyDescent="0.2">
      <c r="A63" s="222" t="s">
        <v>88</v>
      </c>
      <c r="B63" s="203" t="s">
        <v>257</v>
      </c>
      <c r="C63" s="239"/>
      <c r="D63" s="284"/>
      <c r="E63" s="292"/>
      <c r="F63" s="286"/>
      <c r="G63" s="286"/>
      <c r="H63" s="286"/>
      <c r="I63" s="287"/>
      <c r="J63" s="288"/>
      <c r="K63" s="286"/>
      <c r="L63" s="287"/>
      <c r="M63" s="288"/>
      <c r="N63" s="286"/>
      <c r="O63" s="286"/>
      <c r="P63" s="287"/>
    </row>
    <row r="64" spans="1:16" x14ac:dyDescent="0.2">
      <c r="A64" s="222" t="s">
        <v>37</v>
      </c>
      <c r="B64" s="203" t="s">
        <v>258</v>
      </c>
      <c r="C64" s="239"/>
      <c r="D64" s="284"/>
      <c r="E64" s="292"/>
      <c r="F64" s="286"/>
      <c r="G64" s="286"/>
      <c r="H64" s="286"/>
      <c r="I64" s="287"/>
      <c r="J64" s="288"/>
      <c r="K64" s="286"/>
      <c r="L64" s="287"/>
      <c r="M64" s="288"/>
      <c r="N64" s="286"/>
      <c r="O64" s="286"/>
      <c r="P64" s="287"/>
    </row>
    <row r="65" spans="1:16" x14ac:dyDescent="0.2">
      <c r="A65" s="222" t="s">
        <v>332</v>
      </c>
      <c r="B65" s="203" t="s">
        <v>33</v>
      </c>
      <c r="C65" s="239"/>
      <c r="D65" s="284"/>
      <c r="E65" s="292"/>
      <c r="F65" s="286"/>
      <c r="G65" s="286"/>
      <c r="H65" s="286"/>
      <c r="I65" s="287"/>
      <c r="J65" s="288"/>
      <c r="K65" s="286"/>
      <c r="L65" s="287"/>
      <c r="M65" s="288"/>
      <c r="N65" s="286"/>
      <c r="O65" s="286"/>
      <c r="P65" s="287"/>
    </row>
    <row r="66" spans="1:16" x14ac:dyDescent="0.2">
      <c r="A66" s="222" t="s">
        <v>333</v>
      </c>
      <c r="B66" s="203" t="s">
        <v>330</v>
      </c>
      <c r="C66" s="239">
        <v>2</v>
      </c>
      <c r="D66" s="255">
        <v>13566400</v>
      </c>
      <c r="E66" s="292"/>
      <c r="F66" s="286"/>
      <c r="G66" s="286"/>
      <c r="H66" s="293">
        <v>98911</v>
      </c>
      <c r="I66" s="287"/>
      <c r="J66" s="288"/>
      <c r="K66" s="286"/>
      <c r="L66" s="287"/>
      <c r="M66" s="288"/>
      <c r="N66" s="286"/>
      <c r="O66" s="286"/>
      <c r="P66" s="319">
        <v>103089</v>
      </c>
    </row>
    <row r="67" spans="1:16" x14ac:dyDescent="0.2">
      <c r="A67" s="222"/>
      <c r="B67" s="241" t="s">
        <v>261</v>
      </c>
      <c r="C67" s="239"/>
      <c r="D67" s="284"/>
      <c r="E67" s="292"/>
      <c r="F67" s="286"/>
      <c r="G67" s="286"/>
      <c r="H67" s="286"/>
      <c r="I67" s="287"/>
      <c r="J67" s="288"/>
      <c r="K67" s="286"/>
      <c r="L67" s="287"/>
      <c r="M67" s="288"/>
      <c r="N67" s="286"/>
      <c r="O67" s="286"/>
      <c r="P67" s="287"/>
    </row>
    <row r="68" spans="1:16" x14ac:dyDescent="0.2">
      <c r="A68" s="222" t="s">
        <v>15</v>
      </c>
      <c r="B68" s="203" t="s">
        <v>326</v>
      </c>
      <c r="C68" s="239">
        <v>6</v>
      </c>
      <c r="D68" s="255">
        <v>63412301</v>
      </c>
      <c r="E68" s="292"/>
      <c r="F68" s="286"/>
      <c r="G68" s="286"/>
      <c r="H68" s="286"/>
      <c r="I68" s="287"/>
      <c r="J68" s="288"/>
      <c r="K68" s="286"/>
      <c r="L68" s="287"/>
      <c r="M68" s="288"/>
      <c r="N68" s="286"/>
      <c r="O68" s="286"/>
      <c r="P68" s="319">
        <v>298687</v>
      </c>
    </row>
    <row r="69" spans="1:16" x14ac:dyDescent="0.2">
      <c r="A69" s="222" t="s">
        <v>37</v>
      </c>
      <c r="B69" s="203" t="s">
        <v>310</v>
      </c>
      <c r="C69" s="239"/>
      <c r="D69" s="284"/>
      <c r="E69" s="292"/>
      <c r="F69" s="286"/>
      <c r="G69" s="286"/>
      <c r="H69" s="293">
        <v>1398012</v>
      </c>
      <c r="I69" s="287"/>
      <c r="J69" s="288"/>
      <c r="K69" s="286"/>
      <c r="L69" s="287"/>
      <c r="M69" s="288"/>
      <c r="N69" s="286"/>
      <c r="O69" s="286"/>
      <c r="P69" s="287"/>
    </row>
    <row r="70" spans="1:16" x14ac:dyDescent="0.2">
      <c r="A70" s="222" t="s">
        <v>38</v>
      </c>
      <c r="B70" s="203" t="s">
        <v>262</v>
      </c>
      <c r="C70" s="242"/>
      <c r="D70" s="298"/>
      <c r="E70" s="299"/>
      <c r="F70" s="300"/>
      <c r="G70" s="300"/>
      <c r="H70" s="300"/>
      <c r="I70" s="301"/>
      <c r="J70" s="302"/>
      <c r="K70" s="300"/>
      <c r="L70" s="301"/>
      <c r="M70" s="302"/>
      <c r="N70" s="300"/>
      <c r="O70" s="300"/>
      <c r="P70" s="301"/>
    </row>
    <row r="71" spans="1:16" x14ac:dyDescent="0.2">
      <c r="A71" s="222" t="s">
        <v>39</v>
      </c>
      <c r="B71" s="203" t="s">
        <v>327</v>
      </c>
      <c r="C71" s="242">
        <v>3</v>
      </c>
      <c r="D71" s="298"/>
      <c r="E71" s="299"/>
      <c r="F71" s="300"/>
      <c r="G71" s="300"/>
      <c r="H71" s="300"/>
      <c r="I71" s="301"/>
      <c r="J71" s="302"/>
      <c r="K71" s="300"/>
      <c r="L71" s="301"/>
      <c r="M71" s="302"/>
      <c r="N71" s="300"/>
      <c r="O71" s="300"/>
      <c r="P71" s="301"/>
    </row>
    <row r="72" spans="1:16" x14ac:dyDescent="0.2">
      <c r="A72" s="222" t="s">
        <v>40</v>
      </c>
      <c r="B72" s="203" t="s">
        <v>17</v>
      </c>
      <c r="C72" s="242">
        <v>1</v>
      </c>
      <c r="D72" s="298"/>
      <c r="E72" s="299"/>
      <c r="F72" s="300"/>
      <c r="G72" s="300"/>
      <c r="H72" s="300"/>
      <c r="I72" s="301"/>
      <c r="J72" s="302"/>
      <c r="K72" s="300"/>
      <c r="L72" s="301"/>
      <c r="M72" s="302"/>
      <c r="N72" s="300"/>
      <c r="O72" s="300"/>
      <c r="P72" s="301"/>
    </row>
    <row r="73" spans="1:16" ht="13.5" thickBot="1" x14ac:dyDescent="0.25">
      <c r="A73" s="251" t="s">
        <v>41</v>
      </c>
      <c r="B73" s="252" t="s">
        <v>362</v>
      </c>
      <c r="C73" s="242">
        <v>4</v>
      </c>
      <c r="D73" s="298"/>
      <c r="E73" s="299"/>
      <c r="F73" s="300"/>
      <c r="G73" s="300"/>
      <c r="H73" s="300"/>
      <c r="I73" s="301"/>
      <c r="J73" s="302"/>
      <c r="K73" s="300"/>
      <c r="L73" s="301"/>
      <c r="M73" s="302"/>
      <c r="N73" s="300"/>
      <c r="O73" s="300"/>
      <c r="P73" s="301"/>
    </row>
    <row r="74" spans="1:16" ht="13.5" thickBot="1" x14ac:dyDescent="0.25">
      <c r="A74" s="958" t="s">
        <v>83</v>
      </c>
      <c r="B74" s="959"/>
      <c r="C74" s="253">
        <f>C7+C8+C9+C10+C11+C12+C13+C14+C15+C16+C17+C18+C19+C20+C21+C22+C23+C24+C25+C26+C27+C28+C29+C30+C31+C32+C33+C34+C35+C36+C37+C38+C39+C40+C41+C44+C45+C46+C47+C48+C49+C50+C51+C52+C53+C55+C56+C57+C58+C59+C60+C61+C63+C64+C65+C66+C68+C69+C70+C71+C73+C72</f>
        <v>38</v>
      </c>
      <c r="D74" s="303">
        <f>SUM(D7:D41)+SUM(D44:D73)</f>
        <v>149377101</v>
      </c>
      <c r="E74" s="303">
        <f t="shared" ref="E74:P74" si="0">SUM(E7:E41)+SUM(E44:E73)</f>
        <v>184121808</v>
      </c>
      <c r="F74" s="303">
        <f t="shared" si="0"/>
        <v>3603500</v>
      </c>
      <c r="G74" s="303">
        <f t="shared" si="0"/>
        <v>109208050</v>
      </c>
      <c r="H74" s="303">
        <f t="shared" si="0"/>
        <v>68599671</v>
      </c>
      <c r="I74" s="303">
        <f t="shared" si="0"/>
        <v>6180000</v>
      </c>
      <c r="J74" s="303">
        <f t="shared" si="0"/>
        <v>53827200</v>
      </c>
      <c r="K74" s="303">
        <f t="shared" si="0"/>
        <v>78932680</v>
      </c>
      <c r="L74" s="303">
        <f t="shared" si="0"/>
        <v>220000</v>
      </c>
      <c r="M74" s="303">
        <f t="shared" si="0"/>
        <v>377000</v>
      </c>
      <c r="N74" s="303">
        <f t="shared" si="0"/>
        <v>0</v>
      </c>
      <c r="O74" s="303">
        <f t="shared" si="0"/>
        <v>0</v>
      </c>
      <c r="P74" s="766">
        <f t="shared" si="0"/>
        <v>120503038</v>
      </c>
    </row>
    <row r="75" spans="1:16" ht="18.75" customHeight="1" thickBot="1" x14ac:dyDescent="0.25">
      <c r="A75" s="980" t="s">
        <v>174</v>
      </c>
      <c r="B75" s="981"/>
      <c r="C75" s="244"/>
      <c r="D75" s="946">
        <f>E74+F74+G74+H74+I74+J74+K74+L74+M74+N74+O74+P74+D74</f>
        <v>774950048</v>
      </c>
      <c r="E75" s="947"/>
      <c r="F75" s="947"/>
      <c r="G75" s="947"/>
      <c r="H75" s="947"/>
      <c r="I75" s="947"/>
      <c r="J75" s="947"/>
      <c r="K75" s="947"/>
      <c r="L75" s="947"/>
      <c r="M75" s="947"/>
      <c r="N75" s="947"/>
      <c r="O75" s="947"/>
      <c r="P75" s="948"/>
    </row>
    <row r="76" spans="1:16" ht="15" customHeight="1" thickBot="1" x14ac:dyDescent="0.25">
      <c r="A76" s="995" t="s">
        <v>189</v>
      </c>
      <c r="B76" s="996"/>
      <c r="C76" s="245"/>
      <c r="D76" s="949">
        <f>-D74</f>
        <v>-149377101</v>
      </c>
      <c r="E76" s="950"/>
      <c r="F76" s="950"/>
      <c r="G76" s="950"/>
      <c r="H76" s="950"/>
      <c r="I76" s="950"/>
      <c r="J76" s="950"/>
      <c r="K76" s="950"/>
      <c r="L76" s="950"/>
      <c r="M76" s="950"/>
      <c r="N76" s="950"/>
      <c r="O76" s="950"/>
      <c r="P76" s="951"/>
    </row>
    <row r="77" spans="1:16" ht="13.5" thickBot="1" x14ac:dyDescent="0.25">
      <c r="A77" s="997" t="s">
        <v>190</v>
      </c>
      <c r="B77" s="998"/>
      <c r="C77" s="68"/>
      <c r="D77" s="946">
        <f>SUM(D75:D76)</f>
        <v>625572947</v>
      </c>
      <c r="E77" s="952"/>
      <c r="F77" s="952"/>
      <c r="G77" s="952"/>
      <c r="H77" s="952"/>
      <c r="I77" s="952"/>
      <c r="J77" s="952"/>
      <c r="K77" s="952"/>
      <c r="L77" s="952"/>
      <c r="M77" s="952"/>
      <c r="N77" s="952"/>
      <c r="O77" s="952"/>
      <c r="P77" s="953"/>
    </row>
    <row r="78" spans="1:16" x14ac:dyDescent="0.2">
      <c r="A78" s="69"/>
      <c r="B78" s="69"/>
    </row>
    <row r="79" spans="1:16" x14ac:dyDescent="0.2">
      <c r="A79" s="69"/>
      <c r="B79" s="69"/>
    </row>
    <row r="80" spans="1:16" x14ac:dyDescent="0.2">
      <c r="A80" s="69"/>
      <c r="B80" s="69"/>
    </row>
    <row r="81" spans="1:16" x14ac:dyDescent="0.2">
      <c r="A81" s="69"/>
      <c r="B81" s="69"/>
    </row>
    <row r="82" spans="1:16" x14ac:dyDescent="0.2">
      <c r="A82" s="69"/>
      <c r="B82" s="69"/>
    </row>
    <row r="83" spans="1:16" ht="13.5" thickBot="1" x14ac:dyDescent="0.25">
      <c r="A83" s="69"/>
      <c r="B83" s="69"/>
    </row>
    <row r="84" spans="1:16" ht="12.75" customHeight="1" x14ac:dyDescent="0.2">
      <c r="A84" s="923" t="s">
        <v>35</v>
      </c>
      <c r="B84" s="1001" t="s">
        <v>329</v>
      </c>
      <c r="C84" s="935" t="s">
        <v>186</v>
      </c>
      <c r="D84" s="933" t="s">
        <v>191</v>
      </c>
      <c r="E84" s="985" t="s">
        <v>184</v>
      </c>
      <c r="F84" s="985"/>
      <c r="G84" s="985"/>
      <c r="H84" s="985"/>
      <c r="I84" s="985"/>
      <c r="J84" s="986"/>
      <c r="K84" s="987" t="s">
        <v>183</v>
      </c>
      <c r="L84" s="988"/>
      <c r="M84" s="988"/>
      <c r="N84" s="989"/>
      <c r="O84" s="990" t="s">
        <v>359</v>
      </c>
      <c r="P84" s="991"/>
    </row>
    <row r="85" spans="1:16" ht="23.25" thickBot="1" x14ac:dyDescent="0.25">
      <c r="A85" s="924"/>
      <c r="B85" s="1002"/>
      <c r="C85" s="936"/>
      <c r="D85" s="934"/>
      <c r="E85" s="231" t="s">
        <v>175</v>
      </c>
      <c r="F85" s="232" t="s">
        <v>176</v>
      </c>
      <c r="G85" s="233" t="s">
        <v>177</v>
      </c>
      <c r="H85" s="233" t="s">
        <v>178</v>
      </c>
      <c r="I85" s="233" t="s">
        <v>179</v>
      </c>
      <c r="J85" s="234" t="s">
        <v>217</v>
      </c>
      <c r="K85" s="235" t="s">
        <v>180</v>
      </c>
      <c r="L85" s="233" t="s">
        <v>181</v>
      </c>
      <c r="M85" s="233" t="s">
        <v>182</v>
      </c>
      <c r="N85" s="234" t="s">
        <v>179</v>
      </c>
      <c r="O85" s="235" t="s">
        <v>216</v>
      </c>
      <c r="P85" s="234" t="s">
        <v>185</v>
      </c>
    </row>
    <row r="86" spans="1:16" ht="15.75" customHeight="1" x14ac:dyDescent="0.2">
      <c r="A86" s="999" t="s">
        <v>36</v>
      </c>
      <c r="B86" s="1000"/>
      <c r="C86" s="66"/>
      <c r="D86" s="328"/>
      <c r="E86" s="329"/>
      <c r="F86" s="266"/>
      <c r="G86" s="267"/>
      <c r="H86" s="267"/>
      <c r="I86" s="267"/>
      <c r="J86" s="271"/>
      <c r="K86" s="270"/>
      <c r="L86" s="267"/>
      <c r="M86" s="267"/>
      <c r="N86" s="271"/>
      <c r="O86" s="270"/>
      <c r="P86" s="271"/>
    </row>
    <row r="87" spans="1:16" x14ac:dyDescent="0.2">
      <c r="A87" s="246" t="s">
        <v>15</v>
      </c>
      <c r="B87" s="223" t="s">
        <v>569</v>
      </c>
      <c r="C87" s="247"/>
      <c r="D87" s="316"/>
      <c r="E87" s="304"/>
      <c r="F87" s="262"/>
      <c r="G87" s="256"/>
      <c r="H87" s="256"/>
      <c r="I87" s="256"/>
      <c r="J87" s="261"/>
      <c r="K87" s="260">
        <v>13740139</v>
      </c>
      <c r="L87" s="256"/>
      <c r="M87" s="256"/>
      <c r="N87" s="261"/>
      <c r="O87" s="260"/>
      <c r="P87" s="261"/>
    </row>
    <row r="88" spans="1:16" x14ac:dyDescent="0.2">
      <c r="A88" s="246" t="s">
        <v>37</v>
      </c>
      <c r="B88" s="225" t="s">
        <v>16</v>
      </c>
      <c r="C88" s="247"/>
      <c r="D88" s="316"/>
      <c r="E88" s="304"/>
      <c r="F88" s="262"/>
      <c r="G88" s="256">
        <v>3315000</v>
      </c>
      <c r="H88" s="256"/>
      <c r="I88" s="256"/>
      <c r="J88" s="261"/>
      <c r="K88" s="260">
        <v>46900000</v>
      </c>
      <c r="L88" s="256"/>
      <c r="M88" s="256"/>
      <c r="N88" s="261"/>
      <c r="O88" s="260"/>
      <c r="P88" s="261"/>
    </row>
    <row r="89" spans="1:16" ht="18" customHeight="1" x14ac:dyDescent="0.2">
      <c r="A89" s="246" t="s">
        <v>38</v>
      </c>
      <c r="B89" s="226" t="s">
        <v>328</v>
      </c>
      <c r="C89" s="247"/>
      <c r="D89" s="316"/>
      <c r="E89" s="304"/>
      <c r="F89" s="262"/>
      <c r="G89" s="256">
        <v>1451000</v>
      </c>
      <c r="H89" s="256"/>
      <c r="I89" s="256"/>
      <c r="J89" s="261"/>
      <c r="K89" s="260"/>
      <c r="L89" s="256">
        <v>571500</v>
      </c>
      <c r="M89" s="256"/>
      <c r="N89" s="261"/>
      <c r="O89" s="260"/>
      <c r="P89" s="261"/>
    </row>
    <row r="90" spans="1:16" ht="25.5" x14ac:dyDescent="0.2">
      <c r="A90" s="246" t="s">
        <v>39</v>
      </c>
      <c r="B90" s="226" t="s">
        <v>306</v>
      </c>
      <c r="C90" s="248">
        <v>1</v>
      </c>
      <c r="D90" s="320"/>
      <c r="E90" s="304">
        <v>19772450</v>
      </c>
      <c r="F90" s="262">
        <v>3740000</v>
      </c>
      <c r="G90" s="256">
        <v>30458832</v>
      </c>
      <c r="H90" s="256"/>
      <c r="I90" s="256"/>
      <c r="J90" s="261"/>
      <c r="K90" s="260"/>
      <c r="L90" s="256">
        <v>3184000</v>
      </c>
      <c r="M90" s="256"/>
      <c r="N90" s="261"/>
      <c r="O90" s="260"/>
      <c r="P90" s="261">
        <v>107266988</v>
      </c>
    </row>
    <row r="91" spans="1:16" x14ac:dyDescent="0.2">
      <c r="A91" s="246" t="s">
        <v>40</v>
      </c>
      <c r="B91" s="223" t="s">
        <v>307</v>
      </c>
      <c r="C91" s="248"/>
      <c r="D91" s="320"/>
      <c r="E91" s="304">
        <v>314000</v>
      </c>
      <c r="F91" s="262"/>
      <c r="G91" s="256">
        <v>2400000</v>
      </c>
      <c r="H91" s="256"/>
      <c r="I91" s="256"/>
      <c r="J91" s="261"/>
      <c r="K91" s="260"/>
      <c r="L91" s="256"/>
      <c r="M91" s="256"/>
      <c r="N91" s="261"/>
      <c r="O91" s="260"/>
      <c r="P91" s="261"/>
    </row>
    <row r="92" spans="1:16" x14ac:dyDescent="0.2">
      <c r="A92" s="246" t="s">
        <v>41</v>
      </c>
      <c r="B92" s="225" t="s">
        <v>19</v>
      </c>
      <c r="C92" s="248"/>
      <c r="D92" s="320"/>
      <c r="E92" s="304"/>
      <c r="F92" s="262"/>
      <c r="G92" s="256">
        <v>5066147</v>
      </c>
      <c r="H92" s="256"/>
      <c r="I92" s="256"/>
      <c r="J92" s="261"/>
      <c r="K92" s="260"/>
      <c r="L92" s="256"/>
      <c r="M92" s="256"/>
      <c r="N92" s="261"/>
      <c r="O92" s="260"/>
      <c r="P92" s="261"/>
    </row>
    <row r="93" spans="1:16" x14ac:dyDescent="0.2">
      <c r="A93" s="246" t="s">
        <v>42</v>
      </c>
      <c r="B93" s="225" t="s">
        <v>308</v>
      </c>
      <c r="C93" s="248">
        <v>2</v>
      </c>
      <c r="D93" s="320"/>
      <c r="E93" s="304">
        <v>4692800</v>
      </c>
      <c r="F93" s="262">
        <v>938000</v>
      </c>
      <c r="G93" s="256">
        <v>7350833</v>
      </c>
      <c r="H93" s="256"/>
      <c r="I93" s="256"/>
      <c r="J93" s="261"/>
      <c r="K93" s="260">
        <v>137120000</v>
      </c>
      <c r="L93" s="256">
        <v>167000</v>
      </c>
      <c r="M93" s="256">
        <v>1263000</v>
      </c>
      <c r="N93" s="261"/>
      <c r="O93" s="260"/>
      <c r="P93" s="261"/>
    </row>
    <row r="94" spans="1:16" x14ac:dyDescent="0.2">
      <c r="A94" s="246" t="s">
        <v>43</v>
      </c>
      <c r="B94" s="225" t="s">
        <v>309</v>
      </c>
      <c r="C94" s="248"/>
      <c r="D94" s="320"/>
      <c r="E94" s="304"/>
      <c r="F94" s="262"/>
      <c r="G94" s="256"/>
      <c r="H94" s="256">
        <v>6042266</v>
      </c>
      <c r="I94" s="256"/>
      <c r="J94" s="261"/>
      <c r="K94" s="260"/>
      <c r="L94" s="256"/>
      <c r="M94" s="256"/>
      <c r="N94" s="261"/>
      <c r="O94" s="260"/>
      <c r="P94" s="261"/>
    </row>
    <row r="95" spans="1:16" x14ac:dyDescent="0.2">
      <c r="A95" s="246" t="s">
        <v>44</v>
      </c>
      <c r="B95" s="225" t="s">
        <v>323</v>
      </c>
      <c r="C95" s="248"/>
      <c r="D95" s="320"/>
      <c r="E95" s="304"/>
      <c r="F95" s="262"/>
      <c r="G95" s="256"/>
      <c r="H95" s="256"/>
      <c r="I95" s="256">
        <v>7156000</v>
      </c>
      <c r="J95" s="261"/>
      <c r="K95" s="260"/>
      <c r="L95" s="256"/>
      <c r="M95" s="256"/>
      <c r="N95" s="261"/>
      <c r="O95" s="260"/>
      <c r="P95" s="261"/>
    </row>
    <row r="96" spans="1:16" x14ac:dyDescent="0.2">
      <c r="A96" s="246" t="s">
        <v>45</v>
      </c>
      <c r="B96" s="225" t="s">
        <v>378</v>
      </c>
      <c r="C96" s="248"/>
      <c r="D96" s="320"/>
      <c r="E96" s="304">
        <v>1000000</v>
      </c>
      <c r="F96" s="262">
        <v>195000</v>
      </c>
      <c r="G96" s="256">
        <v>2184997</v>
      </c>
      <c r="H96" s="256"/>
      <c r="I96" s="256"/>
      <c r="J96" s="261"/>
      <c r="K96" s="260"/>
      <c r="L96" s="256">
        <v>2800000</v>
      </c>
      <c r="M96" s="256"/>
      <c r="N96" s="261"/>
      <c r="O96" s="260"/>
      <c r="P96" s="261"/>
    </row>
    <row r="97" spans="1:19" ht="25.5" x14ac:dyDescent="0.2">
      <c r="A97" s="246" t="s">
        <v>46</v>
      </c>
      <c r="B97" s="225" t="s">
        <v>311</v>
      </c>
      <c r="C97" s="248"/>
      <c r="D97" s="320"/>
      <c r="E97" s="304"/>
      <c r="F97" s="262"/>
      <c r="G97" s="256"/>
      <c r="H97" s="256"/>
      <c r="I97" s="256"/>
      <c r="J97" s="261"/>
      <c r="K97" s="260"/>
      <c r="L97" s="256"/>
      <c r="M97" s="256"/>
      <c r="N97" s="261"/>
      <c r="O97" s="260"/>
      <c r="P97" s="261"/>
      <c r="R97" s="151"/>
    </row>
    <row r="98" spans="1:19" x14ac:dyDescent="0.2">
      <c r="A98" s="246" t="s">
        <v>47</v>
      </c>
      <c r="B98" s="225" t="s">
        <v>17</v>
      </c>
      <c r="C98" s="248"/>
      <c r="D98" s="320"/>
      <c r="E98" s="305"/>
      <c r="F98" s="306"/>
      <c r="G98" s="330"/>
      <c r="H98" s="256"/>
      <c r="I98" s="256"/>
      <c r="J98" s="261"/>
      <c r="K98" s="260"/>
      <c r="L98" s="256"/>
      <c r="M98" s="256"/>
      <c r="N98" s="261"/>
      <c r="O98" s="260"/>
      <c r="P98" s="261"/>
    </row>
    <row r="99" spans="1:19" x14ac:dyDescent="0.2">
      <c r="A99" s="246" t="s">
        <v>48</v>
      </c>
      <c r="B99" s="225" t="s">
        <v>18</v>
      </c>
      <c r="C99" s="248">
        <v>1</v>
      </c>
      <c r="D99" s="320"/>
      <c r="E99" s="304">
        <v>2567420</v>
      </c>
      <c r="F99" s="262">
        <v>513484</v>
      </c>
      <c r="G99" s="256">
        <v>14385155</v>
      </c>
      <c r="H99" s="256"/>
      <c r="I99" s="256"/>
      <c r="J99" s="261"/>
      <c r="K99" s="260"/>
      <c r="L99" s="256">
        <v>68000</v>
      </c>
      <c r="M99" s="256"/>
      <c r="N99" s="261"/>
      <c r="O99" s="260"/>
      <c r="P99" s="261"/>
    </row>
    <row r="100" spans="1:19" x14ac:dyDescent="0.2">
      <c r="A100" s="246" t="s">
        <v>49</v>
      </c>
      <c r="B100" s="225" t="s">
        <v>388</v>
      </c>
      <c r="C100" s="248"/>
      <c r="D100" s="320"/>
      <c r="E100" s="304"/>
      <c r="F100" s="262"/>
      <c r="G100" s="256">
        <v>2059500</v>
      </c>
      <c r="H100" s="256"/>
      <c r="I100" s="256"/>
      <c r="J100" s="261"/>
      <c r="K100" s="260"/>
      <c r="L100" s="256"/>
      <c r="M100" s="256"/>
      <c r="N100" s="261"/>
      <c r="O100" s="260"/>
      <c r="P100" s="261"/>
    </row>
    <row r="101" spans="1:19" x14ac:dyDescent="0.2">
      <c r="A101" s="246" t="s">
        <v>50</v>
      </c>
      <c r="B101" s="225" t="s">
        <v>389</v>
      </c>
      <c r="C101" s="248"/>
      <c r="D101" s="320"/>
      <c r="E101" s="304"/>
      <c r="F101" s="262"/>
      <c r="G101" s="256">
        <v>35000</v>
      </c>
      <c r="H101" s="256"/>
      <c r="I101" s="256"/>
      <c r="J101" s="261"/>
      <c r="K101" s="260"/>
      <c r="L101" s="256"/>
      <c r="M101" s="256"/>
      <c r="N101" s="261"/>
      <c r="O101" s="260"/>
      <c r="P101" s="261"/>
    </row>
    <row r="102" spans="1:19" x14ac:dyDescent="0.2">
      <c r="A102" s="246" t="s">
        <v>51</v>
      </c>
      <c r="B102" s="225" t="s">
        <v>244</v>
      </c>
      <c r="C102" s="248"/>
      <c r="D102" s="320"/>
      <c r="E102" s="304"/>
      <c r="F102" s="262"/>
      <c r="G102" s="256"/>
      <c r="H102" s="256"/>
      <c r="I102" s="256"/>
      <c r="J102" s="261"/>
      <c r="K102" s="260"/>
      <c r="L102" s="256"/>
      <c r="M102" s="256"/>
      <c r="N102" s="261"/>
      <c r="O102" s="260"/>
      <c r="P102" s="261"/>
    </row>
    <row r="103" spans="1:19" x14ac:dyDescent="0.2">
      <c r="A103" s="246" t="s">
        <v>52</v>
      </c>
      <c r="B103" s="223" t="s">
        <v>20</v>
      </c>
      <c r="C103" s="248">
        <v>1</v>
      </c>
      <c r="D103" s="320"/>
      <c r="E103" s="304">
        <v>5717760</v>
      </c>
      <c r="F103" s="262">
        <v>1031000</v>
      </c>
      <c r="G103" s="256">
        <v>740000</v>
      </c>
      <c r="H103" s="256"/>
      <c r="I103" s="256"/>
      <c r="J103" s="261"/>
      <c r="K103" s="260">
        <v>204000</v>
      </c>
      <c r="L103" s="256">
        <v>153000</v>
      </c>
      <c r="M103" s="256"/>
      <c r="N103" s="261"/>
      <c r="O103" s="260"/>
      <c r="P103" s="261"/>
    </row>
    <row r="104" spans="1:19" x14ac:dyDescent="0.2">
      <c r="A104" s="246" t="s">
        <v>53</v>
      </c>
      <c r="B104" s="223" t="s">
        <v>21</v>
      </c>
      <c r="C104" s="248"/>
      <c r="D104" s="320"/>
      <c r="E104" s="304"/>
      <c r="F104" s="262"/>
      <c r="G104" s="256">
        <v>90000</v>
      </c>
      <c r="H104" s="256"/>
      <c r="I104" s="256"/>
      <c r="J104" s="261"/>
      <c r="K104" s="260"/>
      <c r="L104" s="256"/>
      <c r="M104" s="256"/>
      <c r="N104" s="261"/>
      <c r="O104" s="260"/>
      <c r="P104" s="261"/>
      <c r="S104" s="151"/>
    </row>
    <row r="105" spans="1:19" x14ac:dyDescent="0.2">
      <c r="A105" s="246" t="s">
        <v>54</v>
      </c>
      <c r="B105" s="225" t="s">
        <v>312</v>
      </c>
      <c r="C105" s="247"/>
      <c r="D105" s="316"/>
      <c r="E105" s="304"/>
      <c r="F105" s="256"/>
      <c r="G105" s="256"/>
      <c r="H105" s="256">
        <v>0</v>
      </c>
      <c r="I105" s="256"/>
      <c r="J105" s="261"/>
      <c r="K105" s="260"/>
      <c r="L105" s="256"/>
      <c r="M105" s="256"/>
      <c r="N105" s="261"/>
      <c r="O105" s="260"/>
      <c r="P105" s="261"/>
    </row>
    <row r="106" spans="1:19" x14ac:dyDescent="0.2">
      <c r="A106" s="246" t="s">
        <v>55</v>
      </c>
      <c r="B106" s="223" t="s">
        <v>313</v>
      </c>
      <c r="C106" s="247"/>
      <c r="D106" s="316"/>
      <c r="E106" s="304"/>
      <c r="F106" s="262"/>
      <c r="G106" s="256"/>
      <c r="H106" s="256"/>
      <c r="I106" s="256"/>
      <c r="J106" s="261"/>
      <c r="K106" s="260"/>
      <c r="L106" s="256"/>
      <c r="M106" s="256"/>
      <c r="N106" s="261"/>
      <c r="O106" s="260"/>
      <c r="P106" s="261"/>
    </row>
    <row r="107" spans="1:19" x14ac:dyDescent="0.2">
      <c r="A107" s="246" t="s">
        <v>56</v>
      </c>
      <c r="B107" s="223" t="s">
        <v>22</v>
      </c>
      <c r="C107" s="247"/>
      <c r="D107" s="316"/>
      <c r="E107" s="304"/>
      <c r="F107" s="262"/>
      <c r="G107" s="256"/>
      <c r="H107" s="256"/>
      <c r="I107" s="256"/>
      <c r="J107" s="261"/>
      <c r="K107" s="260"/>
      <c r="L107" s="256"/>
      <c r="M107" s="256"/>
      <c r="N107" s="261"/>
      <c r="O107" s="260"/>
      <c r="P107" s="261"/>
    </row>
    <row r="108" spans="1:19" x14ac:dyDescent="0.2">
      <c r="A108" s="246" t="s">
        <v>57</v>
      </c>
      <c r="B108" s="223" t="s">
        <v>245</v>
      </c>
      <c r="C108" s="247"/>
      <c r="D108" s="316"/>
      <c r="E108" s="304"/>
      <c r="F108" s="262"/>
      <c r="G108" s="256"/>
      <c r="H108" s="256"/>
      <c r="I108" s="256"/>
      <c r="J108" s="261"/>
      <c r="K108" s="260"/>
      <c r="L108" s="256"/>
      <c r="M108" s="256"/>
      <c r="N108" s="261"/>
      <c r="O108" s="260"/>
      <c r="P108" s="261"/>
    </row>
    <row r="109" spans="1:19" x14ac:dyDescent="0.2">
      <c r="A109" s="246" t="s">
        <v>58</v>
      </c>
      <c r="B109" s="223" t="s">
        <v>23</v>
      </c>
      <c r="C109" s="247"/>
      <c r="D109" s="316"/>
      <c r="E109" s="304"/>
      <c r="F109" s="262"/>
      <c r="G109" s="256"/>
      <c r="H109" s="256"/>
      <c r="I109" s="256"/>
      <c r="J109" s="261"/>
      <c r="K109" s="260"/>
      <c r="L109" s="256"/>
      <c r="M109" s="256"/>
      <c r="N109" s="261"/>
      <c r="O109" s="260"/>
      <c r="P109" s="261"/>
    </row>
    <row r="110" spans="1:19" x14ac:dyDescent="0.2">
      <c r="A110" s="246" t="s">
        <v>59</v>
      </c>
      <c r="B110" s="223" t="s">
        <v>24</v>
      </c>
      <c r="C110" s="247"/>
      <c r="D110" s="316"/>
      <c r="E110" s="304"/>
      <c r="F110" s="262"/>
      <c r="G110" s="256"/>
      <c r="H110" s="256"/>
      <c r="I110" s="256"/>
      <c r="J110" s="261"/>
      <c r="K110" s="260"/>
      <c r="L110" s="256"/>
      <c r="M110" s="256"/>
      <c r="N110" s="261"/>
      <c r="O110" s="260"/>
      <c r="P110" s="261"/>
    </row>
    <row r="111" spans="1:19" x14ac:dyDescent="0.2">
      <c r="A111" s="246" t="s">
        <v>60</v>
      </c>
      <c r="B111" s="223" t="s">
        <v>25</v>
      </c>
      <c r="C111" s="247"/>
      <c r="D111" s="316"/>
      <c r="E111" s="304"/>
      <c r="F111" s="262"/>
      <c r="G111" s="256"/>
      <c r="H111" s="256"/>
      <c r="I111" s="256"/>
      <c r="J111" s="261"/>
      <c r="K111" s="260"/>
      <c r="L111" s="256"/>
      <c r="M111" s="256"/>
      <c r="N111" s="261"/>
      <c r="O111" s="260"/>
      <c r="P111" s="261"/>
    </row>
    <row r="112" spans="1:19" x14ac:dyDescent="0.2">
      <c r="A112" s="246" t="s">
        <v>61</v>
      </c>
      <c r="B112" s="223" t="s">
        <v>26</v>
      </c>
      <c r="C112" s="247"/>
      <c r="D112" s="316"/>
      <c r="E112" s="304"/>
      <c r="F112" s="262"/>
      <c r="G112" s="256"/>
      <c r="H112" s="256"/>
      <c r="I112" s="256"/>
      <c r="J112" s="261"/>
      <c r="K112" s="260"/>
      <c r="L112" s="256"/>
      <c r="M112" s="256"/>
      <c r="N112" s="261"/>
      <c r="O112" s="260"/>
      <c r="P112" s="261"/>
    </row>
    <row r="113" spans="1:30" x14ac:dyDescent="0.2">
      <c r="A113" s="246" t="s">
        <v>62</v>
      </c>
      <c r="B113" s="223" t="s">
        <v>27</v>
      </c>
      <c r="C113" s="247"/>
      <c r="D113" s="316"/>
      <c r="E113" s="304"/>
      <c r="F113" s="262"/>
      <c r="G113" s="256"/>
      <c r="H113" s="256"/>
      <c r="I113" s="256"/>
      <c r="J113" s="261"/>
      <c r="K113" s="260"/>
      <c r="L113" s="256"/>
      <c r="M113" s="256"/>
      <c r="N113" s="261"/>
      <c r="O113" s="260"/>
      <c r="P113" s="261"/>
    </row>
    <row r="114" spans="1:30" x14ac:dyDescent="0.2">
      <c r="A114" s="246" t="s">
        <v>63</v>
      </c>
      <c r="B114" s="223" t="s">
        <v>246</v>
      </c>
      <c r="C114" s="247"/>
      <c r="D114" s="316"/>
      <c r="E114" s="304"/>
      <c r="F114" s="262"/>
      <c r="G114" s="256"/>
      <c r="H114" s="256"/>
      <c r="I114" s="256"/>
      <c r="J114" s="261"/>
      <c r="K114" s="260"/>
      <c r="L114" s="256"/>
      <c r="M114" s="256"/>
      <c r="N114" s="261"/>
      <c r="O114" s="260"/>
      <c r="P114" s="261"/>
    </row>
    <row r="115" spans="1:30" x14ac:dyDescent="0.2">
      <c r="A115" s="246" t="s">
        <v>64</v>
      </c>
      <c r="B115" s="228" t="s">
        <v>331</v>
      </c>
      <c r="C115" s="247"/>
      <c r="D115" s="316"/>
      <c r="E115" s="304"/>
      <c r="F115" s="262"/>
      <c r="G115" s="256">
        <v>4459000</v>
      </c>
      <c r="H115" s="256"/>
      <c r="I115" s="256"/>
      <c r="J115" s="261">
        <v>10707000</v>
      </c>
      <c r="K115" s="260"/>
      <c r="L115" s="256"/>
      <c r="M115" s="256"/>
      <c r="N115" s="261"/>
      <c r="O115" s="260"/>
      <c r="P115" s="261"/>
    </row>
    <row r="116" spans="1:30" x14ac:dyDescent="0.2">
      <c r="A116" s="246" t="s">
        <v>65</v>
      </c>
      <c r="B116" s="223" t="s">
        <v>315</v>
      </c>
      <c r="C116" s="247"/>
      <c r="D116" s="316"/>
      <c r="E116" s="304"/>
      <c r="F116" s="262"/>
      <c r="G116" s="256"/>
      <c r="H116" s="256"/>
      <c r="I116" s="256"/>
      <c r="J116" s="261"/>
      <c r="K116" s="260"/>
      <c r="L116" s="256"/>
      <c r="M116" s="256"/>
      <c r="N116" s="261"/>
      <c r="O116" s="260"/>
      <c r="P116" s="261"/>
    </row>
    <row r="117" spans="1:30" x14ac:dyDescent="0.2">
      <c r="A117" s="246" t="s">
        <v>66</v>
      </c>
      <c r="B117" s="223" t="s">
        <v>316</v>
      </c>
      <c r="C117" s="247"/>
      <c r="D117" s="316"/>
      <c r="E117" s="304"/>
      <c r="F117" s="262"/>
      <c r="G117" s="256"/>
      <c r="H117" s="256"/>
      <c r="I117" s="256"/>
      <c r="J117" s="261">
        <v>103500</v>
      </c>
      <c r="K117" s="260"/>
      <c r="L117" s="256"/>
      <c r="M117" s="256"/>
      <c r="N117" s="261"/>
      <c r="O117" s="260"/>
      <c r="P117" s="261"/>
    </row>
    <row r="118" spans="1:30" x14ac:dyDescent="0.2">
      <c r="A118" s="246" t="s">
        <v>67</v>
      </c>
      <c r="B118" s="223" t="s">
        <v>28</v>
      </c>
      <c r="C118" s="247"/>
      <c r="D118" s="316"/>
      <c r="E118" s="304"/>
      <c r="F118" s="262"/>
      <c r="G118" s="256"/>
      <c r="H118" s="256"/>
      <c r="I118" s="256"/>
      <c r="J118" s="261"/>
      <c r="K118" s="260"/>
      <c r="L118" s="256"/>
      <c r="M118" s="256"/>
      <c r="N118" s="261"/>
      <c r="O118" s="260"/>
      <c r="P118" s="261"/>
      <c r="S118" s="62"/>
      <c r="T118" s="62"/>
      <c r="U118" s="62"/>
      <c r="V118" s="62"/>
      <c r="W118" s="62"/>
      <c r="X118" s="62"/>
      <c r="Y118" s="63"/>
      <c r="Z118" s="63"/>
      <c r="AA118" s="63"/>
      <c r="AB118" s="63"/>
    </row>
    <row r="119" spans="1:30" x14ac:dyDescent="0.2">
      <c r="A119" s="246" t="s">
        <v>68</v>
      </c>
      <c r="B119" s="223" t="s">
        <v>29</v>
      </c>
      <c r="C119" s="248"/>
      <c r="D119" s="320"/>
      <c r="E119" s="304"/>
      <c r="F119" s="262"/>
      <c r="G119" s="256"/>
      <c r="H119" s="256"/>
      <c r="I119" s="256"/>
      <c r="J119" s="261"/>
      <c r="K119" s="260"/>
      <c r="L119" s="256"/>
      <c r="M119" s="256"/>
      <c r="N119" s="261"/>
      <c r="O119" s="260"/>
      <c r="P119" s="261"/>
      <c r="S119" s="60"/>
      <c r="T119" s="60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</row>
    <row r="120" spans="1:30" x14ac:dyDescent="0.2">
      <c r="A120" s="246" t="s">
        <v>69</v>
      </c>
      <c r="B120" s="223" t="s">
        <v>30</v>
      </c>
      <c r="C120" s="247"/>
      <c r="D120" s="316"/>
      <c r="E120" s="304"/>
      <c r="F120" s="262"/>
      <c r="G120" s="256"/>
      <c r="H120" s="256"/>
      <c r="I120" s="256"/>
      <c r="J120" s="261"/>
      <c r="K120" s="260"/>
      <c r="L120" s="256"/>
      <c r="M120" s="256"/>
      <c r="N120" s="261"/>
      <c r="O120" s="260"/>
      <c r="P120" s="261"/>
    </row>
    <row r="121" spans="1:30" x14ac:dyDescent="0.2">
      <c r="A121" s="246" t="s">
        <v>70</v>
      </c>
      <c r="B121" s="223" t="s">
        <v>31</v>
      </c>
      <c r="C121" s="247"/>
      <c r="D121" s="316"/>
      <c r="E121" s="304"/>
      <c r="F121" s="262"/>
      <c r="G121" s="256"/>
      <c r="H121" s="256"/>
      <c r="I121" s="256"/>
      <c r="J121" s="261"/>
      <c r="K121" s="260"/>
      <c r="L121" s="256"/>
      <c r="M121" s="256"/>
      <c r="N121" s="261"/>
      <c r="O121" s="260"/>
      <c r="P121" s="261"/>
    </row>
    <row r="122" spans="1:30" x14ac:dyDescent="0.2">
      <c r="A122" s="246" t="s">
        <v>71</v>
      </c>
      <c r="B122" s="223" t="s">
        <v>32</v>
      </c>
      <c r="C122" s="247"/>
      <c r="D122" s="316"/>
      <c r="E122" s="304">
        <v>440000</v>
      </c>
      <c r="F122" s="262">
        <v>77000</v>
      </c>
      <c r="G122" s="256">
        <v>25500</v>
      </c>
      <c r="H122" s="256"/>
      <c r="I122" s="256"/>
      <c r="J122" s="261"/>
      <c r="K122" s="260"/>
      <c r="L122" s="256"/>
      <c r="M122" s="256"/>
      <c r="N122" s="261"/>
      <c r="O122" s="260"/>
      <c r="P122" s="261"/>
    </row>
    <row r="123" spans="1:30" x14ac:dyDescent="0.2">
      <c r="A123" s="246" t="s">
        <v>72</v>
      </c>
      <c r="B123" s="223" t="s">
        <v>338</v>
      </c>
      <c r="C123" s="247"/>
      <c r="D123" s="316"/>
      <c r="E123" s="304"/>
      <c r="F123" s="262"/>
      <c r="G123" s="256"/>
      <c r="H123" s="256"/>
      <c r="I123" s="256"/>
      <c r="J123" s="261"/>
      <c r="K123" s="260"/>
      <c r="L123" s="256"/>
      <c r="M123" s="256"/>
      <c r="N123" s="261"/>
      <c r="O123" s="260"/>
      <c r="P123" s="261"/>
    </row>
    <row r="124" spans="1:30" x14ac:dyDescent="0.2">
      <c r="A124" s="246" t="s">
        <v>73</v>
      </c>
      <c r="B124" s="203" t="s">
        <v>248</v>
      </c>
      <c r="C124" s="247"/>
      <c r="D124" s="316"/>
      <c r="E124" s="304"/>
      <c r="F124" s="262"/>
      <c r="G124" s="256"/>
      <c r="H124" s="256"/>
      <c r="I124" s="256">
        <v>6207000</v>
      </c>
      <c r="J124" s="261"/>
      <c r="K124" s="260"/>
      <c r="L124" s="256"/>
      <c r="M124" s="256"/>
      <c r="N124" s="261"/>
      <c r="O124" s="260"/>
      <c r="P124" s="261"/>
    </row>
    <row r="125" spans="1:30" ht="13.5" thickBot="1" x14ac:dyDescent="0.25">
      <c r="A125" s="334" t="s">
        <v>74</v>
      </c>
      <c r="B125" s="252" t="s">
        <v>249</v>
      </c>
      <c r="C125" s="338"/>
      <c r="D125" s="322"/>
      <c r="E125" s="339"/>
      <c r="F125" s="340"/>
      <c r="G125" s="510"/>
      <c r="H125" s="510"/>
      <c r="I125" s="510"/>
      <c r="J125" s="341"/>
      <c r="K125" s="342"/>
      <c r="L125" s="510"/>
      <c r="M125" s="510"/>
      <c r="N125" s="341"/>
      <c r="O125" s="342"/>
      <c r="P125" s="341"/>
    </row>
    <row r="126" spans="1:30" ht="13.5" thickBot="1" x14ac:dyDescent="0.25">
      <c r="A126" s="249"/>
      <c r="B126" s="348"/>
      <c r="C126" s="349"/>
      <c r="D126" s="350"/>
      <c r="E126" s="351"/>
      <c r="F126" s="352"/>
      <c r="G126" s="353"/>
      <c r="H126" s="353"/>
      <c r="I126" s="353"/>
      <c r="J126" s="354"/>
      <c r="K126" s="355"/>
      <c r="L126" s="353"/>
      <c r="M126" s="353"/>
      <c r="N126" s="354"/>
      <c r="O126" s="355"/>
      <c r="P126" s="356"/>
    </row>
    <row r="127" spans="1:30" ht="12.75" customHeight="1" x14ac:dyDescent="0.2">
      <c r="A127" s="923" t="s">
        <v>35</v>
      </c>
      <c r="B127" s="925" t="s">
        <v>329</v>
      </c>
      <c r="C127" s="935" t="s">
        <v>186</v>
      </c>
      <c r="D127" s="933" t="s">
        <v>191</v>
      </c>
      <c r="E127" s="964" t="s">
        <v>184</v>
      </c>
      <c r="F127" s="965"/>
      <c r="G127" s="965"/>
      <c r="H127" s="965"/>
      <c r="I127" s="965"/>
      <c r="J127" s="992"/>
      <c r="K127" s="937" t="s">
        <v>183</v>
      </c>
      <c r="L127" s="938"/>
      <c r="M127" s="938"/>
      <c r="N127" s="939"/>
      <c r="O127" s="940" t="s">
        <v>359</v>
      </c>
      <c r="P127" s="941"/>
    </row>
    <row r="128" spans="1:30" ht="23.25" thickBot="1" x14ac:dyDescent="0.25">
      <c r="A128" s="924"/>
      <c r="B128" s="926"/>
      <c r="C128" s="936"/>
      <c r="D128" s="934"/>
      <c r="E128" s="231" t="s">
        <v>175</v>
      </c>
      <c r="F128" s="232" t="s">
        <v>176</v>
      </c>
      <c r="G128" s="233" t="s">
        <v>177</v>
      </c>
      <c r="H128" s="233" t="s">
        <v>178</v>
      </c>
      <c r="I128" s="233" t="s">
        <v>179</v>
      </c>
      <c r="J128" s="234" t="s">
        <v>217</v>
      </c>
      <c r="K128" s="235" t="s">
        <v>180</v>
      </c>
      <c r="L128" s="233" t="s">
        <v>181</v>
      </c>
      <c r="M128" s="233" t="s">
        <v>182</v>
      </c>
      <c r="N128" s="234" t="s">
        <v>179</v>
      </c>
      <c r="O128" s="235" t="s">
        <v>216</v>
      </c>
      <c r="P128" s="234" t="s">
        <v>185</v>
      </c>
    </row>
    <row r="129" spans="1:18" x14ac:dyDescent="0.2">
      <c r="A129" s="343" t="s">
        <v>75</v>
      </c>
      <c r="B129" s="344" t="s">
        <v>317</v>
      </c>
      <c r="C129" s="345"/>
      <c r="D129" s="307"/>
      <c r="E129" s="308"/>
      <c r="F129" s="265"/>
      <c r="G129" s="309"/>
      <c r="H129" s="309"/>
      <c r="I129" s="309"/>
      <c r="J129" s="310"/>
      <c r="K129" s="346"/>
      <c r="L129" s="309"/>
      <c r="M129" s="309"/>
      <c r="N129" s="347"/>
      <c r="O129" s="346"/>
      <c r="P129" s="347"/>
    </row>
    <row r="130" spans="1:18" x14ac:dyDescent="0.2">
      <c r="A130" s="337" t="s">
        <v>76</v>
      </c>
      <c r="B130" s="204" t="s">
        <v>318</v>
      </c>
      <c r="C130" s="239">
        <v>4</v>
      </c>
      <c r="D130" s="316"/>
      <c r="E130" s="311">
        <v>2990000</v>
      </c>
      <c r="F130" s="263">
        <v>307000</v>
      </c>
      <c r="G130" s="293">
        <v>209633</v>
      </c>
      <c r="H130" s="293"/>
      <c r="I130" s="293"/>
      <c r="J130" s="317"/>
      <c r="K130" s="318"/>
      <c r="L130" s="293">
        <v>169000</v>
      </c>
      <c r="M130" s="293"/>
      <c r="N130" s="319"/>
      <c r="O130" s="318"/>
      <c r="P130" s="319"/>
    </row>
    <row r="131" spans="1:18" x14ac:dyDescent="0.2">
      <c r="A131" s="337" t="s">
        <v>77</v>
      </c>
      <c r="B131" s="204" t="s">
        <v>319</v>
      </c>
      <c r="C131" s="239">
        <v>0</v>
      </c>
      <c r="D131" s="316"/>
      <c r="E131" s="311">
        <v>3258000</v>
      </c>
      <c r="F131" s="263">
        <v>321000</v>
      </c>
      <c r="G131" s="293">
        <v>71567</v>
      </c>
      <c r="H131" s="293"/>
      <c r="I131" s="293"/>
      <c r="J131" s="317"/>
      <c r="K131" s="318"/>
      <c r="L131" s="293"/>
      <c r="M131" s="293"/>
      <c r="N131" s="319"/>
      <c r="O131" s="318"/>
      <c r="P131" s="319"/>
    </row>
    <row r="132" spans="1:18" ht="25.5" x14ac:dyDescent="0.2">
      <c r="A132" s="337" t="s">
        <v>78</v>
      </c>
      <c r="B132" s="204" t="s">
        <v>250</v>
      </c>
      <c r="C132" s="239"/>
      <c r="D132" s="316"/>
      <c r="E132" s="311"/>
      <c r="F132" s="263"/>
      <c r="G132" s="293"/>
      <c r="H132" s="293"/>
      <c r="I132" s="293"/>
      <c r="J132" s="317"/>
      <c r="K132" s="318"/>
      <c r="L132" s="293"/>
      <c r="M132" s="293"/>
      <c r="N132" s="319"/>
      <c r="O132" s="318"/>
      <c r="P132" s="319"/>
    </row>
    <row r="133" spans="1:18" x14ac:dyDescent="0.2">
      <c r="A133" s="337" t="s">
        <v>79</v>
      </c>
      <c r="B133" s="204" t="s">
        <v>251</v>
      </c>
      <c r="C133" s="240"/>
      <c r="D133" s="320"/>
      <c r="E133" s="311"/>
      <c r="F133" s="263"/>
      <c r="G133" s="293"/>
      <c r="H133" s="293"/>
      <c r="I133" s="293"/>
      <c r="J133" s="317"/>
      <c r="K133" s="318"/>
      <c r="L133" s="293"/>
      <c r="M133" s="293"/>
      <c r="N133" s="319"/>
      <c r="O133" s="318"/>
      <c r="P133" s="319"/>
    </row>
    <row r="134" spans="1:18" x14ac:dyDescent="0.2">
      <c r="A134" s="337" t="s">
        <v>80</v>
      </c>
      <c r="B134" s="204" t="s">
        <v>252</v>
      </c>
      <c r="C134" s="239"/>
      <c r="D134" s="316"/>
      <c r="E134" s="311"/>
      <c r="F134" s="263"/>
      <c r="G134" s="293"/>
      <c r="H134" s="293"/>
      <c r="I134" s="293"/>
      <c r="J134" s="317"/>
      <c r="K134" s="318"/>
      <c r="L134" s="293"/>
      <c r="M134" s="293"/>
      <c r="N134" s="319"/>
      <c r="O134" s="318"/>
      <c r="P134" s="319"/>
    </row>
    <row r="135" spans="1:18" x14ac:dyDescent="0.2">
      <c r="A135" s="337" t="s">
        <v>81</v>
      </c>
      <c r="B135" s="204" t="s">
        <v>253</v>
      </c>
      <c r="C135" s="239"/>
      <c r="D135" s="316"/>
      <c r="E135" s="311"/>
      <c r="F135" s="263"/>
      <c r="G135" s="293"/>
      <c r="H135" s="293"/>
      <c r="I135" s="293"/>
      <c r="J135" s="317"/>
      <c r="K135" s="318"/>
      <c r="L135" s="293"/>
      <c r="M135" s="293"/>
      <c r="N135" s="319"/>
      <c r="O135" s="318"/>
      <c r="P135" s="319"/>
    </row>
    <row r="136" spans="1:18" x14ac:dyDescent="0.2">
      <c r="A136" s="337" t="s">
        <v>82</v>
      </c>
      <c r="B136" s="203" t="s">
        <v>34</v>
      </c>
      <c r="C136" s="240"/>
      <c r="D136" s="320"/>
      <c r="E136" s="312"/>
      <c r="F136" s="263"/>
      <c r="G136" s="293">
        <v>756000</v>
      </c>
      <c r="H136" s="293"/>
      <c r="I136" s="293"/>
      <c r="J136" s="317"/>
      <c r="K136" s="318"/>
      <c r="L136" s="293"/>
      <c r="M136" s="293"/>
      <c r="N136" s="319"/>
      <c r="O136" s="318"/>
      <c r="P136" s="319"/>
      <c r="R136" s="151"/>
    </row>
    <row r="137" spans="1:18" x14ac:dyDescent="0.2">
      <c r="A137" s="337"/>
      <c r="B137" s="241" t="s">
        <v>254</v>
      </c>
      <c r="C137" s="240"/>
      <c r="D137" s="320"/>
      <c r="E137" s="311"/>
      <c r="F137" s="263"/>
      <c r="G137" s="293"/>
      <c r="H137" s="293"/>
      <c r="I137" s="293"/>
      <c r="J137" s="317"/>
      <c r="K137" s="318"/>
      <c r="L137" s="293"/>
      <c r="M137" s="293"/>
      <c r="N137" s="319"/>
      <c r="O137" s="318"/>
      <c r="P137" s="319"/>
    </row>
    <row r="138" spans="1:18" ht="25.5" x14ac:dyDescent="0.2">
      <c r="A138" s="246" t="s">
        <v>15</v>
      </c>
      <c r="B138" s="205" t="s">
        <v>320</v>
      </c>
      <c r="C138" s="239"/>
      <c r="D138" s="316"/>
      <c r="E138" s="311">
        <v>2491480</v>
      </c>
      <c r="F138" s="263">
        <v>484000</v>
      </c>
      <c r="G138" s="293">
        <v>280265</v>
      </c>
      <c r="H138" s="293"/>
      <c r="I138" s="293"/>
      <c r="J138" s="317"/>
      <c r="K138" s="318"/>
      <c r="L138" s="293"/>
      <c r="M138" s="293"/>
      <c r="N138" s="319"/>
      <c r="O138" s="318"/>
      <c r="P138" s="319"/>
    </row>
    <row r="139" spans="1:18" x14ac:dyDescent="0.2">
      <c r="A139" s="246" t="s">
        <v>37</v>
      </c>
      <c r="B139" s="203" t="s">
        <v>313</v>
      </c>
      <c r="C139" s="240"/>
      <c r="D139" s="320"/>
      <c r="E139" s="311"/>
      <c r="F139" s="263"/>
      <c r="G139" s="293"/>
      <c r="H139" s="293"/>
      <c r="I139" s="293"/>
      <c r="J139" s="317"/>
      <c r="K139" s="318"/>
      <c r="L139" s="293"/>
      <c r="M139" s="293"/>
      <c r="N139" s="319"/>
      <c r="O139" s="318"/>
      <c r="P139" s="319"/>
    </row>
    <row r="140" spans="1:18" x14ac:dyDescent="0.2">
      <c r="A140" s="246" t="s">
        <v>38</v>
      </c>
      <c r="B140" s="203" t="s">
        <v>325</v>
      </c>
      <c r="C140" s="240"/>
      <c r="D140" s="320"/>
      <c r="E140" s="311"/>
      <c r="F140" s="263"/>
      <c r="G140" s="293"/>
      <c r="H140" s="293"/>
      <c r="I140" s="293"/>
      <c r="J140" s="317"/>
      <c r="K140" s="318"/>
      <c r="L140" s="293"/>
      <c r="M140" s="293"/>
      <c r="N140" s="319"/>
      <c r="O140" s="318"/>
      <c r="P140" s="319"/>
    </row>
    <row r="141" spans="1:18" ht="25.5" x14ac:dyDescent="0.2">
      <c r="A141" s="246" t="s">
        <v>39</v>
      </c>
      <c r="B141" s="205" t="s">
        <v>255</v>
      </c>
      <c r="C141" s="240"/>
      <c r="D141" s="320"/>
      <c r="E141" s="321"/>
      <c r="F141" s="293"/>
      <c r="G141" s="293"/>
      <c r="H141" s="293"/>
      <c r="I141" s="293"/>
      <c r="J141" s="317"/>
      <c r="K141" s="318"/>
      <c r="L141" s="293"/>
      <c r="M141" s="293"/>
      <c r="N141" s="319"/>
      <c r="O141" s="318"/>
      <c r="P141" s="319"/>
    </row>
    <row r="142" spans="1:18" x14ac:dyDescent="0.2">
      <c r="A142" s="246" t="s">
        <v>40</v>
      </c>
      <c r="B142" s="203" t="s">
        <v>321</v>
      </c>
      <c r="C142" s="240"/>
      <c r="D142" s="320"/>
      <c r="E142" s="321"/>
      <c r="F142" s="293"/>
      <c r="G142" s="293"/>
      <c r="H142" s="293"/>
      <c r="I142" s="293"/>
      <c r="J142" s="317"/>
      <c r="K142" s="318"/>
      <c r="L142" s="293"/>
      <c r="M142" s="293"/>
      <c r="N142" s="319"/>
      <c r="O142" s="318"/>
      <c r="P142" s="319"/>
    </row>
    <row r="143" spans="1:18" ht="25.5" x14ac:dyDescent="0.2">
      <c r="A143" s="246" t="s">
        <v>41</v>
      </c>
      <c r="B143" s="205" t="s">
        <v>306</v>
      </c>
      <c r="C143" s="240">
        <v>13</v>
      </c>
      <c r="D143" s="320">
        <f>D60</f>
        <v>72398400</v>
      </c>
      <c r="E143" s="321">
        <v>61648800</v>
      </c>
      <c r="F143" s="293">
        <v>11605552</v>
      </c>
      <c r="G143" s="293">
        <v>3429979</v>
      </c>
      <c r="H143" s="293"/>
      <c r="I143" s="293"/>
      <c r="J143" s="317"/>
      <c r="K143" s="318"/>
      <c r="L143" s="293"/>
      <c r="M143" s="293"/>
      <c r="N143" s="319"/>
      <c r="O143" s="318"/>
      <c r="P143" s="319"/>
    </row>
    <row r="144" spans="1:18" x14ac:dyDescent="0.2">
      <c r="A144" s="246" t="s">
        <v>42</v>
      </c>
      <c r="B144" s="203" t="s">
        <v>322</v>
      </c>
      <c r="C144" s="240"/>
      <c r="D144" s="320"/>
      <c r="E144" s="321"/>
      <c r="F144" s="293"/>
      <c r="G144" s="293"/>
      <c r="H144" s="293"/>
      <c r="I144" s="293"/>
      <c r="J144" s="317"/>
      <c r="K144" s="318"/>
      <c r="L144" s="293"/>
      <c r="M144" s="293"/>
      <c r="N144" s="319"/>
      <c r="O144" s="318"/>
      <c r="P144" s="319"/>
    </row>
    <row r="145" spans="1:17" x14ac:dyDescent="0.2">
      <c r="A145" s="246"/>
      <c r="B145" s="241" t="s">
        <v>256</v>
      </c>
      <c r="C145" s="240"/>
      <c r="D145" s="320"/>
      <c r="E145" s="321"/>
      <c r="F145" s="293"/>
      <c r="G145" s="293"/>
      <c r="H145" s="293"/>
      <c r="I145" s="293"/>
      <c r="J145" s="317"/>
      <c r="K145" s="318"/>
      <c r="L145" s="293"/>
      <c r="M145" s="293"/>
      <c r="N145" s="319"/>
      <c r="O145" s="318"/>
      <c r="P145" s="319"/>
    </row>
    <row r="146" spans="1:17" x14ac:dyDescent="0.2">
      <c r="A146" s="246" t="s">
        <v>15</v>
      </c>
      <c r="B146" s="203" t="s">
        <v>257</v>
      </c>
      <c r="C146" s="240"/>
      <c r="D146" s="320"/>
      <c r="E146" s="321"/>
      <c r="F146" s="293"/>
      <c r="G146" s="293">
        <v>88000</v>
      </c>
      <c r="H146" s="293"/>
      <c r="I146" s="293"/>
      <c r="J146" s="317"/>
      <c r="K146" s="318"/>
      <c r="L146" s="293"/>
      <c r="M146" s="293"/>
      <c r="N146" s="319"/>
      <c r="O146" s="318"/>
      <c r="P146" s="319"/>
    </row>
    <row r="147" spans="1:17" x14ac:dyDescent="0.2">
      <c r="A147" s="246" t="s">
        <v>37</v>
      </c>
      <c r="B147" s="203" t="s">
        <v>258</v>
      </c>
      <c r="C147" s="240"/>
      <c r="D147" s="320"/>
      <c r="E147" s="321"/>
      <c r="F147" s="293"/>
      <c r="G147" s="293"/>
      <c r="H147" s="293"/>
      <c r="I147" s="293"/>
      <c r="J147" s="317"/>
      <c r="K147" s="318"/>
      <c r="L147" s="293"/>
      <c r="M147" s="293"/>
      <c r="N147" s="319"/>
      <c r="O147" s="318"/>
      <c r="P147" s="319"/>
    </row>
    <row r="148" spans="1:17" x14ac:dyDescent="0.2">
      <c r="A148" s="246" t="s">
        <v>38</v>
      </c>
      <c r="B148" s="203" t="s">
        <v>33</v>
      </c>
      <c r="C148" s="240"/>
      <c r="D148" s="320"/>
      <c r="E148" s="321">
        <v>720000</v>
      </c>
      <c r="F148" s="293">
        <v>125400</v>
      </c>
      <c r="G148" s="293">
        <v>0</v>
      </c>
      <c r="H148" s="293"/>
      <c r="I148" s="293"/>
      <c r="J148" s="317"/>
      <c r="K148" s="318"/>
      <c r="L148" s="293"/>
      <c r="M148" s="293"/>
      <c r="N148" s="319"/>
      <c r="O148" s="318"/>
      <c r="P148" s="319"/>
    </row>
    <row r="149" spans="1:17" x14ac:dyDescent="0.2">
      <c r="A149" s="246" t="s">
        <v>39</v>
      </c>
      <c r="B149" s="203" t="s">
        <v>330</v>
      </c>
      <c r="C149" s="240">
        <v>2</v>
      </c>
      <c r="D149" s="320">
        <f>D66</f>
        <v>13566400</v>
      </c>
      <c r="E149" s="321">
        <v>6403000</v>
      </c>
      <c r="F149" s="293">
        <v>1209500</v>
      </c>
      <c r="G149" s="293">
        <v>4206500</v>
      </c>
      <c r="H149" s="293"/>
      <c r="I149" s="293"/>
      <c r="J149" s="317"/>
      <c r="K149" s="318"/>
      <c r="L149" s="293">
        <v>1016000</v>
      </c>
      <c r="M149" s="293"/>
      <c r="N149" s="319"/>
      <c r="O149" s="318"/>
      <c r="P149" s="319"/>
    </row>
    <row r="150" spans="1:17" x14ac:dyDescent="0.2">
      <c r="A150" s="246"/>
      <c r="B150" s="241" t="s">
        <v>261</v>
      </c>
      <c r="C150" s="240"/>
      <c r="D150" s="320"/>
      <c r="E150" s="321"/>
      <c r="F150" s="293"/>
      <c r="G150" s="293"/>
      <c r="H150" s="293"/>
      <c r="I150" s="293"/>
      <c r="J150" s="317"/>
      <c r="K150" s="318"/>
      <c r="L150" s="293"/>
      <c r="M150" s="293"/>
      <c r="N150" s="319"/>
      <c r="O150" s="318"/>
      <c r="P150" s="319"/>
    </row>
    <row r="151" spans="1:17" x14ac:dyDescent="0.2">
      <c r="A151" s="246" t="s">
        <v>15</v>
      </c>
      <c r="B151" s="203" t="s">
        <v>326</v>
      </c>
      <c r="C151" s="239">
        <v>6</v>
      </c>
      <c r="D151" s="320"/>
      <c r="E151" s="321">
        <v>17222000</v>
      </c>
      <c r="F151" s="293">
        <v>3328500</v>
      </c>
      <c r="G151" s="293"/>
      <c r="H151" s="293"/>
      <c r="I151" s="293"/>
      <c r="J151" s="317"/>
      <c r="K151" s="318"/>
      <c r="L151" s="293"/>
      <c r="M151" s="293"/>
      <c r="N151" s="319"/>
      <c r="O151" s="318"/>
      <c r="P151" s="319"/>
    </row>
    <row r="152" spans="1:17" x14ac:dyDescent="0.2">
      <c r="A152" s="246" t="s">
        <v>37</v>
      </c>
      <c r="B152" s="203" t="s">
        <v>310</v>
      </c>
      <c r="C152" s="239"/>
      <c r="D152" s="316"/>
      <c r="E152" s="321"/>
      <c r="F152" s="293"/>
      <c r="G152" s="293">
        <v>7336099</v>
      </c>
      <c r="H152" s="293"/>
      <c r="I152" s="293"/>
      <c r="J152" s="317"/>
      <c r="K152" s="318"/>
      <c r="L152" s="293">
        <v>1574000</v>
      </c>
      <c r="M152" s="293"/>
      <c r="N152" s="319"/>
      <c r="O152" s="318"/>
      <c r="P152" s="319"/>
    </row>
    <row r="153" spans="1:17" x14ac:dyDescent="0.2">
      <c r="A153" s="246" t="s">
        <v>38</v>
      </c>
      <c r="B153" s="203" t="s">
        <v>262</v>
      </c>
      <c r="C153" s="242"/>
      <c r="D153" s="316"/>
      <c r="E153" s="321"/>
      <c r="F153" s="293"/>
      <c r="G153" s="293"/>
      <c r="H153" s="293"/>
      <c r="I153" s="293"/>
      <c r="J153" s="317"/>
      <c r="K153" s="318"/>
      <c r="L153" s="293"/>
      <c r="M153" s="293"/>
      <c r="N153" s="319"/>
      <c r="O153" s="318"/>
      <c r="P153" s="319"/>
    </row>
    <row r="154" spans="1:17" x14ac:dyDescent="0.2">
      <c r="A154" s="246" t="s">
        <v>39</v>
      </c>
      <c r="B154" s="203" t="s">
        <v>327</v>
      </c>
      <c r="C154" s="242">
        <v>3</v>
      </c>
      <c r="D154" s="316">
        <f>D68</f>
        <v>63412301</v>
      </c>
      <c r="E154" s="321">
        <v>16393080</v>
      </c>
      <c r="F154" s="293">
        <v>3165880</v>
      </c>
      <c r="G154" s="293"/>
      <c r="H154" s="293"/>
      <c r="I154" s="293"/>
      <c r="J154" s="317"/>
      <c r="K154" s="318"/>
      <c r="L154" s="293"/>
      <c r="M154" s="293"/>
      <c r="N154" s="319"/>
      <c r="O154" s="318"/>
      <c r="P154" s="319"/>
    </row>
    <row r="155" spans="1:17" x14ac:dyDescent="0.2">
      <c r="A155" s="246" t="s">
        <v>40</v>
      </c>
      <c r="B155" s="203" t="s">
        <v>17</v>
      </c>
      <c r="C155" s="242">
        <v>1</v>
      </c>
      <c r="D155" s="316"/>
      <c r="E155" s="321">
        <v>2666770</v>
      </c>
      <c r="F155" s="293">
        <v>505005</v>
      </c>
      <c r="G155" s="293"/>
      <c r="H155" s="293"/>
      <c r="I155" s="293"/>
      <c r="J155" s="317"/>
      <c r="K155" s="318"/>
      <c r="L155" s="293"/>
      <c r="M155" s="293"/>
      <c r="N155" s="319"/>
      <c r="O155" s="318"/>
      <c r="P155" s="319"/>
    </row>
    <row r="156" spans="1:17" ht="13.5" thickBot="1" x14ac:dyDescent="0.25">
      <c r="A156" s="334" t="s">
        <v>41</v>
      </c>
      <c r="B156" s="252" t="s">
        <v>363</v>
      </c>
      <c r="C156" s="243">
        <v>4</v>
      </c>
      <c r="D156" s="322"/>
      <c r="E156" s="323">
        <v>10844001</v>
      </c>
      <c r="F156" s="324">
        <v>2073665</v>
      </c>
      <c r="G156" s="324"/>
      <c r="H156" s="324"/>
      <c r="I156" s="324"/>
      <c r="J156" s="325"/>
      <c r="K156" s="326"/>
      <c r="L156" s="324"/>
      <c r="M156" s="324"/>
      <c r="N156" s="327"/>
      <c r="O156" s="326"/>
      <c r="P156" s="327"/>
    </row>
    <row r="157" spans="1:17" ht="16.5" customHeight="1" thickBot="1" x14ac:dyDescent="0.25">
      <c r="A157" s="958" t="s">
        <v>83</v>
      </c>
      <c r="B157" s="982"/>
      <c r="C157" s="335">
        <f>C87+C88+C89+C90+C91+C92+C93+C94+C95+C96+C97+C98+C99+C102+C103+C104+C105+C106+C107+C108+C109+C110+C111+C112+C113+C114+C115+C116+C117+C118+C119+C120+C121+C122+C123+C124+C125+C129+C130+C131+C132+C133+C134+C135+C136+C138+C139+C140+C141+C142+C143+C146+C147+C148+C149+C151+C152+C153+C154+C156+C155</f>
        <v>38</v>
      </c>
      <c r="D157" s="336">
        <f>SUM(D86:D125)+SUM(D129:D156)</f>
        <v>149377101</v>
      </c>
      <c r="E157" s="336">
        <f>SUM(E86:E125)+SUM(E129:E156)</f>
        <v>159141561</v>
      </c>
      <c r="F157" s="336">
        <f t="shared" ref="F157:P157" si="1">SUM(F86:F125)+SUM(F129:F156)</f>
        <v>29619986</v>
      </c>
      <c r="G157" s="336">
        <f t="shared" si="1"/>
        <v>90399007</v>
      </c>
      <c r="H157" s="336">
        <f t="shared" si="1"/>
        <v>6042266</v>
      </c>
      <c r="I157" s="336">
        <f t="shared" si="1"/>
        <v>13363000</v>
      </c>
      <c r="J157" s="336">
        <f t="shared" si="1"/>
        <v>10810500</v>
      </c>
      <c r="K157" s="336">
        <f>SUM(K86:K125)+SUM(K129:K156)</f>
        <v>197964139</v>
      </c>
      <c r="L157" s="336">
        <f t="shared" si="1"/>
        <v>9702500</v>
      </c>
      <c r="M157" s="336">
        <f t="shared" si="1"/>
        <v>1263000</v>
      </c>
      <c r="N157" s="336">
        <f t="shared" si="1"/>
        <v>0</v>
      </c>
      <c r="O157" s="336">
        <f t="shared" si="1"/>
        <v>0</v>
      </c>
      <c r="P157" s="336">
        <f t="shared" si="1"/>
        <v>107266988</v>
      </c>
    </row>
    <row r="158" spans="1:17" ht="15" customHeight="1" thickBot="1" x14ac:dyDescent="0.25">
      <c r="A158" s="993" t="s">
        <v>188</v>
      </c>
      <c r="B158" s="994"/>
      <c r="C158" s="148"/>
      <c r="D158" s="313"/>
      <c r="E158" s="983">
        <f>E157+F157+G157+H157+I157+J157+K157+L157+M157+N157+O157+P157+D157</f>
        <v>774950048</v>
      </c>
      <c r="F158" s="983"/>
      <c r="G158" s="983"/>
      <c r="H158" s="983"/>
      <c r="I158" s="983"/>
      <c r="J158" s="983"/>
      <c r="K158" s="983"/>
      <c r="L158" s="983"/>
      <c r="M158" s="983"/>
      <c r="N158" s="983"/>
      <c r="O158" s="983"/>
      <c r="P158" s="984"/>
      <c r="Q158" s="3">
        <f>E158-D75</f>
        <v>0</v>
      </c>
    </row>
    <row r="159" spans="1:17" ht="13.5" thickBot="1" x14ac:dyDescent="0.25">
      <c r="A159" s="927" t="s">
        <v>189</v>
      </c>
      <c r="B159" s="928"/>
      <c r="C159" s="250"/>
      <c r="D159" s="314"/>
      <c r="E159" s="931">
        <f>-D157</f>
        <v>-149377101</v>
      </c>
      <c r="F159" s="931"/>
      <c r="G159" s="931"/>
      <c r="H159" s="931"/>
      <c r="I159" s="931"/>
      <c r="J159" s="931"/>
      <c r="K159" s="931"/>
      <c r="L159" s="931"/>
      <c r="M159" s="931"/>
      <c r="N159" s="931"/>
      <c r="O159" s="931"/>
      <c r="P159" s="932"/>
      <c r="Q159" s="3">
        <f t="shared" ref="Q159:Q160" si="2">E159-D76</f>
        <v>0</v>
      </c>
    </row>
    <row r="160" spans="1:17" ht="13.5" thickBot="1" x14ac:dyDescent="0.25">
      <c r="A160" s="929" t="s">
        <v>190</v>
      </c>
      <c r="B160" s="930"/>
      <c r="C160" s="75"/>
      <c r="D160" s="315"/>
      <c r="E160" s="921">
        <f>SUM(E158:E159)</f>
        <v>625572947</v>
      </c>
      <c r="F160" s="921"/>
      <c r="G160" s="921"/>
      <c r="H160" s="921"/>
      <c r="I160" s="921"/>
      <c r="J160" s="921"/>
      <c r="K160" s="921"/>
      <c r="L160" s="921"/>
      <c r="M160" s="921"/>
      <c r="N160" s="921"/>
      <c r="O160" s="921"/>
      <c r="P160" s="922"/>
      <c r="Q160" s="3">
        <f t="shared" si="2"/>
        <v>0</v>
      </c>
    </row>
  </sheetData>
  <autoFilter ref="B1:B160" xr:uid="{4F158942-A99A-44E3-A711-AC27772BC478}"/>
  <mergeCells count="48">
    <mergeCell ref="A75:B75"/>
    <mergeCell ref="A157:B157"/>
    <mergeCell ref="E158:P158"/>
    <mergeCell ref="E84:J84"/>
    <mergeCell ref="K84:N84"/>
    <mergeCell ref="O84:P84"/>
    <mergeCell ref="E127:J127"/>
    <mergeCell ref="A158:B158"/>
    <mergeCell ref="A76:B76"/>
    <mergeCell ref="A77:B77"/>
    <mergeCell ref="A86:B86"/>
    <mergeCell ref="B84:B85"/>
    <mergeCell ref="A1:P1"/>
    <mergeCell ref="A3:P3"/>
    <mergeCell ref="A74:B74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C4:C5"/>
    <mergeCell ref="D4:D5"/>
    <mergeCell ref="D42:D43"/>
    <mergeCell ref="D84:D85"/>
    <mergeCell ref="C84:C85"/>
    <mergeCell ref="D75:P75"/>
    <mergeCell ref="D76:P76"/>
    <mergeCell ref="D77:P77"/>
    <mergeCell ref="H18:H19"/>
    <mergeCell ref="E160:P160"/>
    <mergeCell ref="A127:A128"/>
    <mergeCell ref="B127:B128"/>
    <mergeCell ref="A84:A85"/>
    <mergeCell ref="A159:B159"/>
    <mergeCell ref="A160:B160"/>
    <mergeCell ref="E159:P159"/>
    <mergeCell ref="D127:D128"/>
    <mergeCell ref="C127:C128"/>
    <mergeCell ref="K127:N127"/>
    <mergeCell ref="O127:P127"/>
  </mergeCells>
  <phoneticPr fontId="13" type="noConversion"/>
  <pageMargins left="0.39370078740157483" right="0.39370078740157483" top="0.59055118110236227" bottom="0.39370078740157483" header="0.51181102362204722" footer="0.51181102362204722"/>
  <pageSetup paperSize="9" scale="65" fitToHeight="4" orientation="landscape" r:id="rId1"/>
  <headerFooter alignWithMargins="0"/>
  <rowBreaks count="3" manualBreakCount="3">
    <brk id="41" max="16383" man="1"/>
    <brk id="83" max="16383" man="1"/>
    <brk id="12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38"/>
  <sheetViews>
    <sheetView topLeftCell="A16" zoomScaleNormal="100" workbookViewId="0">
      <selection activeCell="D35" sqref="D35"/>
    </sheetView>
  </sheetViews>
  <sheetFormatPr defaultRowHeight="12.75" x14ac:dyDescent="0.2"/>
  <cols>
    <col min="1" max="1" width="64.5703125" customWidth="1"/>
    <col min="2" max="2" width="12.85546875" customWidth="1"/>
  </cols>
  <sheetData>
    <row r="1" spans="1:16" ht="15" customHeight="1" x14ac:dyDescent="0.2">
      <c r="A1" s="956" t="s">
        <v>381</v>
      </c>
      <c r="B1" s="956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2" customFormat="1" ht="18.75" customHeight="1" x14ac:dyDescent="0.25">
      <c r="A2" s="1006"/>
      <c r="B2" s="1006"/>
    </row>
    <row r="3" spans="1:16" ht="22.5" customHeight="1" x14ac:dyDescent="0.25">
      <c r="A3" s="1005" t="s">
        <v>263</v>
      </c>
      <c r="B3" s="1005"/>
    </row>
    <row r="4" spans="1:16" ht="17.25" customHeight="1" x14ac:dyDescent="0.25">
      <c r="A4" s="1005" t="s">
        <v>371</v>
      </c>
      <c r="B4" s="1005"/>
    </row>
    <row r="5" spans="1:16" ht="17.25" customHeight="1" thickBot="1" x14ac:dyDescent="0.35">
      <c r="A5" s="144"/>
      <c r="B5" s="147" t="s">
        <v>359</v>
      </c>
    </row>
    <row r="6" spans="1:16" ht="24.95" customHeight="1" thickBot="1" x14ac:dyDescent="0.25">
      <c r="A6" s="1003" t="s">
        <v>360</v>
      </c>
      <c r="B6" s="1004"/>
    </row>
    <row r="7" spans="1:16" ht="24.95" customHeight="1" thickBot="1" x14ac:dyDescent="0.25">
      <c r="A7" s="357"/>
      <c r="B7" s="357"/>
    </row>
    <row r="8" spans="1:16" ht="24.95" customHeight="1" x14ac:dyDescent="0.2">
      <c r="A8" s="366" t="s">
        <v>344</v>
      </c>
      <c r="B8" s="367">
        <f>'Önk.bev.'!G17</f>
        <v>43801564</v>
      </c>
    </row>
    <row r="9" spans="1:16" ht="24.95" customHeight="1" thickBot="1" x14ac:dyDescent="0.25">
      <c r="A9" s="361" t="s">
        <v>582</v>
      </c>
      <c r="B9" s="364">
        <f>'Hiv.bev.'!G17+'Hiv.bev.'!G24</f>
        <v>6626192</v>
      </c>
    </row>
    <row r="10" spans="1:16" ht="24.95" customHeight="1" thickBot="1" x14ac:dyDescent="0.25">
      <c r="A10" s="358" t="s">
        <v>581</v>
      </c>
      <c r="B10" s="498">
        <f>SUM(B8:B9)</f>
        <v>50427756</v>
      </c>
    </row>
    <row r="11" spans="1:16" ht="24.95" customHeight="1" x14ac:dyDescent="0.2">
      <c r="A11" s="359" t="s">
        <v>345</v>
      </c>
      <c r="B11" s="362">
        <f>'Önk.bev.'!G20</f>
        <v>6000000</v>
      </c>
    </row>
    <row r="12" spans="1:16" ht="24.95" customHeight="1" x14ac:dyDescent="0.2">
      <c r="A12" s="360" t="s">
        <v>346</v>
      </c>
      <c r="B12" s="363">
        <f>'Önk.bev.'!G21</f>
        <v>95470000</v>
      </c>
    </row>
    <row r="13" spans="1:16" ht="24.95" customHeight="1" x14ac:dyDescent="0.2">
      <c r="A13" s="360" t="s">
        <v>347</v>
      </c>
      <c r="B13" s="363">
        <f>'Önk.bev.'!G22</f>
        <v>7238050</v>
      </c>
    </row>
    <row r="14" spans="1:16" ht="24.95" customHeight="1" x14ac:dyDescent="0.2">
      <c r="A14" s="360" t="s">
        <v>348</v>
      </c>
      <c r="B14" s="363">
        <f>'Önk.bev.'!G23</f>
        <v>300000</v>
      </c>
    </row>
    <row r="15" spans="1:16" ht="24.95" customHeight="1" x14ac:dyDescent="0.2">
      <c r="A15" s="360" t="s">
        <v>349</v>
      </c>
      <c r="B15" s="363">
        <v>0</v>
      </c>
    </row>
    <row r="16" spans="1:16" ht="24.95" customHeight="1" thickBot="1" x14ac:dyDescent="0.25">
      <c r="A16" s="360" t="s">
        <v>350</v>
      </c>
      <c r="B16" s="363">
        <f>'Önk.bev.'!G27</f>
        <v>200000</v>
      </c>
    </row>
    <row r="17" spans="1:2" ht="24.95" customHeight="1" thickBot="1" x14ac:dyDescent="0.25">
      <c r="A17" s="358" t="s">
        <v>219</v>
      </c>
      <c r="B17" s="498">
        <f>SUM(B11:B16)</f>
        <v>109208050</v>
      </c>
    </row>
    <row r="18" spans="1:2" ht="24.95" customHeight="1" x14ac:dyDescent="0.2">
      <c r="A18" s="359" t="s">
        <v>218</v>
      </c>
      <c r="B18" s="362">
        <f>'Önk.bev.'!G30</f>
        <v>100000</v>
      </c>
    </row>
    <row r="19" spans="1:2" ht="24.95" customHeight="1" x14ac:dyDescent="0.2">
      <c r="A19" s="360" t="s">
        <v>351</v>
      </c>
      <c r="B19" s="363">
        <f>'Önk.bev.'!G31</f>
        <v>250000</v>
      </c>
    </row>
    <row r="20" spans="1:2" ht="24.95" customHeight="1" x14ac:dyDescent="0.2">
      <c r="A20" s="360" t="s">
        <v>352</v>
      </c>
      <c r="B20" s="363">
        <f>'Önk.bev.'!G32</f>
        <v>300000</v>
      </c>
    </row>
    <row r="21" spans="1:2" ht="24.95" customHeight="1" x14ac:dyDescent="0.2">
      <c r="A21" s="360" t="s">
        <v>353</v>
      </c>
      <c r="B21" s="363">
        <f>'Önk.bev.'!G33</f>
        <v>54287420</v>
      </c>
    </row>
    <row r="22" spans="1:2" ht="24.95" customHeight="1" x14ac:dyDescent="0.2">
      <c r="A22" s="360" t="s">
        <v>354</v>
      </c>
      <c r="B22" s="363">
        <f>'Önk.bev.'!G34</f>
        <v>4753311</v>
      </c>
    </row>
    <row r="23" spans="1:2" ht="24.95" customHeight="1" x14ac:dyDescent="0.2">
      <c r="A23" s="360" t="s">
        <v>355</v>
      </c>
      <c r="B23" s="363">
        <f>'Önk.bev.'!G35</f>
        <v>5170401</v>
      </c>
    </row>
    <row r="24" spans="1:2" ht="24.95" customHeight="1" x14ac:dyDescent="0.2">
      <c r="A24" s="360" t="s">
        <v>356</v>
      </c>
      <c r="B24" s="363">
        <f>'Önk.bev.'!G36</f>
        <v>500000</v>
      </c>
    </row>
    <row r="25" spans="1:2" ht="24.95" customHeight="1" x14ac:dyDescent="0.2">
      <c r="A25" s="360" t="s">
        <v>357</v>
      </c>
      <c r="B25" s="363">
        <f>'Önk.bev.'!G37</f>
        <v>200000</v>
      </c>
    </row>
    <row r="26" spans="1:2" ht="24.95" customHeight="1" x14ac:dyDescent="0.2">
      <c r="A26" s="360" t="s">
        <v>578</v>
      </c>
      <c r="B26" s="363">
        <f>'Önk.bev.'!G38+'Önk.bev.'!G39</f>
        <v>1443000</v>
      </c>
    </row>
    <row r="27" spans="1:2" ht="24.95" customHeight="1" x14ac:dyDescent="0.2">
      <c r="A27" s="360" t="s">
        <v>358</v>
      </c>
      <c r="B27" s="363">
        <f>'Művh.bev.'!G19</f>
        <v>98911</v>
      </c>
    </row>
    <row r="28" spans="1:2" ht="24.95" customHeight="1" x14ac:dyDescent="0.2">
      <c r="A28" s="360" t="s">
        <v>579</v>
      </c>
      <c r="B28" s="363">
        <f>'Hiv.bev.'!G18+'Hiv.bev.'!G19</f>
        <v>98616</v>
      </c>
    </row>
    <row r="29" spans="1:2" ht="24.95" customHeight="1" thickBot="1" x14ac:dyDescent="0.25">
      <c r="A29" s="361" t="s">
        <v>580</v>
      </c>
      <c r="B29" s="364">
        <f>Ovibev.!G20</f>
        <v>1398012</v>
      </c>
    </row>
    <row r="30" spans="1:2" ht="24.95" customHeight="1" thickBot="1" x14ac:dyDescent="0.25">
      <c r="A30" s="358" t="s">
        <v>167</v>
      </c>
      <c r="B30" s="498">
        <f>SUM(B18:B29)</f>
        <v>68599671</v>
      </c>
    </row>
    <row r="31" spans="1:2" ht="24.95" customHeight="1" x14ac:dyDescent="0.2">
      <c r="A31" s="359" t="s">
        <v>583</v>
      </c>
      <c r="B31" s="768">
        <f>'Önk.bev.'!G41</f>
        <v>53827200</v>
      </c>
    </row>
    <row r="32" spans="1:2" ht="24.95" customHeight="1" x14ac:dyDescent="0.2">
      <c r="A32" s="556" t="s">
        <v>424</v>
      </c>
      <c r="B32" s="769">
        <f>'Önk.bev.'!G46</f>
        <v>118000</v>
      </c>
    </row>
    <row r="33" spans="1:2" ht="24.95" customHeight="1" x14ac:dyDescent="0.2">
      <c r="A33" s="527" t="s">
        <v>622</v>
      </c>
      <c r="B33" s="769">
        <f>'Önk.bev.'!G47</f>
        <v>48529410</v>
      </c>
    </row>
    <row r="34" spans="1:2" ht="24.95" customHeight="1" thickBot="1" x14ac:dyDescent="0.25">
      <c r="A34" s="770" t="s">
        <v>584</v>
      </c>
      <c r="B34" s="771">
        <f>'Önk.bev.'!G44</f>
        <v>220000</v>
      </c>
    </row>
    <row r="35" spans="1:2" ht="24.95" customHeight="1" thickBot="1" x14ac:dyDescent="0.25">
      <c r="A35" s="368" t="s">
        <v>4</v>
      </c>
      <c r="B35" s="498">
        <f>SUM(B31:B34)</f>
        <v>102694610</v>
      </c>
    </row>
    <row r="36" spans="1:2" ht="24.95" customHeight="1" thickBot="1" x14ac:dyDescent="0.25">
      <c r="A36" s="545" t="s">
        <v>432</v>
      </c>
      <c r="B36" s="767">
        <f>'Önk.bev.'!G18</f>
        <v>6180000</v>
      </c>
    </row>
    <row r="37" spans="1:2" ht="24.95" customHeight="1" thickBot="1" x14ac:dyDescent="0.3">
      <c r="A37" s="369" t="s">
        <v>83</v>
      </c>
      <c r="B37" s="365">
        <f>+B10+B17+B30+B35+B36</f>
        <v>337110087</v>
      </c>
    </row>
    <row r="38" spans="1:2" ht="24.95" customHeight="1" x14ac:dyDescent="0.2"/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98425196850393704" bottom="0.19685039370078741" header="0.51181102362204722" footer="0.51181102362204722"/>
  <pageSetup paperSize="9" scale="95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16"/>
  <sheetViews>
    <sheetView zoomScaleNormal="100" workbookViewId="0">
      <selection activeCell="B17" sqref="B17"/>
    </sheetView>
  </sheetViews>
  <sheetFormatPr defaultRowHeight="12.75" x14ac:dyDescent="0.2"/>
  <cols>
    <col min="1" max="1" width="76" customWidth="1"/>
    <col min="2" max="2" width="14.85546875" customWidth="1"/>
    <col min="4" max="4" width="24.85546875" customWidth="1"/>
  </cols>
  <sheetData>
    <row r="1" spans="1:6" ht="18.75" customHeight="1" x14ac:dyDescent="0.2">
      <c r="A1" s="1008" t="s">
        <v>382</v>
      </c>
      <c r="B1" s="1008"/>
      <c r="C1" s="8"/>
      <c r="D1" s="1008"/>
      <c r="E1" s="1008"/>
      <c r="F1" s="1008"/>
    </row>
    <row r="2" spans="1:6" ht="18.75" customHeight="1" x14ac:dyDescent="0.2">
      <c r="A2" s="77"/>
      <c r="B2" s="78"/>
      <c r="C2" s="78"/>
      <c r="D2" s="911"/>
      <c r="E2" s="912"/>
      <c r="F2" s="912"/>
    </row>
    <row r="3" spans="1:6" ht="34.5" customHeight="1" x14ac:dyDescent="0.25">
      <c r="A3" s="1009" t="s">
        <v>243</v>
      </c>
      <c r="B3" s="1009"/>
      <c r="C3" s="79"/>
      <c r="D3" s="1009"/>
      <c r="E3" s="1009"/>
      <c r="F3" s="1009"/>
    </row>
    <row r="4" spans="1:6" ht="20.25" customHeight="1" x14ac:dyDescent="0.25">
      <c r="A4" s="1010" t="s">
        <v>372</v>
      </c>
      <c r="B4" s="1010"/>
      <c r="C4" s="13"/>
      <c r="D4" s="1010"/>
      <c r="E4" s="1010"/>
      <c r="F4" s="1010"/>
    </row>
    <row r="6" spans="1:6" ht="12.75" customHeight="1" x14ac:dyDescent="0.25">
      <c r="A6" s="1007" t="s">
        <v>361</v>
      </c>
      <c r="B6" s="1007"/>
    </row>
    <row r="7" spans="1:6" x14ac:dyDescent="0.2">
      <c r="A7" s="146"/>
      <c r="B7" s="146"/>
    </row>
    <row r="8" spans="1:6" ht="15" x14ac:dyDescent="0.3">
      <c r="A8" s="7"/>
    </row>
    <row r="9" spans="1:6" ht="13.5" thickBot="1" x14ac:dyDescent="0.25">
      <c r="B9" s="1" t="s">
        <v>359</v>
      </c>
    </row>
    <row r="10" spans="1:6" ht="24.95" customHeight="1" x14ac:dyDescent="0.2">
      <c r="A10" s="370" t="s">
        <v>340</v>
      </c>
      <c r="B10" s="373">
        <f>'Önk.bev.'!G8</f>
        <v>70984882</v>
      </c>
    </row>
    <row r="11" spans="1:6" ht="24.95" customHeight="1" x14ac:dyDescent="0.2">
      <c r="A11" s="371" t="s">
        <v>341</v>
      </c>
      <c r="B11" s="374">
        <f>'Önk.bev.'!G9</f>
        <v>45338634</v>
      </c>
    </row>
    <row r="12" spans="1:6" ht="31.5" customHeight="1" x14ac:dyDescent="0.2">
      <c r="A12" s="371" t="s">
        <v>342</v>
      </c>
      <c r="B12" s="374">
        <f>'Önk.bev.'!G10</f>
        <v>36120986</v>
      </c>
    </row>
    <row r="13" spans="1:6" ht="24.95" customHeight="1" x14ac:dyDescent="0.2">
      <c r="A13" s="371" t="s">
        <v>343</v>
      </c>
      <c r="B13" s="374">
        <f>'Önk.bev.'!G11</f>
        <v>3488069</v>
      </c>
    </row>
    <row r="14" spans="1:6" ht="31.5" x14ac:dyDescent="0.2">
      <c r="A14" s="499" t="s">
        <v>603</v>
      </c>
      <c r="B14" s="374">
        <f>'Önk.bev.'!G12</f>
        <v>11321160</v>
      </c>
    </row>
    <row r="15" spans="1:6" ht="32.25" thickBot="1" x14ac:dyDescent="0.25">
      <c r="A15" s="500" t="s">
        <v>602</v>
      </c>
      <c r="B15" s="489">
        <f>'Önk.bev.'!G13</f>
        <v>329091</v>
      </c>
    </row>
    <row r="16" spans="1:6" ht="24.95" customHeight="1" thickBot="1" x14ac:dyDescent="0.25">
      <c r="A16" s="372" t="s">
        <v>229</v>
      </c>
      <c r="B16" s="501">
        <f>SUM(B10:B15)</f>
        <v>167582822</v>
      </c>
    </row>
  </sheetData>
  <mergeCells count="8">
    <mergeCell ref="A6:B6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B13"/>
  <sheetViews>
    <sheetView zoomScaleNormal="100" workbookViewId="0">
      <selection activeCell="B13" sqref="B13"/>
    </sheetView>
  </sheetViews>
  <sheetFormatPr defaultRowHeight="12.75" x14ac:dyDescent="0.2"/>
  <cols>
    <col min="1" max="1" width="58" customWidth="1"/>
    <col min="2" max="2" width="13.5703125" customWidth="1"/>
  </cols>
  <sheetData>
    <row r="1" spans="1:2" s="153" customFormat="1" ht="15" customHeight="1" x14ac:dyDescent="0.25">
      <c r="A1" s="1013" t="s">
        <v>383</v>
      </c>
      <c r="B1" s="1013"/>
    </row>
    <row r="2" spans="1:2" ht="14.25" x14ac:dyDescent="0.2">
      <c r="A2" s="912"/>
      <c r="B2" s="912"/>
    </row>
    <row r="3" spans="1:2" ht="17.25" customHeight="1" x14ac:dyDescent="0.2"/>
    <row r="4" spans="1:2" ht="18" customHeight="1" x14ac:dyDescent="0.25">
      <c r="A4" s="1010" t="s">
        <v>243</v>
      </c>
      <c r="B4" s="1010"/>
    </row>
    <row r="5" spans="1:2" ht="15.75" x14ac:dyDescent="0.25">
      <c r="A5" s="1012" t="s">
        <v>372</v>
      </c>
      <c r="B5" s="1012"/>
    </row>
    <row r="6" spans="1:2" ht="15.75" x14ac:dyDescent="0.25">
      <c r="A6" s="76"/>
    </row>
    <row r="7" spans="1:2" ht="15.75" customHeight="1" x14ac:dyDescent="0.25">
      <c r="A7" s="1011" t="s">
        <v>220</v>
      </c>
      <c r="B7" s="1011"/>
    </row>
    <row r="8" spans="1:2" ht="15.75" customHeight="1" x14ac:dyDescent="0.25">
      <c r="A8" s="91"/>
      <c r="B8" s="91"/>
    </row>
    <row r="9" spans="1:2" ht="15.75" customHeight="1" thickBot="1" x14ac:dyDescent="0.25">
      <c r="A9" s="150"/>
      <c r="B9" s="1" t="s">
        <v>359</v>
      </c>
    </row>
    <row r="10" spans="1:2" ht="30" customHeight="1" x14ac:dyDescent="0.2">
      <c r="A10" s="502" t="s">
        <v>367</v>
      </c>
      <c r="B10" s="503">
        <v>500000</v>
      </c>
    </row>
    <row r="11" spans="1:2" ht="30" customHeight="1" thickBot="1" x14ac:dyDescent="0.25">
      <c r="A11" s="504" t="s">
        <v>368</v>
      </c>
      <c r="B11" s="505">
        <v>10207000</v>
      </c>
    </row>
    <row r="12" spans="1:2" ht="30" customHeight="1" thickBot="1" x14ac:dyDescent="0.25">
      <c r="A12" s="506" t="s">
        <v>369</v>
      </c>
      <c r="B12" s="507">
        <f>B10+B11</f>
        <v>10707000</v>
      </c>
    </row>
    <row r="13" spans="1:2" ht="14.25" x14ac:dyDescent="0.2">
      <c r="A13" s="26"/>
      <c r="B13" s="26"/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5:G39"/>
  <sheetViews>
    <sheetView topLeftCell="A22" zoomScaleNormal="100" workbookViewId="0">
      <selection activeCell="C37" sqref="C37"/>
    </sheetView>
  </sheetViews>
  <sheetFormatPr defaultRowHeight="12.75" x14ac:dyDescent="0.2"/>
  <cols>
    <col min="2" max="2" width="58.42578125" customWidth="1"/>
    <col min="3" max="3" width="18.85546875" customWidth="1"/>
    <col min="7" max="7" width="11.140625" bestFit="1" customWidth="1"/>
  </cols>
  <sheetData>
    <row r="5" spans="1:4" ht="15" customHeight="1" x14ac:dyDescent="0.2">
      <c r="A5" s="956" t="s">
        <v>384</v>
      </c>
      <c r="B5" s="956"/>
      <c r="C5" s="956"/>
      <c r="D5" s="956"/>
    </row>
    <row r="6" spans="1:4" ht="15" customHeight="1" x14ac:dyDescent="0.2">
      <c r="A6" s="911"/>
      <c r="B6" s="911"/>
      <c r="C6" s="911"/>
    </row>
    <row r="7" spans="1:4" ht="15" customHeight="1" x14ac:dyDescent="0.2">
      <c r="A7" s="11"/>
      <c r="B7" s="11"/>
      <c r="C7" s="12"/>
    </row>
    <row r="8" spans="1:4" ht="15.75" x14ac:dyDescent="0.25">
      <c r="A8" s="1010" t="s">
        <v>243</v>
      </c>
      <c r="B8" s="1010"/>
      <c r="C8" s="1010"/>
      <c r="D8" s="1010"/>
    </row>
    <row r="9" spans="1:4" ht="15.75" x14ac:dyDescent="0.25">
      <c r="A9" s="1012" t="s">
        <v>372</v>
      </c>
      <c r="B9" s="1012"/>
      <c r="C9" s="1012"/>
      <c r="D9" s="1012"/>
    </row>
    <row r="10" spans="1:4" ht="15.75" x14ac:dyDescent="0.25">
      <c r="A10" s="76"/>
      <c r="B10" s="76"/>
      <c r="C10" s="76"/>
    </row>
    <row r="11" spans="1:4" ht="15.75" x14ac:dyDescent="0.25">
      <c r="A11" s="1012" t="s">
        <v>187</v>
      </c>
      <c r="B11" s="1012"/>
      <c r="C11" s="1012"/>
      <c r="D11" s="1012"/>
    </row>
    <row r="12" spans="1:4" ht="15.75" x14ac:dyDescent="0.25">
      <c r="A12" s="76"/>
      <c r="B12" s="76"/>
      <c r="C12" s="76"/>
      <c r="D12" s="76"/>
    </row>
    <row r="13" spans="1:4" ht="16.5" customHeight="1" thickBot="1" x14ac:dyDescent="0.25">
      <c r="C13" s="375" t="s">
        <v>577</v>
      </c>
    </row>
    <row r="14" spans="1:4" ht="24.95" customHeight="1" thickBot="1" x14ac:dyDescent="0.3">
      <c r="B14" s="384" t="s">
        <v>221</v>
      </c>
      <c r="C14" s="383" t="s">
        <v>359</v>
      </c>
    </row>
    <row r="15" spans="1:4" ht="24.95" customHeight="1" x14ac:dyDescent="0.25">
      <c r="B15" s="389" t="s">
        <v>585</v>
      </c>
      <c r="C15" s="386">
        <v>1913000</v>
      </c>
    </row>
    <row r="16" spans="1:4" ht="24.95" customHeight="1" x14ac:dyDescent="0.25">
      <c r="B16" s="389" t="s">
        <v>697</v>
      </c>
      <c r="C16" s="386">
        <v>450000</v>
      </c>
    </row>
    <row r="17" spans="2:7" ht="24.95" customHeight="1" x14ac:dyDescent="0.25">
      <c r="B17" s="390" t="s">
        <v>586</v>
      </c>
      <c r="C17" s="379">
        <v>389500</v>
      </c>
    </row>
    <row r="18" spans="2:7" ht="24.95" customHeight="1" x14ac:dyDescent="0.25">
      <c r="B18" s="390" t="s">
        <v>564</v>
      </c>
      <c r="C18" s="379">
        <f>263000+131000+120000+53000</f>
        <v>567000</v>
      </c>
    </row>
    <row r="19" spans="2:7" ht="24.95" customHeight="1" x14ac:dyDescent="0.25">
      <c r="B19" s="390" t="s">
        <v>589</v>
      </c>
      <c r="C19" s="379">
        <v>133000</v>
      </c>
    </row>
    <row r="20" spans="2:7" ht="24.95" customHeight="1" x14ac:dyDescent="0.25">
      <c r="B20" s="390" t="s">
        <v>590</v>
      </c>
      <c r="C20" s="379">
        <v>2000000</v>
      </c>
    </row>
    <row r="21" spans="2:7" ht="24.95" customHeight="1" x14ac:dyDescent="0.25">
      <c r="B21" s="390" t="s">
        <v>373</v>
      </c>
      <c r="C21" s="391">
        <f>'Művh.kiad.'!G30</f>
        <v>800000</v>
      </c>
    </row>
    <row r="22" spans="2:7" ht="24.95" customHeight="1" x14ac:dyDescent="0.25">
      <c r="B22" s="390" t="s">
        <v>588</v>
      </c>
      <c r="C22" s="391">
        <f>Ovikiad.!G32</f>
        <v>1270000</v>
      </c>
    </row>
    <row r="23" spans="2:7" ht="24.95" customHeight="1" thickBot="1" x14ac:dyDescent="0.3">
      <c r="B23" s="377" t="s">
        <v>587</v>
      </c>
      <c r="C23" s="392">
        <f>1660000+'Művh.kiad.'!G31+Ovikiad.!G33</f>
        <v>2180000</v>
      </c>
    </row>
    <row r="24" spans="2:7" ht="24.95" customHeight="1" thickBot="1" x14ac:dyDescent="0.3">
      <c r="B24" s="382" t="s">
        <v>222</v>
      </c>
      <c r="C24" s="387">
        <f>SUM(C15:C23)</f>
        <v>9702500</v>
      </c>
    </row>
    <row r="25" spans="2:7" ht="24.95" customHeight="1" thickBot="1" x14ac:dyDescent="0.3">
      <c r="B25" s="1014"/>
      <c r="C25" s="1015"/>
    </row>
    <row r="26" spans="2:7" ht="24.95" customHeight="1" thickBot="1" x14ac:dyDescent="0.3">
      <c r="B26" s="384" t="s">
        <v>223</v>
      </c>
      <c r="C26" s="388" t="s">
        <v>359</v>
      </c>
    </row>
    <row r="27" spans="2:7" ht="24.95" customHeight="1" x14ac:dyDescent="0.25">
      <c r="B27" s="385" t="s">
        <v>594</v>
      </c>
      <c r="C27" s="386">
        <f>116030000-170000-C28-C29</f>
        <v>108860000</v>
      </c>
    </row>
    <row r="28" spans="2:7" ht="24.95" customHeight="1" x14ac:dyDescent="0.25">
      <c r="B28" s="376" t="s">
        <v>593</v>
      </c>
      <c r="C28" s="379">
        <v>2000000</v>
      </c>
      <c r="G28" s="3"/>
    </row>
    <row r="29" spans="2:7" ht="24.95" customHeight="1" x14ac:dyDescent="0.25">
      <c r="B29" s="376" t="s">
        <v>592</v>
      </c>
      <c r="C29" s="379">
        <v>5000000</v>
      </c>
    </row>
    <row r="30" spans="2:7" ht="24.95" customHeight="1" x14ac:dyDescent="0.25">
      <c r="B30" s="376" t="s">
        <v>374</v>
      </c>
      <c r="C30" s="379">
        <v>10819007</v>
      </c>
    </row>
    <row r="31" spans="2:7" ht="24.95" customHeight="1" x14ac:dyDescent="0.25">
      <c r="B31" s="393" t="s">
        <v>605</v>
      </c>
      <c r="C31" s="380">
        <v>160000</v>
      </c>
    </row>
    <row r="32" spans="2:7" ht="24.95" customHeight="1" x14ac:dyDescent="0.25">
      <c r="B32" s="377" t="s">
        <v>698</v>
      </c>
      <c r="C32" s="772">
        <v>45000000</v>
      </c>
    </row>
    <row r="33" spans="2:3" ht="24.95" customHeight="1" x14ac:dyDescent="0.25">
      <c r="B33" s="393" t="s">
        <v>604</v>
      </c>
      <c r="C33" s="772">
        <v>170000</v>
      </c>
    </row>
    <row r="34" spans="2:3" ht="24.95" customHeight="1" x14ac:dyDescent="0.25">
      <c r="B34" s="393" t="s">
        <v>591</v>
      </c>
      <c r="C34" s="380">
        <f>1900000+2921132+21090000+44000</f>
        <v>25955132</v>
      </c>
    </row>
    <row r="35" spans="2:3" ht="24.95" customHeight="1" thickBot="1" x14ac:dyDescent="0.3">
      <c r="B35" s="394" t="s">
        <v>595</v>
      </c>
      <c r="C35" s="395">
        <v>1263000</v>
      </c>
    </row>
    <row r="36" spans="2:3" ht="24.95" customHeight="1" thickBot="1" x14ac:dyDescent="0.3">
      <c r="B36" s="378" t="s">
        <v>298</v>
      </c>
      <c r="C36" s="381">
        <f>SUM(C27:C35)-C35</f>
        <v>197964139</v>
      </c>
    </row>
    <row r="37" spans="2:3" ht="24.95" customHeight="1" x14ac:dyDescent="0.2"/>
    <row r="38" spans="2:3" ht="24.95" customHeight="1" thickBot="1" x14ac:dyDescent="0.25"/>
    <row r="39" spans="2:3" ht="24.95" customHeight="1" thickBot="1" x14ac:dyDescent="0.3">
      <c r="B39" s="396" t="s">
        <v>334</v>
      </c>
      <c r="C39" s="397">
        <f>C24+C36</f>
        <v>207666639</v>
      </c>
    </row>
  </sheetData>
  <mergeCells count="6">
    <mergeCell ref="A5:D5"/>
    <mergeCell ref="B25:C25"/>
    <mergeCell ref="A6:C6"/>
    <mergeCell ref="A11:D11"/>
    <mergeCell ref="A8:D8"/>
    <mergeCell ref="A9:D9"/>
  </mergeCells>
  <phoneticPr fontId="13" type="noConversion"/>
  <pageMargins left="0.75" right="0.75" top="1" bottom="1" header="0.5" footer="0.5"/>
  <pageSetup paperSize="9" scale="8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3:G20"/>
  <sheetViews>
    <sheetView workbookViewId="0">
      <selection activeCell="C15" sqref="C15"/>
    </sheetView>
  </sheetViews>
  <sheetFormatPr defaultRowHeight="12.75" x14ac:dyDescent="0.2"/>
  <cols>
    <col min="2" max="2" width="45.7109375" customWidth="1"/>
    <col min="3" max="3" width="12.7109375" customWidth="1"/>
  </cols>
  <sheetData>
    <row r="3" spans="1:7" ht="15" customHeight="1" x14ac:dyDescent="0.2">
      <c r="A3" s="956" t="s">
        <v>385</v>
      </c>
      <c r="B3" s="956"/>
      <c r="C3" s="956"/>
      <c r="D3" s="956"/>
      <c r="E3" s="12"/>
      <c r="F3" s="12"/>
      <c r="G3" s="12"/>
    </row>
    <row r="4" spans="1:7" ht="15" customHeight="1" x14ac:dyDescent="0.2">
      <c r="A4" s="911"/>
      <c r="B4" s="912"/>
      <c r="C4" s="912"/>
      <c r="D4" s="912"/>
      <c r="E4" s="12"/>
      <c r="F4" s="12"/>
      <c r="G4" s="12"/>
    </row>
    <row r="5" spans="1:7" ht="15" x14ac:dyDescent="0.2">
      <c r="B5" s="11"/>
      <c r="C5" s="11"/>
      <c r="D5" s="11"/>
      <c r="E5" s="11"/>
    </row>
    <row r="6" spans="1:7" ht="15.75" x14ac:dyDescent="0.25">
      <c r="A6" s="1010" t="s">
        <v>243</v>
      </c>
      <c r="B6" s="1010"/>
      <c r="C6" s="1010"/>
      <c r="D6" s="1010"/>
      <c r="E6" s="13"/>
      <c r="F6" s="13"/>
      <c r="G6" s="13"/>
    </row>
    <row r="7" spans="1:7" ht="15.75" x14ac:dyDescent="0.25">
      <c r="A7" s="1012" t="s">
        <v>372</v>
      </c>
      <c r="B7" s="1012"/>
      <c r="C7" s="1012"/>
      <c r="D7" s="1012"/>
      <c r="E7" s="14"/>
      <c r="F7" s="14"/>
      <c r="G7" s="14"/>
    </row>
    <row r="10" spans="1:7" ht="15.75" x14ac:dyDescent="0.25">
      <c r="A10" s="1016" t="s">
        <v>84</v>
      </c>
      <c r="B10" s="1016"/>
      <c r="C10" s="1016"/>
      <c r="D10" s="1016"/>
      <c r="E10" s="15"/>
      <c r="F10" s="15"/>
      <c r="G10" s="15"/>
    </row>
    <row r="13" spans="1:7" ht="13.5" thickBot="1" x14ac:dyDescent="0.25">
      <c r="C13" s="1" t="s">
        <v>11</v>
      </c>
    </row>
    <row r="14" spans="1:7" ht="15" x14ac:dyDescent="0.25">
      <c r="B14" s="20" t="s">
        <v>6</v>
      </c>
      <c r="C14" s="16">
        <f>'Önk.kiad.'!G79/1000</f>
        <v>107266.988</v>
      </c>
    </row>
    <row r="15" spans="1:7" ht="15" x14ac:dyDescent="0.25">
      <c r="B15" s="18"/>
      <c r="C15" s="17"/>
    </row>
    <row r="16" spans="1:7" ht="15" x14ac:dyDescent="0.25">
      <c r="B16" s="18" t="s">
        <v>224</v>
      </c>
      <c r="C16" s="19"/>
    </row>
    <row r="17" spans="2:3" ht="15" x14ac:dyDescent="0.25">
      <c r="B17" s="10" t="s">
        <v>339</v>
      </c>
      <c r="C17" s="139">
        <v>0</v>
      </c>
    </row>
    <row r="18" spans="2:3" ht="15" x14ac:dyDescent="0.25">
      <c r="B18" s="18" t="s">
        <v>264</v>
      </c>
      <c r="C18" s="21">
        <f>SUM(C17:C17)</f>
        <v>0</v>
      </c>
    </row>
    <row r="19" spans="2:3" ht="15" thickBot="1" x14ac:dyDescent="0.25">
      <c r="B19" s="22"/>
      <c r="C19" s="23"/>
    </row>
    <row r="20" spans="2:3" ht="15.75" thickBot="1" x14ac:dyDescent="0.3">
      <c r="B20" s="9" t="s">
        <v>85</v>
      </c>
      <c r="C20" s="24">
        <f>C14+C18</f>
        <v>107266.988</v>
      </c>
    </row>
  </sheetData>
  <mergeCells count="5">
    <mergeCell ref="A3:D3"/>
    <mergeCell ref="A6:D6"/>
    <mergeCell ref="A7:D7"/>
    <mergeCell ref="A10:D10"/>
    <mergeCell ref="A4:D4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80"/>
  <sheetViews>
    <sheetView topLeftCell="B1" zoomScaleNormal="100" workbookViewId="0">
      <selection activeCell="E84" sqref="E84"/>
    </sheetView>
  </sheetViews>
  <sheetFormatPr defaultRowHeight="12.75" x14ac:dyDescent="0.2"/>
  <cols>
    <col min="1" max="1" width="6.7109375" customWidth="1"/>
    <col min="2" max="2" width="45.140625" customWidth="1"/>
    <col min="3" max="5" width="10.7109375" customWidth="1"/>
  </cols>
  <sheetData>
    <row r="1" spans="1:5" ht="15" customHeight="1" x14ac:dyDescent="0.2">
      <c r="A1" s="956" t="s">
        <v>391</v>
      </c>
      <c r="B1" s="956"/>
      <c r="C1" s="956"/>
      <c r="D1" s="956"/>
      <c r="E1" s="956"/>
    </row>
    <row r="2" spans="1:5" ht="15" customHeight="1" x14ac:dyDescent="0.2">
      <c r="A2" s="911"/>
      <c r="B2" s="912"/>
      <c r="C2" s="912"/>
      <c r="D2" s="912"/>
      <c r="E2" s="912"/>
    </row>
    <row r="3" spans="1:5" ht="15" x14ac:dyDescent="0.2">
      <c r="A3" s="11"/>
      <c r="B3" s="11"/>
      <c r="C3" s="11"/>
      <c r="D3" s="11"/>
    </row>
    <row r="4" spans="1:5" ht="15.75" x14ac:dyDescent="0.25">
      <c r="A4" s="1010" t="s">
        <v>243</v>
      </c>
      <c r="B4" s="1010"/>
      <c r="C4" s="1010"/>
      <c r="D4" s="1010"/>
      <c r="E4" s="1010"/>
    </row>
    <row r="5" spans="1:5" ht="15.75" x14ac:dyDescent="0.25">
      <c r="A5" s="1012" t="s">
        <v>372</v>
      </c>
      <c r="B5" s="1012"/>
      <c r="C5" s="1012"/>
      <c r="D5" s="1012"/>
      <c r="E5" s="1012"/>
    </row>
    <row r="6" spans="1:5" ht="15" x14ac:dyDescent="0.25">
      <c r="A6" s="40"/>
      <c r="B6" s="40"/>
      <c r="C6" s="40"/>
      <c r="D6" s="40"/>
      <c r="E6" s="40"/>
    </row>
    <row r="7" spans="1:5" ht="15.75" thickBot="1" x14ac:dyDescent="0.3">
      <c r="A7" s="25"/>
      <c r="B7" s="26"/>
      <c r="C7" s="26"/>
      <c r="D7" s="27"/>
      <c r="E7" s="27"/>
    </row>
    <row r="8" spans="1:5" ht="14.25" x14ac:dyDescent="0.2">
      <c r="A8" s="1020" t="s">
        <v>86</v>
      </c>
      <c r="B8" s="1020"/>
      <c r="C8" s="1020"/>
      <c r="D8" s="1020"/>
      <c r="E8" s="1020"/>
    </row>
    <row r="9" spans="1:5" ht="15.75" thickBot="1" x14ac:dyDescent="0.3">
      <c r="A9" s="413" t="s">
        <v>87</v>
      </c>
      <c r="B9" s="413" t="s">
        <v>8</v>
      </c>
      <c r="C9" s="413">
        <v>2019</v>
      </c>
      <c r="D9" s="414">
        <v>2020</v>
      </c>
      <c r="E9" s="414">
        <v>2021</v>
      </c>
    </row>
    <row r="10" spans="1:5" ht="15" customHeight="1" x14ac:dyDescent="0.25">
      <c r="A10" s="28" t="s">
        <v>88</v>
      </c>
      <c r="B10" s="415" t="s">
        <v>167</v>
      </c>
      <c r="C10" s="30">
        <f>'2. sz.melléklet'!B11</f>
        <v>68599.671000000002</v>
      </c>
      <c r="D10" s="30">
        <v>45000</v>
      </c>
      <c r="E10" s="30">
        <v>45000</v>
      </c>
    </row>
    <row r="11" spans="1:5" ht="15" customHeight="1" x14ac:dyDescent="0.25">
      <c r="A11" s="401" t="s">
        <v>89</v>
      </c>
      <c r="B11" s="415" t="s">
        <v>335</v>
      </c>
      <c r="C11" s="403">
        <f>'2. sz.melléklet'!B10</f>
        <v>109208.05</v>
      </c>
      <c r="D11" s="403">
        <v>80000</v>
      </c>
      <c r="E11" s="403">
        <v>80000</v>
      </c>
    </row>
    <row r="12" spans="1:5" ht="15" customHeight="1" x14ac:dyDescent="0.25">
      <c r="A12" s="401" t="s">
        <v>38</v>
      </c>
      <c r="B12" s="140" t="s">
        <v>336</v>
      </c>
      <c r="C12" s="403">
        <f>'2. sz.melléklet'!B8</f>
        <v>167582.82199999999</v>
      </c>
      <c r="D12" s="403">
        <v>127000</v>
      </c>
      <c r="E12" s="403">
        <v>127000</v>
      </c>
    </row>
    <row r="13" spans="1:5" ht="15.75" customHeight="1" x14ac:dyDescent="0.25">
      <c r="A13" s="401" t="s">
        <v>39</v>
      </c>
      <c r="B13" s="402" t="s">
        <v>226</v>
      </c>
      <c r="C13" s="403">
        <f>'2. sz.melléklet'!B9</f>
        <v>50427.756000000001</v>
      </c>
      <c r="D13" s="403">
        <v>40000</v>
      </c>
      <c r="E13" s="403">
        <v>40000</v>
      </c>
    </row>
    <row r="14" spans="1:5" ht="15" customHeight="1" x14ac:dyDescent="0.25">
      <c r="A14" s="401" t="s">
        <v>90</v>
      </c>
      <c r="B14" s="402" t="s">
        <v>337</v>
      </c>
      <c r="C14" s="403">
        <f>'2. sz.melléklet'!B13</f>
        <v>149377.101</v>
      </c>
      <c r="D14" s="403">
        <v>108000</v>
      </c>
      <c r="E14" s="403">
        <v>108000</v>
      </c>
    </row>
    <row r="15" spans="1:5" ht="15" customHeight="1" x14ac:dyDescent="0.25">
      <c r="A15" s="401" t="s">
        <v>91</v>
      </c>
      <c r="B15" s="402" t="s">
        <v>92</v>
      </c>
      <c r="C15" s="403">
        <f>'Önk.bev.'!G50/1000</f>
        <v>6721.8739999999998</v>
      </c>
      <c r="D15" s="403">
        <v>6000</v>
      </c>
      <c r="E15" s="403">
        <v>6000</v>
      </c>
    </row>
    <row r="16" spans="1:5" ht="15" customHeight="1" x14ac:dyDescent="0.25">
      <c r="A16" s="401" t="s">
        <v>42</v>
      </c>
      <c r="B16" s="402" t="s">
        <v>267</v>
      </c>
      <c r="C16" s="403">
        <f>'2. sz.melléklet'!B12</f>
        <v>377</v>
      </c>
      <c r="D16" s="403">
        <v>500</v>
      </c>
      <c r="E16" s="403">
        <v>500</v>
      </c>
    </row>
    <row r="17" spans="1:5" ht="15" customHeight="1" x14ac:dyDescent="0.25">
      <c r="A17" s="401" t="s">
        <v>93</v>
      </c>
      <c r="B17" s="402" t="s">
        <v>94</v>
      </c>
      <c r="C17" s="403"/>
      <c r="D17" s="403"/>
      <c r="E17" s="403"/>
    </row>
    <row r="18" spans="1:5" ht="15" customHeight="1" x14ac:dyDescent="0.25">
      <c r="A18" s="401" t="s">
        <v>44</v>
      </c>
      <c r="B18" s="402" t="s">
        <v>95</v>
      </c>
      <c r="C18" s="403"/>
      <c r="D18" s="403"/>
      <c r="E18" s="403"/>
    </row>
    <row r="19" spans="1:5" ht="15" customHeight="1" thickBot="1" x14ac:dyDescent="0.3">
      <c r="A19" s="401" t="s">
        <v>96</v>
      </c>
      <c r="B19" s="416" t="s">
        <v>97</v>
      </c>
      <c r="C19" s="259">
        <f>(15267000+'Művh.bev.'!G9+'Hiv.bev.'!G8+Ovibev.!G9)/1000</f>
        <v>16485.644</v>
      </c>
      <c r="D19" s="417">
        <v>7000</v>
      </c>
      <c r="E19" s="417">
        <v>7000</v>
      </c>
    </row>
    <row r="20" spans="1:5" ht="15" customHeight="1" thickBot="1" x14ac:dyDescent="0.3">
      <c r="A20" s="418" t="s">
        <v>46</v>
      </c>
      <c r="B20" s="407" t="s">
        <v>98</v>
      </c>
      <c r="C20" s="408">
        <f>SUM(C10:C19)</f>
        <v>568779.91799999995</v>
      </c>
      <c r="D20" s="408">
        <f t="shared" ref="D20:E20" si="0">SUM(D10:D19)</f>
        <v>413500</v>
      </c>
      <c r="E20" s="408">
        <f t="shared" si="0"/>
        <v>413500</v>
      </c>
    </row>
    <row r="21" spans="1:5" ht="15" customHeight="1" x14ac:dyDescent="0.25">
      <c r="A21" s="401" t="s">
        <v>99</v>
      </c>
      <c r="B21" s="29" t="s">
        <v>3</v>
      </c>
      <c r="C21" s="30">
        <f>'2. sz.melléklet'!F8</f>
        <v>159683.06099999999</v>
      </c>
      <c r="D21" s="30">
        <v>150000</v>
      </c>
      <c r="E21" s="30">
        <v>150000</v>
      </c>
    </row>
    <row r="22" spans="1:5" ht="15" customHeight="1" x14ac:dyDescent="0.25">
      <c r="A22" s="401" t="s">
        <v>48</v>
      </c>
      <c r="B22" s="402" t="s">
        <v>100</v>
      </c>
      <c r="C22" s="403">
        <f>'2. sz.melléklet'!F9</f>
        <v>29714.986000000001</v>
      </c>
      <c r="D22" s="403">
        <v>24500</v>
      </c>
      <c r="E22" s="403">
        <v>24500</v>
      </c>
    </row>
    <row r="23" spans="1:5" ht="15" customHeight="1" x14ac:dyDescent="0.25">
      <c r="A23" s="401" t="s">
        <v>101</v>
      </c>
      <c r="B23" s="402" t="s">
        <v>102</v>
      </c>
      <c r="C23" s="403">
        <f>'2. sz.melléklet'!F10</f>
        <v>89762.506930000003</v>
      </c>
      <c r="D23" s="403">
        <v>80000</v>
      </c>
      <c r="E23" s="403">
        <v>80000</v>
      </c>
    </row>
    <row r="24" spans="1:5" ht="15" customHeight="1" x14ac:dyDescent="0.25">
      <c r="A24" s="401" t="s">
        <v>50</v>
      </c>
      <c r="B24" s="402" t="s">
        <v>227</v>
      </c>
      <c r="C24" s="403">
        <f>'2. sz.melléklet'!F12</f>
        <v>7156</v>
      </c>
      <c r="D24" s="403">
        <v>3000</v>
      </c>
      <c r="E24" s="403">
        <v>3000</v>
      </c>
    </row>
    <row r="25" spans="1:5" ht="15" customHeight="1" x14ac:dyDescent="0.25">
      <c r="A25" s="401" t="s">
        <v>51</v>
      </c>
      <c r="B25" s="402" t="s">
        <v>228</v>
      </c>
      <c r="C25" s="419">
        <f>'2. sz.melléklet'!F13</f>
        <v>6207</v>
      </c>
      <c r="D25" s="403">
        <v>3000</v>
      </c>
      <c r="E25" s="403">
        <v>3000</v>
      </c>
    </row>
    <row r="26" spans="1:5" ht="15" customHeight="1" x14ac:dyDescent="0.25">
      <c r="A26" s="401" t="s">
        <v>103</v>
      </c>
      <c r="B26" s="402" t="s">
        <v>104</v>
      </c>
      <c r="C26" s="403">
        <f>'2. sz.melléklet'!F14</f>
        <v>6042.2659999999996</v>
      </c>
      <c r="D26" s="403"/>
      <c r="E26" s="403"/>
    </row>
    <row r="27" spans="1:5" ht="15" customHeight="1" x14ac:dyDescent="0.25">
      <c r="A27" s="401" t="s">
        <v>53</v>
      </c>
      <c r="B27" s="402" t="s">
        <v>105</v>
      </c>
      <c r="C27" s="403">
        <f>'2. sz.melléklet'!F11</f>
        <v>10810.5</v>
      </c>
      <c r="D27" s="403">
        <v>7500</v>
      </c>
      <c r="E27" s="403">
        <v>7500</v>
      </c>
    </row>
    <row r="28" spans="1:5" ht="15" customHeight="1" x14ac:dyDescent="0.25">
      <c r="A28" s="401" t="s">
        <v>106</v>
      </c>
      <c r="B28" s="402" t="s">
        <v>107</v>
      </c>
      <c r="C28" s="403"/>
      <c r="D28" s="403"/>
      <c r="E28" s="403"/>
    </row>
    <row r="29" spans="1:5" ht="15" customHeight="1" x14ac:dyDescent="0.25">
      <c r="A29" s="401" t="s">
        <v>55</v>
      </c>
      <c r="B29" s="402" t="s">
        <v>189</v>
      </c>
      <c r="C29" s="403">
        <f>'2. sz.melléklet'!F15</f>
        <v>149377.101</v>
      </c>
      <c r="D29" s="403">
        <v>135000</v>
      </c>
      <c r="E29" s="403">
        <v>135000</v>
      </c>
    </row>
    <row r="30" spans="1:5" ht="15" customHeight="1" x14ac:dyDescent="0.25">
      <c r="A30" s="401" t="s">
        <v>56</v>
      </c>
      <c r="B30" s="402" t="s">
        <v>266</v>
      </c>
      <c r="C30" s="403"/>
      <c r="D30" s="403"/>
      <c r="E30" s="403"/>
    </row>
    <row r="31" spans="1:5" ht="15" customHeight="1" x14ac:dyDescent="0.25">
      <c r="A31" s="401" t="s">
        <v>108</v>
      </c>
      <c r="B31" s="402" t="s">
        <v>109</v>
      </c>
      <c r="C31" s="403"/>
      <c r="D31" s="403"/>
      <c r="E31" s="403"/>
    </row>
    <row r="32" spans="1:5" ht="15" customHeight="1" thickBot="1" x14ac:dyDescent="0.3">
      <c r="A32" s="401" t="s">
        <v>110</v>
      </c>
      <c r="B32" s="416" t="s">
        <v>84</v>
      </c>
      <c r="C32" s="417">
        <f>'Önk.kiad.'!G79/1000-C75</f>
        <v>58737.577999999994</v>
      </c>
      <c r="D32" s="417">
        <v>11500</v>
      </c>
      <c r="E32" s="417">
        <v>11500</v>
      </c>
    </row>
    <row r="33" spans="1:5" ht="15" customHeight="1" thickBot="1" x14ac:dyDescent="0.3">
      <c r="A33" s="420" t="s">
        <v>59</v>
      </c>
      <c r="B33" s="421" t="s">
        <v>111</v>
      </c>
      <c r="C33" s="422">
        <f>SUM(C21:C32)</f>
        <v>517490.99893</v>
      </c>
      <c r="D33" s="422">
        <f>SUM(D21:D32)</f>
        <v>414500</v>
      </c>
      <c r="E33" s="422">
        <f>SUM(E21:E32)</f>
        <v>414500</v>
      </c>
    </row>
    <row r="34" spans="1:5" ht="15" customHeight="1" x14ac:dyDescent="0.25">
      <c r="A34" s="55"/>
      <c r="B34" s="56"/>
      <c r="C34" s="57"/>
      <c r="D34" s="57"/>
      <c r="E34" s="57"/>
    </row>
    <row r="35" spans="1:5" ht="15" customHeight="1" x14ac:dyDescent="0.25">
      <c r="A35" s="55"/>
      <c r="B35" s="58"/>
      <c r="C35" s="59"/>
      <c r="D35" s="59"/>
      <c r="E35" s="59"/>
    </row>
    <row r="36" spans="1:5" ht="15" customHeight="1" x14ac:dyDescent="0.25">
      <c r="A36" s="55"/>
      <c r="B36" s="58"/>
      <c r="C36" s="59"/>
      <c r="D36" s="59"/>
      <c r="E36" s="59"/>
    </row>
    <row r="37" spans="1:5" ht="15" customHeight="1" x14ac:dyDescent="0.25">
      <c r="A37" s="55"/>
      <c r="B37" s="58"/>
      <c r="C37" s="59"/>
      <c r="D37" s="59"/>
      <c r="E37" s="59"/>
    </row>
    <row r="38" spans="1:5" ht="15" customHeight="1" x14ac:dyDescent="0.25">
      <c r="A38" s="55"/>
      <c r="B38" s="58"/>
      <c r="C38" s="59"/>
      <c r="D38" s="59"/>
      <c r="E38" s="59"/>
    </row>
    <row r="39" spans="1:5" ht="15" customHeight="1" x14ac:dyDescent="0.25">
      <c r="A39" s="55"/>
      <c r="B39" s="58"/>
      <c r="C39" s="59"/>
      <c r="D39" s="59"/>
      <c r="E39" s="59"/>
    </row>
    <row r="40" spans="1:5" ht="15" customHeight="1" x14ac:dyDescent="0.25">
      <c r="A40" s="55"/>
      <c r="B40" s="58"/>
      <c r="C40" s="59"/>
      <c r="D40" s="59"/>
      <c r="E40" s="59"/>
    </row>
    <row r="41" spans="1:5" ht="15" customHeight="1" x14ac:dyDescent="0.25">
      <c r="A41" s="55"/>
      <c r="B41" s="58"/>
      <c r="C41" s="59"/>
      <c r="D41" s="59"/>
      <c r="E41" s="59"/>
    </row>
    <row r="42" spans="1:5" ht="15" customHeight="1" x14ac:dyDescent="0.25">
      <c r="A42" s="55"/>
      <c r="B42" s="58"/>
      <c r="C42" s="59"/>
      <c r="D42" s="59"/>
      <c r="E42" s="59"/>
    </row>
    <row r="43" spans="1:5" ht="15" customHeight="1" x14ac:dyDescent="0.25">
      <c r="A43" s="55"/>
      <c r="B43" s="58"/>
      <c r="C43" s="59"/>
      <c r="D43" s="59"/>
      <c r="E43" s="59"/>
    </row>
    <row r="44" spans="1:5" ht="15" customHeight="1" x14ac:dyDescent="0.25">
      <c r="A44" s="55"/>
      <c r="B44" s="58"/>
      <c r="C44" s="59"/>
      <c r="D44" s="59"/>
      <c r="E44" s="59"/>
    </row>
    <row r="45" spans="1:5" ht="15" customHeight="1" x14ac:dyDescent="0.25">
      <c r="A45" s="55"/>
      <c r="B45" s="58"/>
      <c r="C45" s="59"/>
      <c r="D45" s="59"/>
      <c r="E45" s="59"/>
    </row>
    <row r="46" spans="1:5" ht="15" customHeight="1" x14ac:dyDescent="0.25">
      <c r="A46" s="55"/>
      <c r="B46" s="58"/>
      <c r="C46" s="59"/>
      <c r="D46" s="59"/>
      <c r="E46" s="59"/>
    </row>
    <row r="47" spans="1:5" ht="15" customHeight="1" x14ac:dyDescent="0.25">
      <c r="A47" s="31"/>
      <c r="B47" s="32"/>
      <c r="C47" s="33"/>
      <c r="D47" s="33"/>
      <c r="E47" s="33"/>
    </row>
    <row r="48" spans="1:5" ht="15" customHeight="1" x14ac:dyDescent="0.25">
      <c r="A48" s="31"/>
      <c r="B48" s="32"/>
      <c r="C48" s="33"/>
      <c r="D48" s="33"/>
      <c r="E48" s="33"/>
    </row>
    <row r="49" spans="1:5" ht="15" customHeight="1" thickBot="1" x14ac:dyDescent="0.3">
      <c r="A49" s="34"/>
      <c r="B49" s="35"/>
      <c r="C49" s="1021"/>
      <c r="D49" s="1021"/>
      <c r="E49" s="1021"/>
    </row>
    <row r="50" spans="1:5" ht="15" customHeight="1" thickBot="1" x14ac:dyDescent="0.25">
      <c r="A50" s="1017" t="s">
        <v>112</v>
      </c>
      <c r="B50" s="1018"/>
      <c r="C50" s="1018"/>
      <c r="D50" s="1018"/>
      <c r="E50" s="1019"/>
    </row>
    <row r="51" spans="1:5" ht="15" customHeight="1" thickBot="1" x14ac:dyDescent="0.3">
      <c r="A51" s="490" t="s">
        <v>87</v>
      </c>
      <c r="B51" s="490" t="s">
        <v>8</v>
      </c>
      <c r="C51" s="490">
        <v>2019</v>
      </c>
      <c r="D51" s="491">
        <v>2020</v>
      </c>
      <c r="E51" s="491">
        <v>2021</v>
      </c>
    </row>
    <row r="52" spans="1:5" ht="15" customHeight="1" x14ac:dyDescent="0.25">
      <c r="A52" s="398" t="s">
        <v>60</v>
      </c>
      <c r="B52" s="399" t="s">
        <v>113</v>
      </c>
      <c r="C52" s="400">
        <f>'2. sz.melléklet'!B17</f>
        <v>102474.61</v>
      </c>
      <c r="D52" s="400">
        <v>13000</v>
      </c>
      <c r="E52" s="400">
        <v>13000</v>
      </c>
    </row>
    <row r="53" spans="1:5" ht="15" customHeight="1" x14ac:dyDescent="0.25">
      <c r="A53" s="28" t="s">
        <v>61</v>
      </c>
      <c r="B53" s="29" t="s">
        <v>114</v>
      </c>
      <c r="C53" s="30"/>
      <c r="D53" s="30"/>
      <c r="E53" s="30"/>
    </row>
    <row r="54" spans="1:5" ht="15" customHeight="1" x14ac:dyDescent="0.25">
      <c r="A54" s="36" t="s">
        <v>62</v>
      </c>
      <c r="B54" s="37" t="s">
        <v>225</v>
      </c>
      <c r="C54" s="38">
        <f>'2. sz.melléklet'!B14</f>
        <v>0</v>
      </c>
      <c r="D54" s="38">
        <v>15000</v>
      </c>
      <c r="E54" s="38">
        <v>15000</v>
      </c>
    </row>
    <row r="55" spans="1:5" ht="15" customHeight="1" x14ac:dyDescent="0.25">
      <c r="A55" s="401" t="s">
        <v>63</v>
      </c>
      <c r="B55" s="402" t="s">
        <v>115</v>
      </c>
      <c r="C55" s="403">
        <f>'2. sz.melléklet'!B18</f>
        <v>220</v>
      </c>
      <c r="D55" s="403">
        <v>100</v>
      </c>
      <c r="E55" s="403">
        <v>100</v>
      </c>
    </row>
    <row r="56" spans="1:5" ht="15" customHeight="1" x14ac:dyDescent="0.25">
      <c r="A56" s="28" t="s">
        <v>64</v>
      </c>
      <c r="B56" s="29" t="s">
        <v>116</v>
      </c>
      <c r="C56" s="30"/>
      <c r="D56" s="39"/>
      <c r="E56" s="39"/>
    </row>
    <row r="57" spans="1:5" ht="15" customHeight="1" x14ac:dyDescent="0.25">
      <c r="A57" s="401" t="s">
        <v>65</v>
      </c>
      <c r="B57" s="402" t="s">
        <v>117</v>
      </c>
      <c r="C57" s="404"/>
      <c r="D57" s="405"/>
      <c r="E57" s="405"/>
    </row>
    <row r="58" spans="1:5" ht="15" customHeight="1" x14ac:dyDescent="0.25">
      <c r="A58" s="28" t="s">
        <v>66</v>
      </c>
      <c r="B58" s="29" t="s">
        <v>118</v>
      </c>
      <c r="C58" s="30"/>
      <c r="D58" s="30"/>
      <c r="E58" s="30"/>
    </row>
    <row r="59" spans="1:5" ht="15" customHeight="1" x14ac:dyDescent="0.25">
      <c r="A59" s="28" t="s">
        <v>67</v>
      </c>
      <c r="B59" s="29" t="s">
        <v>119</v>
      </c>
      <c r="C59" s="30"/>
      <c r="D59" s="30"/>
      <c r="E59" s="30"/>
    </row>
    <row r="60" spans="1:5" ht="28.5" customHeight="1" x14ac:dyDescent="0.25">
      <c r="A60" s="28" t="s">
        <v>68</v>
      </c>
      <c r="B60" s="29" t="s">
        <v>120</v>
      </c>
      <c r="C60" s="30">
        <f>'2. sz.melléklet'!B23</f>
        <v>6180</v>
      </c>
      <c r="D60" s="30"/>
      <c r="E60" s="30"/>
    </row>
    <row r="61" spans="1:5" ht="15" customHeight="1" x14ac:dyDescent="0.25">
      <c r="A61" s="28" t="s">
        <v>69</v>
      </c>
      <c r="B61" s="29" t="s">
        <v>121</v>
      </c>
      <c r="C61" s="30"/>
      <c r="D61" s="30"/>
      <c r="E61" s="30"/>
    </row>
    <row r="62" spans="1:5" ht="15" customHeight="1" x14ac:dyDescent="0.25">
      <c r="A62" s="28" t="s">
        <v>70</v>
      </c>
      <c r="B62" s="29" t="s">
        <v>122</v>
      </c>
      <c r="C62" s="30"/>
      <c r="D62" s="30"/>
      <c r="E62" s="30"/>
    </row>
    <row r="63" spans="1:5" ht="15" customHeight="1" thickBot="1" x14ac:dyDescent="0.3">
      <c r="A63" s="36" t="s">
        <v>71</v>
      </c>
      <c r="B63" s="37" t="s">
        <v>123</v>
      </c>
      <c r="C63" s="406">
        <f>('Önk.bev.'!G49-15267000)/1000</f>
        <v>97295.52</v>
      </c>
      <c r="D63" s="38">
        <v>10000</v>
      </c>
      <c r="E63" s="38">
        <v>10000</v>
      </c>
    </row>
    <row r="64" spans="1:5" ht="15" customHeight="1" thickBot="1" x14ac:dyDescent="0.3">
      <c r="A64" s="492" t="s">
        <v>72</v>
      </c>
      <c r="B64" s="493" t="s">
        <v>124</v>
      </c>
      <c r="C64" s="494">
        <f>SUM(C52:C63)</f>
        <v>206170.13</v>
      </c>
      <c r="D64" s="494">
        <f>SUM(D52:D63)</f>
        <v>38100</v>
      </c>
      <c r="E64" s="494">
        <f>SUM(E52:E63)</f>
        <v>38100</v>
      </c>
    </row>
    <row r="65" spans="1:9" ht="15" customHeight="1" x14ac:dyDescent="0.25">
      <c r="A65" s="28" t="s">
        <v>73</v>
      </c>
      <c r="B65" s="29" t="s">
        <v>125</v>
      </c>
      <c r="C65" s="30">
        <f>'2. sz.melléklet'!F17</f>
        <v>9702.5</v>
      </c>
      <c r="D65" s="30">
        <v>13100</v>
      </c>
      <c r="E65" s="30">
        <v>13100</v>
      </c>
    </row>
    <row r="66" spans="1:9" ht="15" customHeight="1" x14ac:dyDescent="0.25">
      <c r="A66" s="28" t="s">
        <v>74</v>
      </c>
      <c r="B66" s="29" t="s">
        <v>126</v>
      </c>
      <c r="C66" s="30">
        <f>'2. sz.melléklet'!F18</f>
        <v>197964.139</v>
      </c>
      <c r="D66" s="30">
        <v>14000</v>
      </c>
      <c r="E66" s="30">
        <v>14000</v>
      </c>
    </row>
    <row r="67" spans="1:9" ht="15" customHeight="1" x14ac:dyDescent="0.25">
      <c r="A67" s="28" t="s">
        <v>75</v>
      </c>
      <c r="B67" s="29" t="s">
        <v>127</v>
      </c>
      <c r="C67" s="30"/>
      <c r="D67" s="30"/>
      <c r="E67" s="30"/>
    </row>
    <row r="68" spans="1:9" ht="15" customHeight="1" x14ac:dyDescent="0.25">
      <c r="A68" s="28" t="s">
        <v>76</v>
      </c>
      <c r="B68" s="29" t="s">
        <v>128</v>
      </c>
      <c r="C68" s="30"/>
      <c r="D68" s="30"/>
      <c r="E68" s="30"/>
    </row>
    <row r="69" spans="1:9" ht="15" customHeight="1" x14ac:dyDescent="0.25">
      <c r="A69" s="28" t="s">
        <v>77</v>
      </c>
      <c r="B69" s="29" t="s">
        <v>129</v>
      </c>
      <c r="C69" s="30"/>
      <c r="D69" s="30"/>
      <c r="E69" s="30"/>
    </row>
    <row r="70" spans="1:9" ht="15" customHeight="1" x14ac:dyDescent="0.25">
      <c r="A70" s="28" t="s">
        <v>78</v>
      </c>
      <c r="B70" s="29" t="s">
        <v>130</v>
      </c>
      <c r="C70" s="30"/>
      <c r="D70" s="30"/>
      <c r="E70" s="30"/>
    </row>
    <row r="71" spans="1:9" ht="15" customHeight="1" x14ac:dyDescent="0.25">
      <c r="A71" s="28" t="s">
        <v>79</v>
      </c>
      <c r="B71" s="29" t="s">
        <v>131</v>
      </c>
      <c r="C71" s="30">
        <f>'2. sz.melléklet'!F19</f>
        <v>1263</v>
      </c>
      <c r="D71" s="30"/>
      <c r="E71" s="30"/>
    </row>
    <row r="72" spans="1:9" ht="15" customHeight="1" x14ac:dyDescent="0.25">
      <c r="A72" s="28" t="s">
        <v>80</v>
      </c>
      <c r="B72" s="29" t="s">
        <v>132</v>
      </c>
      <c r="C72" s="30"/>
      <c r="D72" s="30"/>
      <c r="E72" s="30"/>
    </row>
    <row r="73" spans="1:9" ht="15" customHeight="1" x14ac:dyDescent="0.25">
      <c r="A73" s="28" t="s">
        <v>81</v>
      </c>
      <c r="B73" s="29" t="s">
        <v>133</v>
      </c>
      <c r="C73" s="30"/>
      <c r="D73" s="30"/>
      <c r="E73" s="30"/>
    </row>
    <row r="74" spans="1:9" ht="15" customHeight="1" x14ac:dyDescent="0.25">
      <c r="A74" s="28" t="s">
        <v>82</v>
      </c>
      <c r="B74" s="29" t="s">
        <v>134</v>
      </c>
      <c r="C74" s="30"/>
      <c r="D74" s="30"/>
      <c r="E74" s="30"/>
    </row>
    <row r="75" spans="1:9" ht="15" customHeight="1" thickBot="1" x14ac:dyDescent="0.3">
      <c r="A75" s="36" t="s">
        <v>135</v>
      </c>
      <c r="B75" s="37" t="s">
        <v>84</v>
      </c>
      <c r="C75" s="38">
        <f>'4. sz. melléklet'!B33/1000</f>
        <v>48529.41</v>
      </c>
      <c r="D75" s="38">
        <v>10000</v>
      </c>
      <c r="E75" s="38">
        <v>10000</v>
      </c>
    </row>
    <row r="76" spans="1:9" ht="15" customHeight="1" thickBot="1" x14ac:dyDescent="0.3">
      <c r="A76" s="492" t="s">
        <v>136</v>
      </c>
      <c r="B76" s="409" t="s">
        <v>137</v>
      </c>
      <c r="C76" s="494">
        <f>SUM(C65:C75)</f>
        <v>257459.049</v>
      </c>
      <c r="D76" s="494">
        <f>SUM(D65:D75)</f>
        <v>37100</v>
      </c>
      <c r="E76" s="494">
        <f>SUM(E65:E75)</f>
        <v>37100</v>
      </c>
    </row>
    <row r="77" spans="1:9" ht="15" customHeight="1" thickBot="1" x14ac:dyDescent="0.25">
      <c r="A77" s="495" t="s">
        <v>138</v>
      </c>
      <c r="B77" s="410" t="s">
        <v>139</v>
      </c>
      <c r="C77" s="494">
        <f>C20+C64</f>
        <v>774950.04799999995</v>
      </c>
      <c r="D77" s="494">
        <f>D20+D64</f>
        <v>451600</v>
      </c>
      <c r="E77" s="494">
        <f>E20+E64</f>
        <v>451600</v>
      </c>
      <c r="H77" s="5"/>
      <c r="I77" s="5"/>
    </row>
    <row r="78" spans="1:9" ht="15" customHeight="1" thickBot="1" x14ac:dyDescent="0.25">
      <c r="A78" s="73" t="s">
        <v>140</v>
      </c>
      <c r="B78" s="411" t="s">
        <v>141</v>
      </c>
      <c r="C78" s="72">
        <f>C33+C76</f>
        <v>774950.04793</v>
      </c>
      <c r="D78" s="72">
        <f>D33+D76</f>
        <v>451600</v>
      </c>
      <c r="E78" s="72">
        <f>E33+E76</f>
        <v>451600</v>
      </c>
    </row>
    <row r="79" spans="1:9" ht="15.75" thickBot="1" x14ac:dyDescent="0.3">
      <c r="A79" s="495" t="s">
        <v>194</v>
      </c>
      <c r="B79" s="412" t="s">
        <v>193</v>
      </c>
      <c r="C79" s="496">
        <f>'2. sz.melléklet'!B25</f>
        <v>-149377.101</v>
      </c>
      <c r="D79" s="497">
        <v>-135000</v>
      </c>
      <c r="E79" s="497">
        <v>-135000</v>
      </c>
    </row>
    <row r="80" spans="1:9" ht="15" thickBot="1" x14ac:dyDescent="0.25">
      <c r="A80" s="74" t="s">
        <v>195</v>
      </c>
      <c r="B80" s="71" t="s">
        <v>190</v>
      </c>
      <c r="C80" s="80">
        <f>SUM(C78:C79)</f>
        <v>625572.94692999998</v>
      </c>
      <c r="D80" s="80">
        <f t="shared" ref="D80:E80" si="1">SUM(D78:D79)</f>
        <v>316600</v>
      </c>
      <c r="E80" s="80">
        <f t="shared" si="1"/>
        <v>316600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3" type="noConversion"/>
  <pageMargins left="0.75" right="0.75" top="1" bottom="1" header="0.5" footer="0.5"/>
  <pageSetup paperSize="9" orientation="portrait" r:id="rId1"/>
  <headerFooter alignWithMargins="0"/>
  <rowBreaks count="1" manualBreakCount="1">
    <brk id="4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R45"/>
  <sheetViews>
    <sheetView topLeftCell="A19" zoomScaleNormal="100" workbookViewId="0">
      <selection activeCell="B21" sqref="B21"/>
    </sheetView>
  </sheetViews>
  <sheetFormatPr defaultRowHeight="12.75" x14ac:dyDescent="0.2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  <col min="16" max="16" width="11.140625" style="778" customWidth="1"/>
  </cols>
  <sheetData>
    <row r="1" spans="1:18" ht="15" customHeight="1" x14ac:dyDescent="0.2">
      <c r="A1" s="956" t="s">
        <v>390</v>
      </c>
      <c r="B1" s="956"/>
      <c r="C1" s="956"/>
      <c r="D1" s="956"/>
      <c r="E1" s="956"/>
      <c r="F1" s="956"/>
      <c r="G1" s="956"/>
      <c r="H1" s="956"/>
      <c r="I1" s="956"/>
      <c r="J1" s="956"/>
      <c r="K1" s="956"/>
      <c r="L1" s="956"/>
      <c r="M1" s="956"/>
      <c r="N1" s="956"/>
    </row>
    <row r="2" spans="1:18" ht="15" customHeight="1" x14ac:dyDescent="0.2">
      <c r="A2" s="911"/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912"/>
    </row>
    <row r="3" spans="1:18" ht="9" customHeight="1" x14ac:dyDescent="0.2">
      <c r="B3" s="11"/>
      <c r="C3" s="11"/>
      <c r="D3" s="11"/>
    </row>
    <row r="4" spans="1:18" ht="15.75" x14ac:dyDescent="0.25">
      <c r="A4" s="1010" t="s">
        <v>243</v>
      </c>
      <c r="B4" s="1010"/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0"/>
      <c r="N4" s="1010"/>
    </row>
    <row r="5" spans="1:18" ht="15.75" x14ac:dyDescent="0.25">
      <c r="A5" s="1012" t="s">
        <v>372</v>
      </c>
      <c r="B5" s="1012"/>
      <c r="C5" s="1012"/>
      <c r="D5" s="1012"/>
      <c r="E5" s="1012"/>
      <c r="F5" s="1012"/>
      <c r="G5" s="1012"/>
      <c r="H5" s="1012"/>
      <c r="I5" s="1012"/>
      <c r="J5" s="1012"/>
      <c r="K5" s="1012"/>
      <c r="L5" s="1012"/>
      <c r="M5" s="1012"/>
      <c r="N5" s="1012"/>
    </row>
    <row r="6" spans="1:18" hidden="1" x14ac:dyDescent="0.2"/>
    <row r="7" spans="1:18" ht="12.75" customHeight="1" thickBot="1" x14ac:dyDescent="0.25">
      <c r="A7" s="1030" t="s">
        <v>156</v>
      </c>
      <c r="B7" s="1031"/>
      <c r="C7" s="1031"/>
      <c r="D7" s="1031"/>
      <c r="E7" s="1031"/>
      <c r="F7" s="1031"/>
      <c r="G7" s="1031"/>
      <c r="H7" s="1031"/>
      <c r="I7" s="1031"/>
      <c r="J7" s="1031"/>
      <c r="K7" s="1031"/>
      <c r="L7" s="1031"/>
      <c r="M7" s="1031"/>
      <c r="N7" s="1031"/>
    </row>
    <row r="8" spans="1:18" ht="20.100000000000001" customHeight="1" thickBot="1" x14ac:dyDescent="0.25">
      <c r="A8" s="1032" t="s">
        <v>1</v>
      </c>
      <c r="B8" s="1034" t="s">
        <v>142</v>
      </c>
      <c r="C8" s="1036" t="s">
        <v>364</v>
      </c>
      <c r="D8" s="1037"/>
      <c r="E8" s="1037"/>
      <c r="F8" s="1037"/>
      <c r="G8" s="1037"/>
      <c r="H8" s="1037"/>
      <c r="I8" s="1037"/>
      <c r="J8" s="1037"/>
      <c r="K8" s="1037"/>
      <c r="L8" s="1037"/>
      <c r="M8" s="1037"/>
      <c r="N8" s="1038"/>
    </row>
    <row r="9" spans="1:18" ht="20.100000000000001" customHeight="1" thickBot="1" x14ac:dyDescent="0.25">
      <c r="A9" s="1033"/>
      <c r="B9" s="1035"/>
      <c r="C9" s="794" t="s">
        <v>143</v>
      </c>
      <c r="D9" s="795" t="s">
        <v>144</v>
      </c>
      <c r="E9" s="795" t="s">
        <v>145</v>
      </c>
      <c r="F9" s="795" t="s">
        <v>146</v>
      </c>
      <c r="G9" s="795" t="s">
        <v>147</v>
      </c>
      <c r="H9" s="795" t="s">
        <v>148</v>
      </c>
      <c r="I9" s="795" t="s">
        <v>149</v>
      </c>
      <c r="J9" s="795" t="s">
        <v>150</v>
      </c>
      <c r="K9" s="795" t="s">
        <v>151</v>
      </c>
      <c r="L9" s="795" t="s">
        <v>152</v>
      </c>
      <c r="M9" s="795" t="s">
        <v>153</v>
      </c>
      <c r="N9" s="796" t="s">
        <v>154</v>
      </c>
      <c r="P9" s="779" t="s">
        <v>625</v>
      </c>
    </row>
    <row r="10" spans="1:18" ht="20.100000000000001" customHeight="1" x14ac:dyDescent="0.3">
      <c r="A10" s="81" t="s">
        <v>229</v>
      </c>
      <c r="B10" s="784">
        <f>'2. sz.melléklet'!B8</f>
        <v>167582.82199999999</v>
      </c>
      <c r="C10" s="791">
        <v>13965</v>
      </c>
      <c r="D10" s="792">
        <v>13965</v>
      </c>
      <c r="E10" s="792">
        <v>13965</v>
      </c>
      <c r="F10" s="792">
        <v>13965</v>
      </c>
      <c r="G10" s="792">
        <v>13965</v>
      </c>
      <c r="H10" s="792">
        <v>13965</v>
      </c>
      <c r="I10" s="792">
        <v>13965</v>
      </c>
      <c r="J10" s="792">
        <v>13965</v>
      </c>
      <c r="K10" s="792">
        <v>13965</v>
      </c>
      <c r="L10" s="792">
        <v>13965</v>
      </c>
      <c r="M10" s="792">
        <v>13965</v>
      </c>
      <c r="N10" s="793">
        <v>13968</v>
      </c>
      <c r="O10" s="3"/>
      <c r="P10" s="780">
        <f>SUM(C10:N10)-B10</f>
        <v>0.1780000000144355</v>
      </c>
      <c r="R10" s="3"/>
    </row>
    <row r="11" spans="1:18" ht="20.100000000000001" customHeight="1" x14ac:dyDescent="0.3">
      <c r="A11" s="82" t="s">
        <v>233</v>
      </c>
      <c r="B11" s="774">
        <f>'2. sz.melléklet'!B9</f>
        <v>50427.756000000001</v>
      </c>
      <c r="C11" s="787">
        <v>1248</v>
      </c>
      <c r="D11" s="781">
        <v>2496</v>
      </c>
      <c r="E11" s="781">
        <v>1248</v>
      </c>
      <c r="F11" s="781">
        <v>4751</v>
      </c>
      <c r="G11" s="781">
        <v>1248</v>
      </c>
      <c r="H11" s="781">
        <v>4248</v>
      </c>
      <c r="I11" s="781">
        <v>1248</v>
      </c>
      <c r="J11" s="781">
        <v>1248</v>
      </c>
      <c r="K11" s="781">
        <v>1248</v>
      </c>
      <c r="L11" s="781">
        <v>28949</v>
      </c>
      <c r="M11" s="781">
        <v>1248</v>
      </c>
      <c r="N11" s="788">
        <v>1248</v>
      </c>
      <c r="O11" s="3"/>
      <c r="P11" s="780">
        <f t="shared" ref="P11:P44" si="0">SUM(C11:N11)-B11</f>
        <v>0.24399999999877764</v>
      </c>
    </row>
    <row r="12" spans="1:18" ht="20.100000000000001" customHeight="1" x14ac:dyDescent="0.3">
      <c r="A12" s="82" t="s">
        <v>265</v>
      </c>
      <c r="B12" s="774">
        <f>'2. sz.melléklet'!B12</f>
        <v>377</v>
      </c>
      <c r="C12" s="787">
        <v>0</v>
      </c>
      <c r="D12" s="781">
        <v>0</v>
      </c>
      <c r="E12" s="781">
        <v>0</v>
      </c>
      <c r="F12" s="781">
        <v>0</v>
      </c>
      <c r="G12" s="781">
        <v>0</v>
      </c>
      <c r="H12" s="781">
        <v>100</v>
      </c>
      <c r="I12" s="781">
        <v>0</v>
      </c>
      <c r="J12" s="781">
        <v>277</v>
      </c>
      <c r="K12" s="781">
        <v>0</v>
      </c>
      <c r="L12" s="781">
        <v>0</v>
      </c>
      <c r="M12" s="781">
        <v>0</v>
      </c>
      <c r="N12" s="788">
        <v>0</v>
      </c>
      <c r="O12" s="3"/>
      <c r="P12" s="780">
        <f t="shared" si="0"/>
        <v>0</v>
      </c>
    </row>
    <row r="13" spans="1:18" ht="20.100000000000001" customHeight="1" x14ac:dyDescent="0.3">
      <c r="A13" s="82" t="s">
        <v>219</v>
      </c>
      <c r="B13" s="774">
        <f>'2. sz.melléklet'!B10</f>
        <v>109208.05</v>
      </c>
      <c r="C13" s="787">
        <v>0</v>
      </c>
      <c r="D13" s="781">
        <v>4300</v>
      </c>
      <c r="E13" s="781">
        <v>30000</v>
      </c>
      <c r="F13" s="781">
        <v>0</v>
      </c>
      <c r="G13" s="782">
        <v>4000</v>
      </c>
      <c r="H13" s="781">
        <v>750</v>
      </c>
      <c r="I13" s="781">
        <v>5450</v>
      </c>
      <c r="J13" s="781">
        <v>0</v>
      </c>
      <c r="K13" s="781">
        <v>25000</v>
      </c>
      <c r="L13" s="781">
        <v>0</v>
      </c>
      <c r="M13" s="781">
        <v>39708</v>
      </c>
      <c r="N13" s="788">
        <v>0</v>
      </c>
      <c r="O13" s="3"/>
      <c r="P13" s="780">
        <f t="shared" si="0"/>
        <v>-5.0000000002910383E-2</v>
      </c>
    </row>
    <row r="14" spans="1:18" ht="20.100000000000001" customHeight="1" x14ac:dyDescent="0.3">
      <c r="A14" s="82" t="s">
        <v>167</v>
      </c>
      <c r="B14" s="774">
        <f>'2. sz.melléklet'!B11</f>
        <v>68599.671000000002</v>
      </c>
      <c r="C14" s="787">
        <v>5713</v>
      </c>
      <c r="D14" s="781">
        <v>5713</v>
      </c>
      <c r="E14" s="781">
        <v>5713</v>
      </c>
      <c r="F14" s="781">
        <v>5713</v>
      </c>
      <c r="G14" s="781">
        <v>5713</v>
      </c>
      <c r="H14" s="781">
        <v>5713</v>
      </c>
      <c r="I14" s="781">
        <v>5713</v>
      </c>
      <c r="J14" s="781">
        <v>5713</v>
      </c>
      <c r="K14" s="781">
        <v>5713</v>
      </c>
      <c r="L14" s="781">
        <v>5713</v>
      </c>
      <c r="M14" s="781">
        <v>5756</v>
      </c>
      <c r="N14" s="788">
        <v>5714</v>
      </c>
      <c r="O14" s="3"/>
      <c r="P14" s="780">
        <f t="shared" si="0"/>
        <v>0.32899999999790452</v>
      </c>
    </row>
    <row r="15" spans="1:18" ht="20.100000000000001" customHeight="1" x14ac:dyDescent="0.3">
      <c r="A15" s="82" t="s">
        <v>230</v>
      </c>
      <c r="B15" s="774">
        <f>'2. sz.melléklet'!B17</f>
        <v>102474.61</v>
      </c>
      <c r="C15" s="787">
        <v>0</v>
      </c>
      <c r="D15" s="781">
        <v>0</v>
      </c>
      <c r="E15" s="781">
        <v>0</v>
      </c>
      <c r="F15" s="781">
        <v>0</v>
      </c>
      <c r="G15" s="781">
        <v>0</v>
      </c>
      <c r="H15" s="781">
        <v>48648</v>
      </c>
      <c r="I15" s="781">
        <v>5500</v>
      </c>
      <c r="J15" s="781">
        <v>11000</v>
      </c>
      <c r="K15" s="781">
        <v>35000</v>
      </c>
      <c r="L15" s="781">
        <v>2327</v>
      </c>
      <c r="M15" s="781">
        <v>0</v>
      </c>
      <c r="N15" s="788">
        <v>0</v>
      </c>
      <c r="O15" s="3"/>
      <c r="P15" s="780">
        <f t="shared" si="0"/>
        <v>0.38999999999941792</v>
      </c>
    </row>
    <row r="16" spans="1:18" ht="20.100000000000001" customHeight="1" x14ac:dyDescent="0.3">
      <c r="A16" s="82" t="s">
        <v>231</v>
      </c>
      <c r="B16" s="774">
        <f>'2. sz.melléklet'!B18</f>
        <v>220</v>
      </c>
      <c r="C16" s="775"/>
      <c r="D16" s="776"/>
      <c r="E16" s="776"/>
      <c r="F16" s="776">
        <v>220</v>
      </c>
      <c r="G16" s="776"/>
      <c r="H16" s="776"/>
      <c r="I16" s="776"/>
      <c r="J16" s="776"/>
      <c r="K16" s="776"/>
      <c r="L16" s="776"/>
      <c r="M16" s="776"/>
      <c r="N16" s="777"/>
      <c r="O16" s="3"/>
      <c r="P16" s="780">
        <f t="shared" si="0"/>
        <v>0</v>
      </c>
    </row>
    <row r="17" spans="1:16" ht="18.75" customHeight="1" x14ac:dyDescent="0.3">
      <c r="A17" s="456" t="s">
        <v>596</v>
      </c>
      <c r="B17" s="774">
        <f>'2. sz.melléklet'!C23</f>
        <v>6180</v>
      </c>
      <c r="C17" s="775"/>
      <c r="D17" s="776"/>
      <c r="E17" s="776"/>
      <c r="F17" s="776"/>
      <c r="G17" s="776"/>
      <c r="H17" s="776"/>
      <c r="I17" s="776"/>
      <c r="J17" s="776">
        <v>6180</v>
      </c>
      <c r="K17" s="776"/>
      <c r="L17" s="776"/>
      <c r="M17" s="776"/>
      <c r="N17" s="777"/>
      <c r="O17" s="3"/>
      <c r="P17" s="780">
        <f t="shared" si="0"/>
        <v>0</v>
      </c>
    </row>
    <row r="18" spans="1:16" ht="18.75" customHeight="1" x14ac:dyDescent="0.3">
      <c r="A18" s="773" t="s">
        <v>699</v>
      </c>
      <c r="B18" s="774">
        <f>'2. sz.melléklet'!B15</f>
        <v>6721.8739999999998</v>
      </c>
      <c r="C18" s="775"/>
      <c r="D18" s="776"/>
      <c r="E18" s="776"/>
      <c r="F18" s="776"/>
      <c r="G18" s="776"/>
      <c r="H18" s="776"/>
      <c r="I18" s="776"/>
      <c r="J18" s="776"/>
      <c r="K18" s="776"/>
      <c r="L18" s="776"/>
      <c r="M18" s="776"/>
      <c r="N18" s="777">
        <v>6722</v>
      </c>
      <c r="O18" s="3"/>
      <c r="P18" s="780">
        <f t="shared" si="0"/>
        <v>0.12600000000020373</v>
      </c>
    </row>
    <row r="19" spans="1:16" ht="20.100000000000001" customHeight="1" x14ac:dyDescent="0.3">
      <c r="A19" s="82" t="s">
        <v>232</v>
      </c>
      <c r="B19" s="774">
        <f>'2. sz.melléklet'!B13</f>
        <v>149377.101</v>
      </c>
      <c r="C19" s="789">
        <v>12448</v>
      </c>
      <c r="D19" s="783">
        <v>12448</v>
      </c>
      <c r="E19" s="783">
        <v>12448</v>
      </c>
      <c r="F19" s="783">
        <v>12448</v>
      </c>
      <c r="G19" s="783">
        <v>12448</v>
      </c>
      <c r="H19" s="783">
        <v>12448</v>
      </c>
      <c r="I19" s="783">
        <v>12448</v>
      </c>
      <c r="J19" s="783">
        <v>12448</v>
      </c>
      <c r="K19" s="783">
        <v>12448</v>
      </c>
      <c r="L19" s="783">
        <v>12448</v>
      </c>
      <c r="M19" s="783">
        <v>12448</v>
      </c>
      <c r="N19" s="790">
        <v>12449</v>
      </c>
      <c r="O19" s="3"/>
      <c r="P19" s="780">
        <f t="shared" si="0"/>
        <v>-0.10099999999511056</v>
      </c>
    </row>
    <row r="20" spans="1:16" ht="20.100000000000001" customHeight="1" thickBot="1" x14ac:dyDescent="0.35">
      <c r="A20" s="83" t="s">
        <v>234</v>
      </c>
      <c r="B20" s="785">
        <f>'2. sz.melléklet'!B19+'2. sz.melléklet'!B20+'2. sz.melléklet'!B21+'2. sz.melléklet'!B22</f>
        <v>113781.16400000002</v>
      </c>
      <c r="C20" s="797"/>
      <c r="D20" s="798"/>
      <c r="E20" s="798"/>
      <c r="F20" s="798"/>
      <c r="G20" s="798"/>
      <c r="H20" s="798"/>
      <c r="I20" s="798"/>
      <c r="J20" s="798"/>
      <c r="K20" s="798"/>
      <c r="L20" s="798"/>
      <c r="M20" s="798"/>
      <c r="N20" s="799">
        <f>B20</f>
        <v>113781.16400000002</v>
      </c>
      <c r="O20" s="3"/>
      <c r="P20" s="780">
        <f t="shared" si="0"/>
        <v>0</v>
      </c>
    </row>
    <row r="21" spans="1:16" ht="20.100000000000001" customHeight="1" thickBot="1" x14ac:dyDescent="0.25">
      <c r="A21" s="433" t="s">
        <v>162</v>
      </c>
      <c r="B21" s="786">
        <f>SUM(B10:B20)</f>
        <v>774950.04799999995</v>
      </c>
      <c r="C21" s="800">
        <f>SUM(C10:C20)</f>
        <v>33374</v>
      </c>
      <c r="D21" s="800">
        <f t="shared" ref="D21:M21" si="1">SUM(D10:D20)</f>
        <v>38922</v>
      </c>
      <c r="E21" s="800">
        <f t="shared" si="1"/>
        <v>63374</v>
      </c>
      <c r="F21" s="800">
        <f t="shared" si="1"/>
        <v>37097</v>
      </c>
      <c r="G21" s="800">
        <f t="shared" si="1"/>
        <v>37374</v>
      </c>
      <c r="H21" s="800">
        <f t="shared" si="1"/>
        <v>85872</v>
      </c>
      <c r="I21" s="800">
        <f t="shared" si="1"/>
        <v>44324</v>
      </c>
      <c r="J21" s="800">
        <f t="shared" si="1"/>
        <v>50831</v>
      </c>
      <c r="K21" s="800">
        <f t="shared" si="1"/>
        <v>93374</v>
      </c>
      <c r="L21" s="800">
        <f t="shared" si="1"/>
        <v>63402</v>
      </c>
      <c r="M21" s="800">
        <f t="shared" si="1"/>
        <v>73125</v>
      </c>
      <c r="N21" s="801">
        <f>SUM(N10:N20)-1</f>
        <v>153881.16400000002</v>
      </c>
      <c r="O21" s="3"/>
      <c r="P21" s="780">
        <f t="shared" si="0"/>
        <v>0.11600000003818423</v>
      </c>
    </row>
    <row r="22" spans="1:16" ht="20.100000000000001" customHeight="1" thickBot="1" x14ac:dyDescent="0.35">
      <c r="A22" s="429" t="s">
        <v>189</v>
      </c>
      <c r="B22" s="434">
        <f>'2. sz.melléklet'!B25</f>
        <v>-149377.101</v>
      </c>
      <c r="C22" s="802">
        <f>-C19</f>
        <v>-12448</v>
      </c>
      <c r="D22" s="802">
        <f t="shared" ref="D22:M22" si="2">-D19</f>
        <v>-12448</v>
      </c>
      <c r="E22" s="802">
        <f t="shared" si="2"/>
        <v>-12448</v>
      </c>
      <c r="F22" s="802">
        <f t="shared" si="2"/>
        <v>-12448</v>
      </c>
      <c r="G22" s="802">
        <f t="shared" si="2"/>
        <v>-12448</v>
      </c>
      <c r="H22" s="802">
        <f t="shared" si="2"/>
        <v>-12448</v>
      </c>
      <c r="I22" s="802">
        <f t="shared" si="2"/>
        <v>-12448</v>
      </c>
      <c r="J22" s="802">
        <f t="shared" si="2"/>
        <v>-12448</v>
      </c>
      <c r="K22" s="802">
        <f t="shared" si="2"/>
        <v>-12448</v>
      </c>
      <c r="L22" s="802">
        <f t="shared" si="2"/>
        <v>-12448</v>
      </c>
      <c r="M22" s="802">
        <f t="shared" si="2"/>
        <v>-12448</v>
      </c>
      <c r="N22" s="803">
        <f>-N19</f>
        <v>-12449</v>
      </c>
      <c r="O22" s="3"/>
      <c r="P22" s="780">
        <f t="shared" si="0"/>
        <v>0.10099999999511056</v>
      </c>
    </row>
    <row r="23" spans="1:16" ht="20.100000000000001" customHeight="1" thickBot="1" x14ac:dyDescent="0.25">
      <c r="A23" s="70" t="s">
        <v>192</v>
      </c>
      <c r="B23" s="434">
        <f>SUM(B21:B22)</f>
        <v>625572.94699999993</v>
      </c>
      <c r="C23" s="435">
        <f>SUM(C21:C22)</f>
        <v>20926</v>
      </c>
      <c r="D23" s="436">
        <f t="shared" ref="D23:M23" si="3">SUM(D21:D22)</f>
        <v>26474</v>
      </c>
      <c r="E23" s="436">
        <f t="shared" si="3"/>
        <v>50926</v>
      </c>
      <c r="F23" s="436">
        <f t="shared" si="3"/>
        <v>24649</v>
      </c>
      <c r="G23" s="436">
        <f t="shared" si="3"/>
        <v>24926</v>
      </c>
      <c r="H23" s="436">
        <f t="shared" si="3"/>
        <v>73424</v>
      </c>
      <c r="I23" s="436">
        <f t="shared" si="3"/>
        <v>31876</v>
      </c>
      <c r="J23" s="436">
        <f t="shared" si="3"/>
        <v>38383</v>
      </c>
      <c r="K23" s="436">
        <f t="shared" si="3"/>
        <v>80926</v>
      </c>
      <c r="L23" s="436">
        <f t="shared" si="3"/>
        <v>50954</v>
      </c>
      <c r="M23" s="436">
        <f t="shared" si="3"/>
        <v>60677</v>
      </c>
      <c r="N23" s="437">
        <f>SUM(N21:N22)</f>
        <v>141432.16400000002</v>
      </c>
      <c r="O23" s="3"/>
      <c r="P23" s="780">
        <f t="shared" si="0"/>
        <v>0.21700000006239861</v>
      </c>
    </row>
    <row r="24" spans="1:16" ht="20.100000000000001" customHeight="1" x14ac:dyDescent="0.2">
      <c r="A24" s="5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3"/>
      <c r="P24" s="780"/>
    </row>
    <row r="25" spans="1:16" ht="20.100000000000001" customHeight="1" x14ac:dyDescent="0.2">
      <c r="A25" s="54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3"/>
      <c r="P25" s="780"/>
    </row>
    <row r="26" spans="1:16" ht="20.100000000000001" customHeight="1" x14ac:dyDescent="0.2">
      <c r="A26" s="54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1022"/>
      <c r="M26" s="1022"/>
      <c r="N26" s="1022"/>
      <c r="O26" s="3"/>
      <c r="P26" s="780"/>
    </row>
    <row r="27" spans="1:16" ht="20.100000000000001" customHeight="1" thickBot="1" x14ac:dyDescent="0.25">
      <c r="A27" s="5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3"/>
      <c r="P27" s="780"/>
    </row>
    <row r="28" spans="1:16" ht="20.100000000000001" customHeight="1" x14ac:dyDescent="0.2">
      <c r="A28" s="1023" t="s">
        <v>2</v>
      </c>
      <c r="B28" s="1025" t="s">
        <v>142</v>
      </c>
      <c r="C28" s="1027" t="s">
        <v>365</v>
      </c>
      <c r="D28" s="1028"/>
      <c r="E28" s="1028"/>
      <c r="F28" s="1028"/>
      <c r="G28" s="1028"/>
      <c r="H28" s="1028"/>
      <c r="I28" s="1028"/>
      <c r="J28" s="1028"/>
      <c r="K28" s="1028"/>
      <c r="L28" s="1028"/>
      <c r="M28" s="1028"/>
      <c r="N28" s="1029"/>
      <c r="O28" s="3"/>
      <c r="P28" s="780"/>
    </row>
    <row r="29" spans="1:16" ht="20.100000000000001" customHeight="1" thickBot="1" x14ac:dyDescent="0.25">
      <c r="A29" s="1024"/>
      <c r="B29" s="1026"/>
      <c r="C29" s="450" t="s">
        <v>143</v>
      </c>
      <c r="D29" s="451" t="s">
        <v>144</v>
      </c>
      <c r="E29" s="451" t="s">
        <v>145</v>
      </c>
      <c r="F29" s="451" t="s">
        <v>146</v>
      </c>
      <c r="G29" s="451" t="s">
        <v>147</v>
      </c>
      <c r="H29" s="451" t="s">
        <v>148</v>
      </c>
      <c r="I29" s="451" t="s">
        <v>149</v>
      </c>
      <c r="J29" s="451" t="s">
        <v>150</v>
      </c>
      <c r="K29" s="451" t="s">
        <v>151</v>
      </c>
      <c r="L29" s="451" t="s">
        <v>152</v>
      </c>
      <c r="M29" s="451" t="s">
        <v>153</v>
      </c>
      <c r="N29" s="452" t="s">
        <v>154</v>
      </c>
      <c r="O29" s="3"/>
      <c r="P29" s="780"/>
    </row>
    <row r="30" spans="1:16" ht="20.100000000000001" customHeight="1" x14ac:dyDescent="0.3">
      <c r="A30" s="448" t="s">
        <v>235</v>
      </c>
      <c r="B30" s="449">
        <f>'2. sz.melléklet'!F8</f>
        <v>159683.06099999999</v>
      </c>
      <c r="C30" s="430">
        <v>12700</v>
      </c>
      <c r="D30" s="431">
        <v>12700</v>
      </c>
      <c r="E30" s="431">
        <v>12700</v>
      </c>
      <c r="F30" s="431">
        <v>12700</v>
      </c>
      <c r="G30" s="431">
        <v>12700</v>
      </c>
      <c r="H30" s="431">
        <v>12700</v>
      </c>
      <c r="I30" s="431">
        <v>14439</v>
      </c>
      <c r="J30" s="431">
        <v>12900</v>
      </c>
      <c r="K30" s="431">
        <v>13200</v>
      </c>
      <c r="L30" s="431">
        <v>13385</v>
      </c>
      <c r="M30" s="431">
        <v>14439</v>
      </c>
      <c r="N30" s="432">
        <v>15120</v>
      </c>
      <c r="O30" s="3"/>
      <c r="P30" s="780">
        <f t="shared" si="0"/>
        <v>-6.0999999986961484E-2</v>
      </c>
    </row>
    <row r="31" spans="1:16" ht="20.100000000000001" customHeight="1" x14ac:dyDescent="0.3">
      <c r="A31" s="453" t="s">
        <v>236</v>
      </c>
      <c r="B31" s="438">
        <f>'2. sz.melléklet'!F9</f>
        <v>29714.986000000001</v>
      </c>
      <c r="C31" s="427">
        <v>2380</v>
      </c>
      <c r="D31" s="424">
        <v>2380</v>
      </c>
      <c r="E31" s="424">
        <v>2380</v>
      </c>
      <c r="F31" s="424">
        <v>2380</v>
      </c>
      <c r="G31" s="424">
        <v>2380</v>
      </c>
      <c r="H31" s="424">
        <v>2380</v>
      </c>
      <c r="I31" s="424">
        <v>2826</v>
      </c>
      <c r="J31" s="424">
        <v>2380</v>
      </c>
      <c r="K31" s="424">
        <v>2380</v>
      </c>
      <c r="L31" s="424">
        <v>2380</v>
      </c>
      <c r="M31" s="424">
        <v>2700</v>
      </c>
      <c r="N31" s="428">
        <v>2769</v>
      </c>
      <c r="O31" s="3"/>
      <c r="P31" s="780">
        <f t="shared" si="0"/>
        <v>1.3999999999214197E-2</v>
      </c>
    </row>
    <row r="32" spans="1:16" ht="20.100000000000001" customHeight="1" x14ac:dyDescent="0.3">
      <c r="A32" s="453" t="s">
        <v>5</v>
      </c>
      <c r="B32" s="438">
        <f>'2. sz.melléklet'!F10</f>
        <v>89762.506930000003</v>
      </c>
      <c r="C32" s="425">
        <v>7178</v>
      </c>
      <c r="D32" s="423">
        <v>7178</v>
      </c>
      <c r="E32" s="423">
        <v>7178</v>
      </c>
      <c r="F32" s="423">
        <v>7178</v>
      </c>
      <c r="G32" s="423">
        <v>7178</v>
      </c>
      <c r="H32" s="423">
        <v>7178</v>
      </c>
      <c r="I32" s="423">
        <v>7178</v>
      </c>
      <c r="J32" s="423">
        <v>9508</v>
      </c>
      <c r="K32" s="423">
        <v>7178</v>
      </c>
      <c r="L32" s="423">
        <v>8178</v>
      </c>
      <c r="M32" s="423">
        <v>7469</v>
      </c>
      <c r="N32" s="426">
        <v>7184</v>
      </c>
      <c r="O32" s="3"/>
      <c r="P32" s="780">
        <f t="shared" si="0"/>
        <v>0.49306999999680556</v>
      </c>
    </row>
    <row r="33" spans="1:16" ht="20.100000000000001" customHeight="1" x14ac:dyDescent="0.3">
      <c r="A33" s="453" t="s">
        <v>237</v>
      </c>
      <c r="B33" s="438">
        <f>'2. sz.melléklet'!F11</f>
        <v>10810.5</v>
      </c>
      <c r="C33" s="425">
        <v>900</v>
      </c>
      <c r="D33" s="423">
        <v>900</v>
      </c>
      <c r="E33" s="423">
        <v>900</v>
      </c>
      <c r="F33" s="423">
        <v>900</v>
      </c>
      <c r="G33" s="423">
        <v>900</v>
      </c>
      <c r="H33" s="423">
        <v>900</v>
      </c>
      <c r="I33" s="423">
        <v>900</v>
      </c>
      <c r="J33" s="423">
        <v>899</v>
      </c>
      <c r="K33" s="423">
        <v>900</v>
      </c>
      <c r="L33" s="423">
        <v>900</v>
      </c>
      <c r="M33" s="423">
        <v>900</v>
      </c>
      <c r="N33" s="426">
        <v>912</v>
      </c>
      <c r="O33" s="3"/>
      <c r="P33" s="780">
        <f t="shared" si="0"/>
        <v>0.5</v>
      </c>
    </row>
    <row r="34" spans="1:16" ht="20.100000000000001" customHeight="1" x14ac:dyDescent="0.3">
      <c r="A34" s="453" t="s">
        <v>238</v>
      </c>
      <c r="B34" s="438">
        <f>'2. sz.melléklet'!F12</f>
        <v>7156</v>
      </c>
      <c r="C34" s="425">
        <v>596</v>
      </c>
      <c r="D34" s="423">
        <v>596</v>
      </c>
      <c r="E34" s="423">
        <v>596</v>
      </c>
      <c r="F34" s="423">
        <v>596</v>
      </c>
      <c r="G34" s="423">
        <v>596</v>
      </c>
      <c r="H34" s="423">
        <v>596</v>
      </c>
      <c r="I34" s="423">
        <v>596</v>
      </c>
      <c r="J34" s="423">
        <v>596</v>
      </c>
      <c r="K34" s="423">
        <v>596</v>
      </c>
      <c r="L34" s="423">
        <v>596</v>
      </c>
      <c r="M34" s="423">
        <v>596</v>
      </c>
      <c r="N34" s="426">
        <v>600</v>
      </c>
      <c r="O34" s="3"/>
      <c r="P34" s="780">
        <f t="shared" si="0"/>
        <v>0</v>
      </c>
    </row>
    <row r="35" spans="1:16" ht="20.100000000000001" customHeight="1" x14ac:dyDescent="0.3">
      <c r="A35" s="453" t="s">
        <v>239</v>
      </c>
      <c r="B35" s="438">
        <f>'2. sz.melléklet'!F13</f>
        <v>6207</v>
      </c>
      <c r="C35" s="425">
        <v>517</v>
      </c>
      <c r="D35" s="423">
        <v>517</v>
      </c>
      <c r="E35" s="423">
        <v>517</v>
      </c>
      <c r="F35" s="423">
        <v>517</v>
      </c>
      <c r="G35" s="423">
        <v>517</v>
      </c>
      <c r="H35" s="423">
        <v>517</v>
      </c>
      <c r="I35" s="423">
        <v>517</v>
      </c>
      <c r="J35" s="423">
        <v>517</v>
      </c>
      <c r="K35" s="423">
        <v>517</v>
      </c>
      <c r="L35" s="423">
        <v>517</v>
      </c>
      <c r="M35" s="423">
        <v>517</v>
      </c>
      <c r="N35" s="426">
        <v>520</v>
      </c>
      <c r="O35" s="3"/>
      <c r="P35" s="780">
        <f t="shared" si="0"/>
        <v>0</v>
      </c>
    </row>
    <row r="36" spans="1:16" ht="20.100000000000001" customHeight="1" x14ac:dyDescent="0.3">
      <c r="A36" s="453" t="s">
        <v>266</v>
      </c>
      <c r="B36" s="438">
        <f>'2. sz.melléklet'!F14</f>
        <v>6042.2659999999996</v>
      </c>
      <c r="C36" s="425">
        <v>6042</v>
      </c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6"/>
      <c r="O36" s="3"/>
      <c r="P36" s="780">
        <f t="shared" si="0"/>
        <v>-0.26599999999962165</v>
      </c>
    </row>
    <row r="37" spans="1:16" ht="20.100000000000001" customHeight="1" x14ac:dyDescent="0.3">
      <c r="A37" s="453" t="s">
        <v>240</v>
      </c>
      <c r="B37" s="438">
        <f>'2. sz.melléklet'!F15</f>
        <v>149377.101</v>
      </c>
      <c r="C37" s="427">
        <v>12448</v>
      </c>
      <c r="D37" s="424">
        <v>12448</v>
      </c>
      <c r="E37" s="424">
        <v>12448</v>
      </c>
      <c r="F37" s="424">
        <v>12448</v>
      </c>
      <c r="G37" s="424">
        <v>12448</v>
      </c>
      <c r="H37" s="424">
        <v>12448</v>
      </c>
      <c r="I37" s="424">
        <v>12448</v>
      </c>
      <c r="J37" s="424">
        <v>12448</v>
      </c>
      <c r="K37" s="424">
        <v>12448</v>
      </c>
      <c r="L37" s="424">
        <v>12448</v>
      </c>
      <c r="M37" s="424">
        <v>12448</v>
      </c>
      <c r="N37" s="428">
        <v>12449</v>
      </c>
      <c r="O37" s="3"/>
      <c r="P37" s="780">
        <f t="shared" si="0"/>
        <v>-0.10099999999511056</v>
      </c>
    </row>
    <row r="38" spans="1:16" ht="20.100000000000001" customHeight="1" x14ac:dyDescent="0.3">
      <c r="A38" s="453" t="s">
        <v>221</v>
      </c>
      <c r="B38" s="438">
        <f>'2. sz.melléklet'!F17</f>
        <v>9702.5</v>
      </c>
      <c r="C38" s="425"/>
      <c r="D38" s="423"/>
      <c r="E38" s="423">
        <v>2309</v>
      </c>
      <c r="F38" s="423"/>
      <c r="G38" s="423"/>
      <c r="H38" s="423">
        <v>2309</v>
      </c>
      <c r="I38" s="423"/>
      <c r="J38" s="423"/>
      <c r="K38" s="423">
        <v>2309</v>
      </c>
      <c r="L38" s="423">
        <v>110</v>
      </c>
      <c r="M38" s="423">
        <v>357</v>
      </c>
      <c r="N38" s="426">
        <v>2309</v>
      </c>
      <c r="O38" s="3"/>
      <c r="P38" s="780">
        <f t="shared" si="0"/>
        <v>0.5</v>
      </c>
    </row>
    <row r="39" spans="1:16" ht="20.100000000000001" customHeight="1" x14ac:dyDescent="0.3">
      <c r="A39" s="453" t="s">
        <v>241</v>
      </c>
      <c r="B39" s="438">
        <f>'2. sz.melléklet'!F18</f>
        <v>197964.139</v>
      </c>
      <c r="C39" s="425"/>
      <c r="D39" s="423">
        <v>8634</v>
      </c>
      <c r="E39" s="423">
        <v>19803</v>
      </c>
      <c r="F39" s="423">
        <v>19803</v>
      </c>
      <c r="G39" s="423">
        <v>19803</v>
      </c>
      <c r="H39" s="423">
        <v>36000</v>
      </c>
      <c r="I39" s="423">
        <v>20000</v>
      </c>
      <c r="J39" s="423">
        <v>18530</v>
      </c>
      <c r="K39" s="423">
        <v>17119</v>
      </c>
      <c r="L39" s="423">
        <v>8634</v>
      </c>
      <c r="M39" s="423">
        <v>21004</v>
      </c>
      <c r="N39" s="426">
        <v>8634</v>
      </c>
      <c r="O39" s="3"/>
      <c r="P39" s="780">
        <f t="shared" si="0"/>
        <v>-0.13899999999557622</v>
      </c>
    </row>
    <row r="40" spans="1:16" ht="20.100000000000001" customHeight="1" x14ac:dyDescent="0.3">
      <c r="A40" s="441" t="s">
        <v>597</v>
      </c>
      <c r="B40" s="442">
        <f>'2. sz.melléklet'!F19</f>
        <v>1263</v>
      </c>
      <c r="C40" s="462"/>
      <c r="D40" s="457"/>
      <c r="E40" s="457"/>
      <c r="F40" s="457"/>
      <c r="G40" s="457"/>
      <c r="H40" s="457"/>
      <c r="I40" s="457">
        <v>1263</v>
      </c>
      <c r="J40" s="457"/>
      <c r="K40" s="457"/>
      <c r="L40" s="457"/>
      <c r="M40" s="457"/>
      <c r="N40" s="458"/>
      <c r="O40" s="3"/>
      <c r="P40" s="780">
        <f t="shared" si="0"/>
        <v>0</v>
      </c>
    </row>
    <row r="41" spans="1:16" ht="20.100000000000001" customHeight="1" thickBot="1" x14ac:dyDescent="0.35">
      <c r="A41" s="441" t="s">
        <v>242</v>
      </c>
      <c r="B41" s="442">
        <f>'2. sz.melléklet'!F20</f>
        <v>107266.988</v>
      </c>
      <c r="C41" s="463"/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54">
        <v>107267</v>
      </c>
      <c r="O41" s="3"/>
      <c r="P41" s="780">
        <f t="shared" si="0"/>
        <v>1.2000000002444722E-2</v>
      </c>
    </row>
    <row r="42" spans="1:16" ht="20.100000000000001" customHeight="1" thickBot="1" x14ac:dyDescent="0.25">
      <c r="A42" s="444" t="s">
        <v>155</v>
      </c>
      <c r="B42" s="445">
        <f>SUM(B30:B41)</f>
        <v>774950.04793</v>
      </c>
      <c r="C42" s="804">
        <f>SUM(C30:C41)</f>
        <v>42761</v>
      </c>
      <c r="D42" s="446">
        <f t="shared" ref="D42:M42" si="4">SUM(D30:D41)</f>
        <v>45353</v>
      </c>
      <c r="E42" s="446">
        <f t="shared" si="4"/>
        <v>58831</v>
      </c>
      <c r="F42" s="446">
        <f t="shared" si="4"/>
        <v>56522</v>
      </c>
      <c r="G42" s="446">
        <f t="shared" si="4"/>
        <v>56522</v>
      </c>
      <c r="H42" s="446">
        <f t="shared" si="4"/>
        <v>75028</v>
      </c>
      <c r="I42" s="446">
        <f t="shared" si="4"/>
        <v>60167</v>
      </c>
      <c r="J42" s="446">
        <f t="shared" si="4"/>
        <v>57778</v>
      </c>
      <c r="K42" s="446">
        <f t="shared" si="4"/>
        <v>56647</v>
      </c>
      <c r="L42" s="446">
        <f t="shared" si="4"/>
        <v>47148</v>
      </c>
      <c r="M42" s="446">
        <f t="shared" si="4"/>
        <v>60430</v>
      </c>
      <c r="N42" s="447">
        <f>SUM(N30:N41)-1</f>
        <v>157763</v>
      </c>
      <c r="O42" s="3"/>
      <c r="P42" s="780">
        <f t="shared" si="0"/>
        <v>-4.7930000000633299E-2</v>
      </c>
    </row>
    <row r="43" spans="1:16" ht="20.100000000000001" customHeight="1" thickBot="1" x14ac:dyDescent="0.35">
      <c r="A43" s="455" t="s">
        <v>189</v>
      </c>
      <c r="B43" s="460">
        <f>'2. sz.melléklet'!F25</f>
        <v>-149377.101</v>
      </c>
      <c r="C43" s="459">
        <f>-C37</f>
        <v>-12448</v>
      </c>
      <c r="D43" s="459">
        <f t="shared" ref="D43:N43" si="5">-D37</f>
        <v>-12448</v>
      </c>
      <c r="E43" s="459">
        <f t="shared" si="5"/>
        <v>-12448</v>
      </c>
      <c r="F43" s="459">
        <f t="shared" si="5"/>
        <v>-12448</v>
      </c>
      <c r="G43" s="459">
        <f t="shared" si="5"/>
        <v>-12448</v>
      </c>
      <c r="H43" s="459">
        <f t="shared" si="5"/>
        <v>-12448</v>
      </c>
      <c r="I43" s="459">
        <f t="shared" si="5"/>
        <v>-12448</v>
      </c>
      <c r="J43" s="459">
        <f t="shared" si="5"/>
        <v>-12448</v>
      </c>
      <c r="K43" s="459">
        <f t="shared" si="5"/>
        <v>-12448</v>
      </c>
      <c r="L43" s="459">
        <f t="shared" si="5"/>
        <v>-12448</v>
      </c>
      <c r="M43" s="459">
        <f t="shared" si="5"/>
        <v>-12448</v>
      </c>
      <c r="N43" s="805">
        <f t="shared" si="5"/>
        <v>-12449</v>
      </c>
      <c r="O43" s="3"/>
      <c r="P43" s="780">
        <f t="shared" si="0"/>
        <v>0.10099999999511056</v>
      </c>
    </row>
    <row r="44" spans="1:16" ht="20.100000000000001" customHeight="1" thickBot="1" x14ac:dyDescent="0.25">
      <c r="A44" s="433" t="s">
        <v>192</v>
      </c>
      <c r="B44" s="461">
        <f>SUM(B42:B43)</f>
        <v>625572.94692999998</v>
      </c>
      <c r="C44" s="439">
        <f>SUM(C42:C43)</f>
        <v>30313</v>
      </c>
      <c r="D44" s="440">
        <f t="shared" ref="D44:N44" si="6">SUM(D42:D43)</f>
        <v>32905</v>
      </c>
      <c r="E44" s="440">
        <f t="shared" si="6"/>
        <v>46383</v>
      </c>
      <c r="F44" s="440">
        <f t="shared" si="6"/>
        <v>44074</v>
      </c>
      <c r="G44" s="440">
        <f t="shared" si="6"/>
        <v>44074</v>
      </c>
      <c r="H44" s="440">
        <f t="shared" si="6"/>
        <v>62580</v>
      </c>
      <c r="I44" s="440">
        <f t="shared" si="6"/>
        <v>47719</v>
      </c>
      <c r="J44" s="440">
        <f t="shared" si="6"/>
        <v>45330</v>
      </c>
      <c r="K44" s="440">
        <f t="shared" si="6"/>
        <v>44199</v>
      </c>
      <c r="L44" s="440">
        <f t="shared" si="6"/>
        <v>34700</v>
      </c>
      <c r="M44" s="440">
        <f t="shared" si="6"/>
        <v>47982</v>
      </c>
      <c r="N44" s="806">
        <f t="shared" si="6"/>
        <v>145314</v>
      </c>
      <c r="O44" s="3"/>
      <c r="P44" s="780">
        <f t="shared" si="0"/>
        <v>5.3070000023581088E-2</v>
      </c>
    </row>
    <row r="45" spans="1:16" x14ac:dyDescent="0.2">
      <c r="O45" s="3"/>
    </row>
  </sheetData>
  <mergeCells count="12">
    <mergeCell ref="A28:A29"/>
    <mergeCell ref="B28:B29"/>
    <mergeCell ref="C28:N28"/>
    <mergeCell ref="A7:N7"/>
    <mergeCell ref="A8:A9"/>
    <mergeCell ref="B8:B9"/>
    <mergeCell ref="C8:N8"/>
    <mergeCell ref="A1:N1"/>
    <mergeCell ref="A4:N4"/>
    <mergeCell ref="A5:N5"/>
    <mergeCell ref="L26:N26"/>
    <mergeCell ref="A2:N2"/>
  </mergeCells>
  <phoneticPr fontId="13" type="noConversion"/>
  <pageMargins left="0.39370078740157483" right="0.39370078740157483" top="0.78740157480314965" bottom="0.39370078740157483" header="0.51181102362204722" footer="0.51181102362204722"/>
  <pageSetup paperSize="9" scale="6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2:E18"/>
  <sheetViews>
    <sheetView workbookViewId="0">
      <selection activeCell="C13" sqref="C13"/>
    </sheetView>
  </sheetViews>
  <sheetFormatPr defaultRowHeight="12.75" x14ac:dyDescent="0.2"/>
  <cols>
    <col min="2" max="2" width="33" customWidth="1"/>
    <col min="3" max="3" width="15.5703125" customWidth="1"/>
  </cols>
  <sheetData>
    <row r="2" spans="1:5" ht="15" customHeight="1" x14ac:dyDescent="0.2">
      <c r="A2" s="956" t="s">
        <v>376</v>
      </c>
      <c r="B2" s="956"/>
      <c r="C2" s="956"/>
      <c r="D2" s="956"/>
      <c r="E2" s="12"/>
    </row>
    <row r="3" spans="1:5" ht="14.25" x14ac:dyDescent="0.2">
      <c r="A3" s="911"/>
      <c r="B3" s="912"/>
      <c r="C3" s="912"/>
      <c r="D3" s="912"/>
    </row>
    <row r="4" spans="1:5" ht="15" x14ac:dyDescent="0.2">
      <c r="B4" s="11"/>
      <c r="C4" s="11"/>
      <c r="D4" s="11"/>
    </row>
    <row r="5" spans="1:5" ht="15.75" x14ac:dyDescent="0.25">
      <c r="A5" s="1010" t="s">
        <v>243</v>
      </c>
      <c r="B5" s="1010"/>
      <c r="C5" s="1010"/>
      <c r="D5" s="1010"/>
    </row>
    <row r="6" spans="1:5" ht="15.75" x14ac:dyDescent="0.25">
      <c r="A6" s="1012" t="s">
        <v>372</v>
      </c>
      <c r="B6" s="1012"/>
      <c r="C6" s="1012"/>
      <c r="D6" s="1012"/>
    </row>
    <row r="8" spans="1:5" x14ac:dyDescent="0.2">
      <c r="B8" s="1039" t="s">
        <v>157</v>
      </c>
      <c r="C8" s="1039"/>
    </row>
    <row r="9" spans="1:5" x14ac:dyDescent="0.2">
      <c r="B9" s="1039"/>
      <c r="C9" s="1039"/>
    </row>
    <row r="10" spans="1:5" ht="13.5" thickBot="1" x14ac:dyDescent="0.25">
      <c r="B10" s="42"/>
      <c r="C10" s="42"/>
    </row>
    <row r="11" spans="1:5" ht="13.5" thickBot="1" x14ac:dyDescent="0.25">
      <c r="B11" s="43" t="s">
        <v>158</v>
      </c>
      <c r="C11" s="44" t="s">
        <v>11</v>
      </c>
    </row>
    <row r="12" spans="1:5" x14ac:dyDescent="0.2">
      <c r="B12" s="45" t="s">
        <v>163</v>
      </c>
      <c r="C12" s="46"/>
    </row>
    <row r="13" spans="1:5" x14ac:dyDescent="0.2">
      <c r="B13" s="47" t="s">
        <v>159</v>
      </c>
      <c r="C13" s="143">
        <v>585</v>
      </c>
    </row>
    <row r="14" spans="1:5" x14ac:dyDescent="0.2">
      <c r="B14" s="47" t="s">
        <v>160</v>
      </c>
      <c r="C14" s="48"/>
    </row>
    <row r="15" spans="1:5" x14ac:dyDescent="0.2">
      <c r="B15" s="47" t="s">
        <v>161</v>
      </c>
      <c r="C15" s="48"/>
    </row>
    <row r="16" spans="1:5" x14ac:dyDescent="0.2">
      <c r="B16" s="49" t="s">
        <v>0</v>
      </c>
      <c r="C16" s="50">
        <f>SUM(C12:C15)</f>
        <v>585</v>
      </c>
    </row>
    <row r="17" spans="2:3" ht="13.5" thickBot="1" x14ac:dyDescent="0.25">
      <c r="B17" s="51"/>
      <c r="C17" s="52"/>
    </row>
    <row r="18" spans="2:3" ht="15" x14ac:dyDescent="0.2">
      <c r="B18" s="53"/>
      <c r="C18" s="53"/>
    </row>
  </sheetData>
  <mergeCells count="6">
    <mergeCell ref="A2:D2"/>
    <mergeCell ref="B9:C9"/>
    <mergeCell ref="A5:D5"/>
    <mergeCell ref="A6:D6"/>
    <mergeCell ref="B8:C8"/>
    <mergeCell ref="A3:D3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D1E3-4F85-4A74-A0FB-7DD3EE31B0CC}">
  <dimension ref="A1:L85"/>
  <sheetViews>
    <sheetView topLeftCell="A67" workbookViewId="0">
      <selection activeCell="G56" sqref="G56:G57"/>
    </sheetView>
  </sheetViews>
  <sheetFormatPr defaultRowHeight="12.75" x14ac:dyDescent="0.2"/>
  <cols>
    <col min="1" max="1" width="11.85546875" customWidth="1"/>
    <col min="2" max="2" width="40.42578125" customWidth="1"/>
    <col min="3" max="3" width="16.5703125" customWidth="1"/>
    <col min="4" max="5" width="14.7109375" customWidth="1"/>
    <col min="6" max="6" width="12.140625" customWidth="1"/>
    <col min="7" max="7" width="17.140625" customWidth="1"/>
    <col min="8" max="8" width="18.85546875" customWidth="1"/>
    <col min="9" max="11" width="8.42578125" customWidth="1"/>
    <col min="12" max="12" width="8.7109375" customWidth="1"/>
    <col min="13" max="1025" width="8.42578125" customWidth="1"/>
  </cols>
  <sheetData>
    <row r="1" spans="1:8" ht="19.5" customHeight="1" x14ac:dyDescent="0.2">
      <c r="G1" s="509" t="s">
        <v>626</v>
      </c>
    </row>
    <row r="2" spans="1:8" ht="15.75" x14ac:dyDescent="0.25">
      <c r="A2" s="832" t="s">
        <v>607</v>
      </c>
      <c r="B2" s="832"/>
      <c r="C2" s="832"/>
      <c r="D2" s="832"/>
      <c r="E2" s="832"/>
      <c r="F2" s="832"/>
      <c r="G2" s="832"/>
    </row>
    <row r="3" spans="1:8" ht="15.75" x14ac:dyDescent="0.25">
      <c r="A3" s="832" t="s">
        <v>243</v>
      </c>
      <c r="B3" s="832"/>
      <c r="C3" s="832"/>
      <c r="D3" s="832"/>
      <c r="E3" s="832"/>
      <c r="F3" s="832"/>
      <c r="G3" s="832"/>
    </row>
    <row r="4" spans="1:8" ht="14.25" customHeight="1" thickBot="1" x14ac:dyDescent="0.25">
      <c r="A4" s="157"/>
      <c r="B4" s="157"/>
      <c r="C4" s="157"/>
      <c r="D4" s="157"/>
      <c r="E4" s="157"/>
      <c r="F4" s="157"/>
      <c r="G4" s="158" t="s">
        <v>392</v>
      </c>
    </row>
    <row r="5" spans="1:8" ht="20.25" customHeight="1" thickBot="1" x14ac:dyDescent="0.25">
      <c r="A5" s="841" t="s">
        <v>2</v>
      </c>
      <c r="B5" s="841"/>
      <c r="C5" s="841"/>
      <c r="D5" s="841"/>
      <c r="E5" s="841"/>
      <c r="F5" s="841"/>
      <c r="G5" s="841"/>
    </row>
    <row r="6" spans="1:8" ht="15.75" customHeight="1" thickBot="1" x14ac:dyDescent="0.25">
      <c r="A6" s="842" t="s">
        <v>394</v>
      </c>
      <c r="B6" s="843" t="s">
        <v>395</v>
      </c>
      <c r="C6" s="844">
        <v>2019</v>
      </c>
      <c r="D6" s="845"/>
      <c r="E6" s="845"/>
      <c r="F6" s="846"/>
      <c r="G6" s="847" t="s">
        <v>627</v>
      </c>
    </row>
    <row r="7" spans="1:8" ht="21.75" customHeight="1" thickBot="1" x14ac:dyDescent="0.25">
      <c r="A7" s="842"/>
      <c r="B7" s="843"/>
      <c r="C7" s="513" t="s">
        <v>396</v>
      </c>
      <c r="D7" s="513" t="s">
        <v>598</v>
      </c>
      <c r="E7" s="513" t="s">
        <v>397</v>
      </c>
      <c r="F7" s="512" t="s">
        <v>398</v>
      </c>
      <c r="G7" s="847"/>
      <c r="H7" s="574"/>
    </row>
    <row r="8" spans="1:8" ht="20.100000000000001" customHeight="1" x14ac:dyDescent="0.2">
      <c r="A8" s="515" t="s">
        <v>446</v>
      </c>
      <c r="B8" s="516" t="s">
        <v>529</v>
      </c>
      <c r="C8" s="517">
        <v>4465760</v>
      </c>
      <c r="D8" s="518">
        <v>7147180</v>
      </c>
      <c r="E8" s="518">
        <f>G8-D8</f>
        <v>457000</v>
      </c>
      <c r="F8" s="519">
        <f>G8/D8*100</f>
        <v>106.39413027235918</v>
      </c>
      <c r="G8" s="520">
        <f>'[1]Kiadások COFOG szerint'!G176+'[1]Kiadások COFOG szerint'!G225+'[1]Kiadások COFOG szerint'!G264</f>
        <v>7604180</v>
      </c>
      <c r="H8" s="575"/>
    </row>
    <row r="9" spans="1:8" ht="20.100000000000001" customHeight="1" x14ac:dyDescent="0.2">
      <c r="A9" s="521" t="s">
        <v>515</v>
      </c>
      <c r="B9" s="522" t="s">
        <v>520</v>
      </c>
      <c r="C9" s="523">
        <v>8182420</v>
      </c>
      <c r="D9" s="524">
        <v>11961750</v>
      </c>
      <c r="E9" s="518">
        <f t="shared" ref="E9:E18" si="0">G9-D9</f>
        <v>320000</v>
      </c>
      <c r="F9" s="519">
        <f t="shared" ref="F9:F18" si="1">G9/D9*100</f>
        <v>102.67519384705415</v>
      </c>
      <c r="G9" s="525">
        <f>'[1]Kiadások COFOG szerint'!G10+'[1]Kiadások COFOG szerint'!G105+'[1]Kiadások COFOG szerint'!G115+'[1]Kiadások COFOG szerint'!G151</f>
        <v>12281750</v>
      </c>
      <c r="H9" s="576"/>
    </row>
    <row r="10" spans="1:8" ht="20.100000000000001" customHeight="1" x14ac:dyDescent="0.2">
      <c r="A10" s="521" t="s">
        <v>530</v>
      </c>
      <c r="B10" s="522" t="s">
        <v>531</v>
      </c>
      <c r="C10" s="523">
        <v>100000</v>
      </c>
      <c r="D10" s="524">
        <v>100000</v>
      </c>
      <c r="E10" s="518">
        <f t="shared" si="0"/>
        <v>0</v>
      </c>
      <c r="F10" s="519">
        <f t="shared" si="1"/>
        <v>100</v>
      </c>
      <c r="G10" s="525">
        <f>'[1]Kiadások COFOG szerint'!G177</f>
        <v>100000</v>
      </c>
      <c r="H10" s="576"/>
    </row>
    <row r="11" spans="1:8" ht="20.100000000000001" customHeight="1" x14ac:dyDescent="0.2">
      <c r="A11" s="521" t="s">
        <v>532</v>
      </c>
      <c r="B11" s="522" t="s">
        <v>557</v>
      </c>
      <c r="C11" s="523">
        <v>48000</v>
      </c>
      <c r="D11" s="524">
        <v>48000</v>
      </c>
      <c r="E11" s="518">
        <f t="shared" si="0"/>
        <v>0</v>
      </c>
      <c r="F11" s="519">
        <f t="shared" si="1"/>
        <v>100</v>
      </c>
      <c r="G11" s="525">
        <f>'[1]Kiadások COFOG szerint'!G178+'[1]Kiadások COFOG szerint'!G226</f>
        <v>48000</v>
      </c>
      <c r="H11" s="575"/>
    </row>
    <row r="12" spans="1:8" ht="20.100000000000001" customHeight="1" x14ac:dyDescent="0.2">
      <c r="A12" s="521" t="s">
        <v>449</v>
      </c>
      <c r="B12" s="522" t="s">
        <v>450</v>
      </c>
      <c r="C12" s="523">
        <v>50000</v>
      </c>
      <c r="D12" s="524">
        <v>50000</v>
      </c>
      <c r="E12" s="518">
        <f t="shared" si="0"/>
        <v>-50000</v>
      </c>
      <c r="F12" s="519">
        <f t="shared" si="1"/>
        <v>0</v>
      </c>
      <c r="G12" s="525">
        <f>'[1]Kiadások COFOG szerint'!G179</f>
        <v>0</v>
      </c>
      <c r="H12" s="575"/>
    </row>
    <row r="13" spans="1:8" ht="20.100000000000001" customHeight="1" x14ac:dyDescent="0.2">
      <c r="A13" s="521" t="s">
        <v>521</v>
      </c>
      <c r="B13" s="522" t="s">
        <v>522</v>
      </c>
      <c r="C13" s="523">
        <v>48000</v>
      </c>
      <c r="D13" s="524">
        <v>48000</v>
      </c>
      <c r="E13" s="518">
        <f t="shared" si="0"/>
        <v>0</v>
      </c>
      <c r="F13" s="519">
        <f t="shared" si="1"/>
        <v>100</v>
      </c>
      <c r="G13" s="525">
        <f>'[1]Kiadások COFOG szerint'!G153+'[1]Kiadások COFOG szerint'!G180+'[1]Kiadások COFOG szerint'!G227</f>
        <v>48000</v>
      </c>
      <c r="H13" s="575"/>
    </row>
    <row r="14" spans="1:8" ht="20.100000000000001" customHeight="1" x14ac:dyDescent="0.2">
      <c r="A14" s="521" t="s">
        <v>558</v>
      </c>
      <c r="B14" s="522" t="s">
        <v>451</v>
      </c>
      <c r="C14" s="523">
        <v>100000</v>
      </c>
      <c r="D14" s="524">
        <v>0</v>
      </c>
      <c r="E14" s="518">
        <f t="shared" si="0"/>
        <v>0</v>
      </c>
      <c r="F14" s="519"/>
      <c r="G14" s="525">
        <f>'[1]Kiadások COFOG szerint'!G13</f>
        <v>0</v>
      </c>
      <c r="H14" s="577"/>
    </row>
    <row r="15" spans="1:8" ht="20.100000000000001" customHeight="1" x14ac:dyDescent="0.2">
      <c r="A15" s="521" t="s">
        <v>516</v>
      </c>
      <c r="B15" s="522" t="s">
        <v>517</v>
      </c>
      <c r="C15" s="523">
        <v>20000</v>
      </c>
      <c r="D15" s="524">
        <v>322000</v>
      </c>
      <c r="E15" s="518">
        <f t="shared" si="0"/>
        <v>126000</v>
      </c>
      <c r="F15" s="519">
        <f t="shared" si="1"/>
        <v>139.13043478260869</v>
      </c>
      <c r="G15" s="525">
        <f>'[1]Kiadások COFOG szerint'!G116+'[1]Kiadások COFOG szerint'!G154+'[1]Kiadások COFOG szerint'!G181+'[1]Kiadások COFOG szerint'!G265</f>
        <v>448000</v>
      </c>
      <c r="H15" s="576"/>
    </row>
    <row r="16" spans="1:8" ht="20.100000000000001" customHeight="1" x14ac:dyDescent="0.2">
      <c r="A16" s="521" t="s">
        <v>452</v>
      </c>
      <c r="B16" s="522" t="s">
        <v>453</v>
      </c>
      <c r="C16" s="523">
        <v>16224200</v>
      </c>
      <c r="D16" s="524">
        <v>16224200</v>
      </c>
      <c r="E16" s="518">
        <f t="shared" si="0"/>
        <v>10000</v>
      </c>
      <c r="F16" s="519">
        <f t="shared" si="1"/>
        <v>100.06163632105127</v>
      </c>
      <c r="G16" s="525">
        <f>'[1]Kiadások COFOG szerint'!G14</f>
        <v>16234200</v>
      </c>
      <c r="H16" s="575"/>
    </row>
    <row r="17" spans="1:8" ht="27" customHeight="1" x14ac:dyDescent="0.2">
      <c r="A17" s="521" t="s">
        <v>454</v>
      </c>
      <c r="B17" s="522" t="s">
        <v>455</v>
      </c>
      <c r="C17" s="523">
        <v>869100</v>
      </c>
      <c r="D17" s="524">
        <v>3093000</v>
      </c>
      <c r="E17" s="518">
        <f t="shared" si="0"/>
        <v>400000</v>
      </c>
      <c r="F17" s="519">
        <f t="shared" si="1"/>
        <v>112.93242806336889</v>
      </c>
      <c r="G17" s="525">
        <f>'[1]Kiadások COFOG szerint'!G15+'[1]Kiadások COFOG szerint'!G182+'[1]Kiadások COFOG szerint'!G208</f>
        <v>3493000</v>
      </c>
      <c r="H17" s="575"/>
    </row>
    <row r="18" spans="1:8" ht="20.100000000000001" customHeight="1" thickBot="1" x14ac:dyDescent="0.25">
      <c r="A18" s="526" t="s">
        <v>505</v>
      </c>
      <c r="B18" s="527" t="s">
        <v>506</v>
      </c>
      <c r="C18" s="528">
        <v>200000</v>
      </c>
      <c r="D18" s="529">
        <v>476000</v>
      </c>
      <c r="E18" s="518">
        <f t="shared" si="0"/>
        <v>19300</v>
      </c>
      <c r="F18" s="519">
        <f t="shared" si="1"/>
        <v>104.0546218487395</v>
      </c>
      <c r="G18" s="530">
        <f>'[1]Kiadások COFOG szerint'!G16+'[1]Kiadások COFOG szerint'!G83+'[1]Kiadások COFOG szerint'!G155</f>
        <v>495300</v>
      </c>
      <c r="H18" s="575"/>
    </row>
    <row r="19" spans="1:8" ht="24.95" customHeight="1" thickBot="1" x14ac:dyDescent="0.25">
      <c r="A19" s="840" t="s">
        <v>3</v>
      </c>
      <c r="B19" s="840"/>
      <c r="C19" s="578">
        <v>30307480</v>
      </c>
      <c r="D19" s="579">
        <v>39470130</v>
      </c>
      <c r="E19" s="579">
        <f>SUM(E8:E18)</f>
        <v>1282300</v>
      </c>
      <c r="F19" s="580">
        <f>G19/D19*100</f>
        <v>103.24878585401163</v>
      </c>
      <c r="G19" s="581">
        <f>SUM(G8:G18)</f>
        <v>40752430</v>
      </c>
      <c r="H19" s="576"/>
    </row>
    <row r="20" spans="1:8" ht="20.100000000000001" customHeight="1" x14ac:dyDescent="0.2">
      <c r="A20" s="515" t="s">
        <v>456</v>
      </c>
      <c r="B20" s="516" t="s">
        <v>457</v>
      </c>
      <c r="C20" s="517">
        <v>5977195</v>
      </c>
      <c r="D20" s="518">
        <v>7024734</v>
      </c>
      <c r="E20" s="518">
        <f>G20-D20</f>
        <v>57750</v>
      </c>
      <c r="F20" s="519">
        <f>G20/D20*100</f>
        <v>100.82209518538355</v>
      </c>
      <c r="G20" s="520">
        <f>'[1]Kiadások COFOG szerint'!G17+'[1]Kiadások COFOG szerint'!G106+'[1]Kiadások COFOG szerint'!G117+'[1]Kiadások COFOG szerint'!G156+'[1]Kiadások COFOG szerint'!G183+'[1]Kiadások COFOG szerint'!G209+'[1]Kiadások COFOG szerint'!G228+'[1]Kiadások COFOG szerint'!G266</f>
        <v>7082484</v>
      </c>
      <c r="H20" s="575"/>
    </row>
    <row r="21" spans="1:8" ht="20.100000000000001" customHeight="1" thickBot="1" x14ac:dyDescent="0.25">
      <c r="A21" s="526" t="s">
        <v>458</v>
      </c>
      <c r="B21" s="527" t="s">
        <v>459</v>
      </c>
      <c r="C21" s="528">
        <v>30000</v>
      </c>
      <c r="D21" s="529">
        <v>0</v>
      </c>
      <c r="E21" s="518">
        <f>G21-D21</f>
        <v>40000</v>
      </c>
      <c r="F21" s="519">
        <v>0</v>
      </c>
      <c r="G21" s="530">
        <f>'[1]Kiadások COFOG szerint'!G18</f>
        <v>40000</v>
      </c>
      <c r="H21" s="575"/>
    </row>
    <row r="22" spans="1:8" ht="24.95" customHeight="1" thickBot="1" x14ac:dyDescent="0.25">
      <c r="A22" s="840" t="s">
        <v>562</v>
      </c>
      <c r="B22" s="840"/>
      <c r="C22" s="578">
        <v>6007195</v>
      </c>
      <c r="D22" s="579">
        <v>7024734</v>
      </c>
      <c r="E22" s="579">
        <f>SUM(E20:E21)</f>
        <v>97750</v>
      </c>
      <c r="F22" s="580">
        <f>G22/D22*100</f>
        <v>101.39151176400416</v>
      </c>
      <c r="G22" s="582">
        <f>SUM(G20:G21)</f>
        <v>7122484</v>
      </c>
      <c r="H22" s="576"/>
    </row>
    <row r="23" spans="1:8" ht="20.100000000000001" customHeight="1" x14ac:dyDescent="0.2">
      <c r="A23" s="515" t="s">
        <v>460</v>
      </c>
      <c r="B23" s="516" t="s">
        <v>524</v>
      </c>
      <c r="C23" s="517">
        <v>130000</v>
      </c>
      <c r="D23" s="518">
        <v>120000</v>
      </c>
      <c r="E23" s="518">
        <f>G23-D23</f>
        <v>0</v>
      </c>
      <c r="F23" s="519">
        <f>G23/D23*100</f>
        <v>100</v>
      </c>
      <c r="G23" s="520">
        <f>'[1]Kiadások COFOG szerint'!G19+'[1]Kiadások COFOG szerint'!G185</f>
        <v>120000</v>
      </c>
      <c r="H23" s="575"/>
    </row>
    <row r="24" spans="1:8" ht="20.100000000000001" hidden="1" customHeight="1" x14ac:dyDescent="0.2">
      <c r="A24" s="521" t="s">
        <v>523</v>
      </c>
      <c r="B24" s="522" t="s">
        <v>628</v>
      </c>
      <c r="C24" s="523"/>
      <c r="D24" s="524"/>
      <c r="E24" s="518">
        <f t="shared" ref="E24:E51" si="2">G24-D24</f>
        <v>0</v>
      </c>
      <c r="F24" s="519" t="e">
        <f t="shared" ref="F24:F50" si="3">G24/D24*100</f>
        <v>#DIV/0!</v>
      </c>
      <c r="G24" s="525"/>
      <c r="H24" s="576"/>
    </row>
    <row r="25" spans="1:8" ht="20.100000000000001" hidden="1" customHeight="1" x14ac:dyDescent="0.2">
      <c r="A25" s="521" t="s">
        <v>629</v>
      </c>
      <c r="B25" s="522" t="s">
        <v>630</v>
      </c>
      <c r="C25" s="523"/>
      <c r="D25" s="524"/>
      <c r="E25" s="518">
        <f t="shared" si="2"/>
        <v>0</v>
      </c>
      <c r="F25" s="519" t="e">
        <f t="shared" si="3"/>
        <v>#DIV/0!</v>
      </c>
      <c r="G25" s="525"/>
      <c r="H25" s="576"/>
    </row>
    <row r="26" spans="1:8" ht="20.100000000000001" hidden="1" customHeight="1" x14ac:dyDescent="0.2">
      <c r="A26" s="521" t="s">
        <v>631</v>
      </c>
      <c r="B26" s="522" t="s">
        <v>632</v>
      </c>
      <c r="C26" s="523"/>
      <c r="D26" s="524"/>
      <c r="E26" s="518">
        <f t="shared" si="2"/>
        <v>0</v>
      </c>
      <c r="F26" s="519" t="e">
        <f t="shared" si="3"/>
        <v>#DIV/0!</v>
      </c>
      <c r="G26" s="525"/>
      <c r="H26" s="576"/>
    </row>
    <row r="27" spans="1:8" ht="20.100000000000001" customHeight="1" x14ac:dyDescent="0.2">
      <c r="A27" s="521" t="s">
        <v>461</v>
      </c>
      <c r="B27" s="522" t="s">
        <v>462</v>
      </c>
      <c r="C27" s="523">
        <v>4488080</v>
      </c>
      <c r="D27" s="524">
        <v>10726080</v>
      </c>
      <c r="E27" s="518">
        <f t="shared" si="2"/>
        <v>811000</v>
      </c>
      <c r="F27" s="519">
        <f t="shared" si="3"/>
        <v>107.56101017333452</v>
      </c>
      <c r="G27" s="525">
        <f>'[1]Kiadások COFOG szerint'!G20+'[1]Kiadások COFOG szerint'!G84+'[1]Kiadások COFOG szerint'!G107+'[1]Kiadások COFOG szerint'!G118+'[1]Kiadások COFOG szerint'!G124+'[1]Kiadások COFOG szerint'!G143+'[1]Kiadások COFOG szerint'!G158+'[1]Kiadások COFOG szerint'!G186+'[1]Kiadások COFOG szerint'!G211+'[1]Kiadások COFOG szerint'!G229+'[1]Kiadások COFOG szerint'!G273</f>
        <v>11537080</v>
      </c>
      <c r="H27" s="576"/>
    </row>
    <row r="28" spans="1:8" ht="20.100000000000001" hidden="1" customHeight="1" x14ac:dyDescent="0.2">
      <c r="A28" s="521" t="s">
        <v>633</v>
      </c>
      <c r="B28" s="583" t="s">
        <v>634</v>
      </c>
      <c r="C28" s="584"/>
      <c r="D28" s="524"/>
      <c r="E28" s="518">
        <f t="shared" si="2"/>
        <v>0</v>
      </c>
      <c r="F28" s="519" t="e">
        <f t="shared" si="3"/>
        <v>#DIV/0!</v>
      </c>
      <c r="G28" s="525"/>
      <c r="H28" s="576"/>
    </row>
    <row r="29" spans="1:8" ht="20.100000000000001" hidden="1" customHeight="1" x14ac:dyDescent="0.2">
      <c r="A29" s="521" t="s">
        <v>635</v>
      </c>
      <c r="B29" s="583" t="s">
        <v>636</v>
      </c>
      <c r="C29" s="584"/>
      <c r="D29" s="524"/>
      <c r="E29" s="518">
        <f t="shared" si="2"/>
        <v>0</v>
      </c>
      <c r="F29" s="519" t="e">
        <f t="shared" si="3"/>
        <v>#DIV/0!</v>
      </c>
      <c r="G29" s="525"/>
      <c r="H29" s="576"/>
    </row>
    <row r="30" spans="1:8" ht="20.100000000000001" hidden="1" customHeight="1" x14ac:dyDescent="0.2">
      <c r="A30" s="521" t="s">
        <v>637</v>
      </c>
      <c r="B30" s="583" t="s">
        <v>638</v>
      </c>
      <c r="C30" s="584"/>
      <c r="D30" s="524"/>
      <c r="E30" s="518">
        <f t="shared" si="2"/>
        <v>0</v>
      </c>
      <c r="F30" s="519" t="e">
        <f t="shared" si="3"/>
        <v>#DIV/0!</v>
      </c>
      <c r="G30" s="525"/>
      <c r="H30" s="576"/>
    </row>
    <row r="31" spans="1:8" ht="20.100000000000001" hidden="1" customHeight="1" x14ac:dyDescent="0.2">
      <c r="A31" s="521" t="s">
        <v>639</v>
      </c>
      <c r="B31" s="583" t="s">
        <v>640</v>
      </c>
      <c r="C31" s="584"/>
      <c r="D31" s="524"/>
      <c r="E31" s="518">
        <f t="shared" si="2"/>
        <v>0</v>
      </c>
      <c r="F31" s="519" t="e">
        <f t="shared" si="3"/>
        <v>#DIV/0!</v>
      </c>
      <c r="G31" s="525"/>
      <c r="H31" s="576"/>
    </row>
    <row r="32" spans="1:8" ht="20.100000000000001" hidden="1" customHeight="1" x14ac:dyDescent="0.2">
      <c r="A32" s="521" t="s">
        <v>641</v>
      </c>
      <c r="B32" s="583" t="s">
        <v>642</v>
      </c>
      <c r="C32" s="584"/>
      <c r="D32" s="524"/>
      <c r="E32" s="518">
        <f t="shared" si="2"/>
        <v>0</v>
      </c>
      <c r="F32" s="519" t="e">
        <f t="shared" si="3"/>
        <v>#DIV/0!</v>
      </c>
      <c r="G32" s="525"/>
      <c r="H32" s="576"/>
    </row>
    <row r="33" spans="1:8" ht="19.5" hidden="1" customHeight="1" x14ac:dyDescent="0.2">
      <c r="A33" s="521" t="s">
        <v>643</v>
      </c>
      <c r="B33" s="583" t="s">
        <v>644</v>
      </c>
      <c r="C33" s="584"/>
      <c r="D33" s="524"/>
      <c r="E33" s="518">
        <f t="shared" si="2"/>
        <v>0</v>
      </c>
      <c r="F33" s="519" t="e">
        <f t="shared" si="3"/>
        <v>#DIV/0!</v>
      </c>
      <c r="G33" s="525"/>
      <c r="H33" s="576"/>
    </row>
    <row r="34" spans="1:8" ht="20.100000000000001" customHeight="1" x14ac:dyDescent="0.2">
      <c r="A34" s="521" t="s">
        <v>463</v>
      </c>
      <c r="B34" s="522" t="s">
        <v>559</v>
      </c>
      <c r="C34" s="523">
        <v>1350000</v>
      </c>
      <c r="D34" s="524">
        <v>1400000</v>
      </c>
      <c r="E34" s="518">
        <f t="shared" si="2"/>
        <v>0</v>
      </c>
      <c r="F34" s="519">
        <f t="shared" si="3"/>
        <v>100</v>
      </c>
      <c r="G34" s="525">
        <f>'[1]Kiadások COFOG szerint'!G21+'[1]Kiadások COFOG szerint'!G187</f>
        <v>1400000</v>
      </c>
      <c r="H34" s="576"/>
    </row>
    <row r="35" spans="1:8" ht="20.100000000000001" customHeight="1" x14ac:dyDescent="0.2">
      <c r="A35" s="521" t="s">
        <v>464</v>
      </c>
      <c r="B35" s="522" t="s">
        <v>465</v>
      </c>
      <c r="C35" s="523">
        <v>410000</v>
      </c>
      <c r="D35" s="524">
        <v>440000</v>
      </c>
      <c r="E35" s="518">
        <f t="shared" si="2"/>
        <v>0</v>
      </c>
      <c r="F35" s="519">
        <f t="shared" si="3"/>
        <v>100</v>
      </c>
      <c r="G35" s="525">
        <f>'[1]Kiadások COFOG szerint'!G22+'[1]Kiadások COFOG szerint'!G188</f>
        <v>440000</v>
      </c>
      <c r="H35" s="576"/>
    </row>
    <row r="36" spans="1:8" ht="20.100000000000001" customHeight="1" x14ac:dyDescent="0.2">
      <c r="A36" s="521" t="s">
        <v>468</v>
      </c>
      <c r="B36" s="522" t="s">
        <v>645</v>
      </c>
      <c r="C36" s="523"/>
      <c r="D36" s="524"/>
      <c r="E36" s="518">
        <f t="shared" si="2"/>
        <v>0</v>
      </c>
      <c r="F36" s="519"/>
      <c r="G36" s="525"/>
      <c r="H36" s="576"/>
    </row>
    <row r="37" spans="1:8" ht="20.100000000000001" customHeight="1" x14ac:dyDescent="0.2">
      <c r="A37" s="521" t="s">
        <v>466</v>
      </c>
      <c r="B37" s="583" t="s">
        <v>646</v>
      </c>
      <c r="C37" s="584">
        <v>4100668</v>
      </c>
      <c r="D37" s="524">
        <v>4066668</v>
      </c>
      <c r="E37" s="518">
        <f t="shared" si="2"/>
        <v>-200000</v>
      </c>
      <c r="F37" s="519">
        <f t="shared" si="3"/>
        <v>95.081968825583999</v>
      </c>
      <c r="G37" s="525">
        <f>'[1]Kiadások COFOG szerint'!G23+'[1]Kiadások COFOG szerint'!G70+'[1]Kiadások COFOG szerint'!G144</f>
        <v>3866668</v>
      </c>
      <c r="H37" s="576"/>
    </row>
    <row r="38" spans="1:8" ht="20.100000000000001" customHeight="1" x14ac:dyDescent="0.2">
      <c r="A38" s="521" t="s">
        <v>467</v>
      </c>
      <c r="B38" s="583" t="s">
        <v>647</v>
      </c>
      <c r="C38" s="584">
        <v>2250000</v>
      </c>
      <c r="D38" s="524">
        <v>2800000</v>
      </c>
      <c r="E38" s="518">
        <f t="shared" si="2"/>
        <v>-350000</v>
      </c>
      <c r="F38" s="519">
        <f t="shared" si="3"/>
        <v>87.5</v>
      </c>
      <c r="G38" s="525">
        <f>'[1]Kiadások COFOG szerint'!G24+'[1]Kiadások COFOG szerint'!G71+'[1]Kiadások COFOG szerint'!G159</f>
        <v>2450000</v>
      </c>
      <c r="H38" s="576"/>
    </row>
    <row r="39" spans="1:8" ht="20.100000000000001" customHeight="1" x14ac:dyDescent="0.2">
      <c r="A39" s="521" t="s">
        <v>504</v>
      </c>
      <c r="B39" s="583" t="s">
        <v>648</v>
      </c>
      <c r="C39" s="584">
        <v>320000</v>
      </c>
      <c r="D39" s="524">
        <v>450000</v>
      </c>
      <c r="E39" s="518">
        <f t="shared" si="2"/>
        <v>50000</v>
      </c>
      <c r="F39" s="519">
        <f t="shared" si="3"/>
        <v>111.11111111111111</v>
      </c>
      <c r="G39" s="525">
        <f>'[1]Kiadások COFOG szerint'!G72+'[1]Kiadások COFOG szerint'!G25</f>
        <v>500000</v>
      </c>
      <c r="H39" s="576"/>
    </row>
    <row r="40" spans="1:8" ht="20.100000000000001" customHeight="1" x14ac:dyDescent="0.2">
      <c r="A40" s="521" t="s">
        <v>507</v>
      </c>
      <c r="B40" s="522" t="s">
        <v>508</v>
      </c>
      <c r="C40" s="523">
        <v>12659413</v>
      </c>
      <c r="D40" s="524">
        <v>12389413</v>
      </c>
      <c r="E40" s="518">
        <f t="shared" si="2"/>
        <v>421500</v>
      </c>
      <c r="F40" s="519">
        <f t="shared" si="3"/>
        <v>103.40209822692972</v>
      </c>
      <c r="G40" s="525">
        <f>'[1]Kiadások COFOG szerint'!G230+'[1]Kiadások COFOG szerint'!G247+'[1]Kiadások COFOG szerint'!G253</f>
        <v>12810913</v>
      </c>
      <c r="H40" s="576"/>
    </row>
    <row r="41" spans="1:8" ht="20.100000000000001" customHeight="1" x14ac:dyDescent="0.2">
      <c r="A41" s="521" t="s">
        <v>469</v>
      </c>
      <c r="B41" s="522" t="s">
        <v>470</v>
      </c>
      <c r="C41" s="523">
        <v>150000</v>
      </c>
      <c r="D41" s="524">
        <v>150000</v>
      </c>
      <c r="E41" s="518">
        <f t="shared" si="2"/>
        <v>0</v>
      </c>
      <c r="F41" s="519">
        <f t="shared" si="3"/>
        <v>100</v>
      </c>
      <c r="G41" s="525">
        <f>'[1]Kiadások COFOG szerint'!G26</f>
        <v>150000</v>
      </c>
      <c r="H41" s="576"/>
    </row>
    <row r="42" spans="1:8" ht="20.100000000000001" customHeight="1" x14ac:dyDescent="0.2">
      <c r="A42" s="521" t="s">
        <v>471</v>
      </c>
      <c r="B42" s="522" t="s">
        <v>472</v>
      </c>
      <c r="C42" s="523">
        <v>2995595</v>
      </c>
      <c r="D42" s="524">
        <v>2096595</v>
      </c>
      <c r="E42" s="518">
        <f t="shared" si="2"/>
        <v>-47000</v>
      </c>
      <c r="F42" s="519">
        <f t="shared" si="3"/>
        <v>97.758269956763229</v>
      </c>
      <c r="G42" s="525">
        <f>'[1]Kiadások COFOG szerint'!G27+'[1]Kiadások COFOG szerint'!G73+'[1]Kiadások COFOG szerint'!G125+'[1]Kiadások COFOG szerint'!G145+'[1]Kiadások COFOG szerint'!G161+'[1]Kiadások COFOG szerint'!G189</f>
        <v>2049595</v>
      </c>
      <c r="H42" s="576"/>
    </row>
    <row r="43" spans="1:8" ht="20.100000000000001" customHeight="1" x14ac:dyDescent="0.2">
      <c r="A43" s="521" t="s">
        <v>649</v>
      </c>
      <c r="B43" s="522" t="s">
        <v>650</v>
      </c>
      <c r="C43" s="523">
        <v>150000</v>
      </c>
      <c r="D43" s="524">
        <v>520000</v>
      </c>
      <c r="E43" s="518">
        <f t="shared" si="2"/>
        <v>211000</v>
      </c>
      <c r="F43" s="519">
        <f t="shared" si="3"/>
        <v>140.57692307692307</v>
      </c>
      <c r="G43" s="525">
        <f>'[1]Kiadások COFOG szerint'!G28+'[1]Kiadások COFOG szerint'!G74</f>
        <v>731000</v>
      </c>
      <c r="H43" s="576"/>
    </row>
    <row r="44" spans="1:8" ht="20.100000000000001" customHeight="1" x14ac:dyDescent="0.2">
      <c r="A44" s="521" t="s">
        <v>473</v>
      </c>
      <c r="B44" s="522" t="s">
        <v>474</v>
      </c>
      <c r="C44" s="523">
        <v>2925500</v>
      </c>
      <c r="D44" s="524">
        <v>2678500</v>
      </c>
      <c r="E44" s="518">
        <f t="shared" si="2"/>
        <v>-40000</v>
      </c>
      <c r="F44" s="519">
        <f t="shared" si="3"/>
        <v>98.506626843382492</v>
      </c>
      <c r="G44" s="525">
        <f>'[1]Kiadások COFOG szerint'!G29+'[1]Kiadások COFOG szerint'!G190+'[1]Kiadások COFOG szerint'!G202+'[1]Kiadások COFOG szerint'!G231+'[1]Kiadások COFOG szerint'!G267</f>
        <v>2638500</v>
      </c>
      <c r="H44" s="576"/>
    </row>
    <row r="45" spans="1:8" ht="20.100000000000001" customHeight="1" x14ac:dyDescent="0.2">
      <c r="A45" s="521" t="s">
        <v>475</v>
      </c>
      <c r="B45" s="522" t="s">
        <v>476</v>
      </c>
      <c r="C45" s="523">
        <v>7916929</v>
      </c>
      <c r="D45" s="524">
        <v>9820929</v>
      </c>
      <c r="E45" s="518">
        <f>G45-D45</f>
        <v>1961000</v>
      </c>
      <c r="F45" s="519">
        <f t="shared" si="3"/>
        <v>119.96756111361766</v>
      </c>
      <c r="G45" s="525">
        <f>'[1]Kiadások COFOG szerint'!G30+'[1]Kiadások COFOG szerint'!G58+'[1]Kiadások COFOG szerint'!G75+'[1]Kiadások COFOG szerint'!G86+'[1]Kiadások COFOG szerint'!G126+'[1]Kiadások COFOG szerint'!G163+'[1]Kiadások COFOG szerint'!G191+'[1]Kiadások COFOG szerint'!G212+'[1]Kiadások COFOG szerint'!G232+'[1]Kiadások COFOG szerint'!G275</f>
        <v>11781929</v>
      </c>
      <c r="H45" s="576"/>
    </row>
    <row r="46" spans="1:8" ht="20.100000000000001" customHeight="1" x14ac:dyDescent="0.2">
      <c r="A46" s="521" t="s">
        <v>525</v>
      </c>
      <c r="B46" s="522" t="s">
        <v>526</v>
      </c>
      <c r="C46" s="523">
        <v>10000</v>
      </c>
      <c r="D46" s="524">
        <v>516000</v>
      </c>
      <c r="E46" s="518">
        <f t="shared" si="2"/>
        <v>90000</v>
      </c>
      <c r="F46" s="519">
        <f t="shared" si="3"/>
        <v>117.44186046511629</v>
      </c>
      <c r="G46" s="525">
        <f>'[1]Kiadások COFOG szerint'!G31+'[1]Kiadások COFOG szerint'!G87+'[1]Kiadások COFOG szerint'!G192</f>
        <v>606000</v>
      </c>
      <c r="H46" s="576"/>
    </row>
    <row r="47" spans="1:8" ht="19.5" customHeight="1" x14ac:dyDescent="0.2">
      <c r="A47" s="521" t="s">
        <v>477</v>
      </c>
      <c r="B47" s="522" t="s">
        <v>651</v>
      </c>
      <c r="C47" s="523">
        <v>11146217</v>
      </c>
      <c r="D47" s="524">
        <v>12118054.93</v>
      </c>
      <c r="E47" s="518">
        <f t="shared" si="2"/>
        <v>-519576</v>
      </c>
      <c r="F47" s="519">
        <f t="shared" si="3"/>
        <v>95.712381211330253</v>
      </c>
      <c r="G47" s="525">
        <f>'[1]Kiadások COFOG szerint'!G32+'[1]Kiadások COFOG szerint'!G60+'[1]Kiadások COFOG szerint'!G76+'[1]Kiadások COFOG szerint'!G88+'[1]Kiadások COFOG szerint'!G108+'[1]Kiadások COFOG szerint'!G119+'[1]Kiadások COFOG szerint'!G128+'[1]Kiadások COFOG szerint'!G146+'[1]Kiadások COFOG szerint'!G165+'[1]Kiadások COFOG szerint'!G193+'[1]Kiadások COFOG szerint'!G213+'[1]Kiadások COFOG szerint'!G233+'[1]Kiadások COFOG szerint'!G248+'[1]Kiadások COFOG szerint'!G254+'[1]Kiadások COFOG szerint'!G276</f>
        <v>11598478.93</v>
      </c>
      <c r="H47" s="576"/>
    </row>
    <row r="48" spans="1:8" ht="20.100000000000001" customHeight="1" x14ac:dyDescent="0.2">
      <c r="A48" s="521" t="s">
        <v>479</v>
      </c>
      <c r="B48" s="522" t="s">
        <v>480</v>
      </c>
      <c r="C48" s="523">
        <v>0</v>
      </c>
      <c r="D48" s="524">
        <v>12000000</v>
      </c>
      <c r="E48" s="518">
        <f t="shared" si="2"/>
        <v>0</v>
      </c>
      <c r="F48" s="519">
        <f t="shared" si="3"/>
        <v>100</v>
      </c>
      <c r="G48" s="525">
        <f>'[1]Kiadások COFOG szerint'!G33</f>
        <v>12000000</v>
      </c>
      <c r="H48" s="576"/>
    </row>
    <row r="49" spans="1:12" ht="20.100000000000001" customHeight="1" x14ac:dyDescent="0.2">
      <c r="A49" s="521" t="s">
        <v>481</v>
      </c>
      <c r="B49" s="522" t="s">
        <v>482</v>
      </c>
      <c r="C49" s="523">
        <v>20000</v>
      </c>
      <c r="D49" s="524">
        <v>78000</v>
      </c>
      <c r="E49" s="518">
        <f t="shared" si="2"/>
        <v>0</v>
      </c>
      <c r="F49" s="519">
        <f t="shared" si="3"/>
        <v>100</v>
      </c>
      <c r="G49" s="525">
        <f>'[1]Kiadások COFOG szerint'!G34+'[1]Kiadások COFOG szerint'!G166</f>
        <v>78000</v>
      </c>
      <c r="H49" s="576"/>
    </row>
    <row r="50" spans="1:12" ht="20.100000000000001" customHeight="1" x14ac:dyDescent="0.2">
      <c r="A50" s="521" t="s">
        <v>483</v>
      </c>
      <c r="B50" s="522" t="s">
        <v>484</v>
      </c>
      <c r="C50" s="523">
        <v>1010000</v>
      </c>
      <c r="D50" s="524">
        <v>600000</v>
      </c>
      <c r="E50" s="518">
        <f t="shared" si="2"/>
        <v>-300000</v>
      </c>
      <c r="F50" s="519">
        <f t="shared" si="3"/>
        <v>50</v>
      </c>
      <c r="G50" s="525">
        <f>'[1]Kiadások COFOG szerint'!G35</f>
        <v>300000</v>
      </c>
      <c r="H50" s="576"/>
    </row>
    <row r="51" spans="1:12" ht="20.100000000000001" customHeight="1" thickBot="1" x14ac:dyDescent="0.25">
      <c r="A51" s="526" t="s">
        <v>485</v>
      </c>
      <c r="B51" s="527" t="s">
        <v>486</v>
      </c>
      <c r="C51" s="528">
        <v>0</v>
      </c>
      <c r="D51" s="529">
        <v>0</v>
      </c>
      <c r="E51" s="518">
        <f t="shared" si="2"/>
        <v>0</v>
      </c>
      <c r="F51" s="519"/>
      <c r="G51" s="530">
        <f>'[1]Kiadások COFOG szerint'!G36</f>
        <v>0</v>
      </c>
      <c r="H51" s="576"/>
    </row>
    <row r="52" spans="1:12" ht="24.95" customHeight="1" thickBot="1" x14ac:dyDescent="0.25">
      <c r="A52" s="840" t="s">
        <v>5</v>
      </c>
      <c r="B52" s="840"/>
      <c r="C52" s="585">
        <v>52032402</v>
      </c>
      <c r="D52" s="581">
        <v>72970239.930000007</v>
      </c>
      <c r="E52" s="581">
        <f>SUM(E23:E51)</f>
        <v>2087924</v>
      </c>
      <c r="F52" s="586">
        <f>G52/D52*100</f>
        <v>102.86133635027504</v>
      </c>
      <c r="G52" s="581">
        <f>SUM(G23:G51)</f>
        <v>75058163.930000007</v>
      </c>
      <c r="H52" s="576"/>
    </row>
    <row r="53" spans="1:12" ht="21.75" customHeight="1" x14ac:dyDescent="0.2">
      <c r="A53" s="587" t="s">
        <v>535</v>
      </c>
      <c r="B53" s="588" t="s">
        <v>652</v>
      </c>
      <c r="C53" s="589">
        <v>0</v>
      </c>
      <c r="D53" s="590">
        <v>103500</v>
      </c>
      <c r="E53" s="591">
        <f>G53-D53</f>
        <v>0</v>
      </c>
      <c r="F53" s="519">
        <f t="shared" ref="F53:F59" si="4">G53/D53*100</f>
        <v>100</v>
      </c>
      <c r="G53" s="592">
        <f>'[1]Kiadások COFOG szerint'!G259</f>
        <v>103500</v>
      </c>
      <c r="H53" s="576"/>
    </row>
    <row r="54" spans="1:12" ht="20.100000000000001" customHeight="1" x14ac:dyDescent="0.2">
      <c r="A54" s="515" t="s">
        <v>653</v>
      </c>
      <c r="B54" s="516" t="s">
        <v>654</v>
      </c>
      <c r="C54" s="517">
        <v>0</v>
      </c>
      <c r="D54" s="518"/>
      <c r="E54" s="593">
        <f t="shared" ref="E54:E59" si="5">G54-D54</f>
        <v>0</v>
      </c>
      <c r="F54" s="519"/>
      <c r="G54" s="520"/>
      <c r="H54" s="594"/>
    </row>
    <row r="55" spans="1:12" ht="20.100000000000001" customHeight="1" x14ac:dyDescent="0.2">
      <c r="A55" s="521" t="s">
        <v>655</v>
      </c>
      <c r="B55" s="522" t="s">
        <v>656</v>
      </c>
      <c r="C55" s="523">
        <v>0</v>
      </c>
      <c r="D55" s="524"/>
      <c r="E55" s="593">
        <f t="shared" si="5"/>
        <v>0</v>
      </c>
      <c r="F55" s="519"/>
      <c r="G55" s="525"/>
      <c r="H55" s="594"/>
    </row>
    <row r="56" spans="1:12" ht="20.100000000000001" customHeight="1" x14ac:dyDescent="0.2">
      <c r="A56" s="521" t="s">
        <v>657</v>
      </c>
      <c r="B56" s="522" t="s">
        <v>658</v>
      </c>
      <c r="C56" s="523">
        <v>0</v>
      </c>
      <c r="D56" s="524">
        <v>5190000</v>
      </c>
      <c r="E56" s="593">
        <f t="shared" si="5"/>
        <v>-650000</v>
      </c>
      <c r="F56" s="519">
        <f t="shared" si="4"/>
        <v>87.475915221579953</v>
      </c>
      <c r="G56" s="525">
        <f>'[1]Kiadások COFOG szerint'!G279</f>
        <v>4540000</v>
      </c>
      <c r="H56" s="594"/>
    </row>
    <row r="57" spans="1:12" ht="20.100000000000001" customHeight="1" x14ac:dyDescent="0.2">
      <c r="A57" s="521" t="s">
        <v>659</v>
      </c>
      <c r="B57" s="522" t="s">
        <v>660</v>
      </c>
      <c r="C57" s="523">
        <v>10207000</v>
      </c>
      <c r="D57" s="524">
        <v>5017000</v>
      </c>
      <c r="E57" s="595">
        <f t="shared" si="5"/>
        <v>650000</v>
      </c>
      <c r="F57" s="519">
        <f t="shared" si="4"/>
        <v>112.95594977077934</v>
      </c>
      <c r="G57" s="525">
        <f>'[1]Kiadások COFOG szerint'!G278</f>
        <v>5667000</v>
      </c>
      <c r="H57" s="594"/>
    </row>
    <row r="58" spans="1:12" ht="20.100000000000001" customHeight="1" x14ac:dyDescent="0.2">
      <c r="A58" s="521" t="s">
        <v>661</v>
      </c>
      <c r="B58" s="522" t="s">
        <v>662</v>
      </c>
      <c r="C58" s="523">
        <v>0</v>
      </c>
      <c r="D58" s="524"/>
      <c r="E58" s="593">
        <f t="shared" si="5"/>
        <v>0</v>
      </c>
      <c r="F58" s="519"/>
      <c r="G58" s="525"/>
      <c r="H58" s="594"/>
    </row>
    <row r="59" spans="1:12" ht="18.75" customHeight="1" thickBot="1" x14ac:dyDescent="0.25">
      <c r="A59" s="526" t="s">
        <v>663</v>
      </c>
      <c r="B59" s="527" t="s">
        <v>664</v>
      </c>
      <c r="C59" s="528">
        <v>500000</v>
      </c>
      <c r="D59" s="529">
        <v>500000</v>
      </c>
      <c r="E59" s="596">
        <f t="shared" si="5"/>
        <v>0</v>
      </c>
      <c r="F59" s="519">
        <f t="shared" si="4"/>
        <v>100</v>
      </c>
      <c r="G59" s="530">
        <f>'[1]Kiadások COFOG szerint'!G277</f>
        <v>500000</v>
      </c>
      <c r="H59" s="594"/>
    </row>
    <row r="60" spans="1:12" ht="25.5" customHeight="1" thickBot="1" x14ac:dyDescent="0.25">
      <c r="A60" s="840" t="s">
        <v>665</v>
      </c>
      <c r="B60" s="840"/>
      <c r="C60" s="585">
        <v>10707000</v>
      </c>
      <c r="D60" s="581">
        <v>10810500</v>
      </c>
      <c r="E60" s="581">
        <f>SUM(E53:E59)</f>
        <v>0</v>
      </c>
      <c r="F60" s="586">
        <f>G60/D60*100</f>
        <v>100</v>
      </c>
      <c r="G60" s="582">
        <f>SUM(G53:G59)</f>
        <v>10810500</v>
      </c>
      <c r="H60" s="594"/>
    </row>
    <row r="61" spans="1:12" ht="24.95" customHeight="1" x14ac:dyDescent="0.2">
      <c r="A61" s="515" t="s">
        <v>487</v>
      </c>
      <c r="B61" s="516" t="s">
        <v>488</v>
      </c>
      <c r="C61" s="517">
        <v>0</v>
      </c>
      <c r="D61" s="518">
        <v>0</v>
      </c>
      <c r="E61" s="518">
        <f>G61-D61</f>
        <v>0</v>
      </c>
      <c r="F61" s="519"/>
      <c r="G61" s="520">
        <f>'[1]Kiadások COFOG szerint'!G93</f>
        <v>0</v>
      </c>
      <c r="H61" s="594"/>
    </row>
    <row r="62" spans="1:12" ht="24.95" customHeight="1" x14ac:dyDescent="0.2">
      <c r="A62" s="521" t="s">
        <v>489</v>
      </c>
      <c r="B62" s="522" t="s">
        <v>490</v>
      </c>
      <c r="C62" s="523">
        <v>0</v>
      </c>
      <c r="D62" s="524"/>
      <c r="E62" s="518">
        <f t="shared" ref="E62:E65" si="6">G62-D62</f>
        <v>0</v>
      </c>
      <c r="F62" s="519"/>
      <c r="G62" s="525"/>
      <c r="H62" s="594"/>
      <c r="L62" s="3"/>
    </row>
    <row r="63" spans="1:12" ht="24.95" customHeight="1" x14ac:dyDescent="0.2">
      <c r="A63" s="521" t="s">
        <v>534</v>
      </c>
      <c r="B63" s="522" t="s">
        <v>666</v>
      </c>
      <c r="C63" s="523">
        <v>6956000</v>
      </c>
      <c r="D63" s="524">
        <v>7156000</v>
      </c>
      <c r="E63" s="518">
        <f t="shared" si="6"/>
        <v>0</v>
      </c>
      <c r="F63" s="519">
        <f t="shared" ref="F63:F65" si="7">G63/D63*100</f>
        <v>100</v>
      </c>
      <c r="G63" s="525">
        <f>'[1]Kiadások COFOG szerint'!G99</f>
        <v>7156000</v>
      </c>
      <c r="H63" s="597"/>
    </row>
    <row r="64" spans="1:12" ht="24.95" customHeight="1" x14ac:dyDescent="0.2">
      <c r="A64" s="521" t="s">
        <v>667</v>
      </c>
      <c r="B64" s="522" t="s">
        <v>668</v>
      </c>
      <c r="C64" s="523">
        <v>0</v>
      </c>
      <c r="D64" s="524"/>
      <c r="E64" s="518">
        <f t="shared" si="6"/>
        <v>0</v>
      </c>
      <c r="F64" s="519"/>
      <c r="G64" s="525"/>
      <c r="H64" s="597"/>
    </row>
    <row r="65" spans="1:10" ht="24.95" customHeight="1" thickBot="1" x14ac:dyDescent="0.25">
      <c r="A65" s="526" t="s">
        <v>491</v>
      </c>
      <c r="B65" s="527" t="s">
        <v>669</v>
      </c>
      <c r="C65" s="528">
        <v>6297000</v>
      </c>
      <c r="D65" s="529">
        <v>6207000</v>
      </c>
      <c r="E65" s="518">
        <f t="shared" si="6"/>
        <v>0</v>
      </c>
      <c r="F65" s="519">
        <f t="shared" si="7"/>
        <v>100</v>
      </c>
      <c r="G65" s="530">
        <f>'[1]Kiadások COFOG szerint'!G220</f>
        <v>6207000</v>
      </c>
      <c r="H65" s="597"/>
    </row>
    <row r="66" spans="1:10" ht="24.95" customHeight="1" thickBot="1" x14ac:dyDescent="0.25">
      <c r="A66" s="848" t="s">
        <v>670</v>
      </c>
      <c r="B66" s="848"/>
      <c r="C66" s="598">
        <v>13253000</v>
      </c>
      <c r="D66" s="599">
        <v>13363000</v>
      </c>
      <c r="E66" s="599">
        <f>SUM(E61:E65)</f>
        <v>0</v>
      </c>
      <c r="F66" s="600">
        <f>G66/D66*100</f>
        <v>100</v>
      </c>
      <c r="G66" s="601">
        <f>SUM(G61:G65)</f>
        <v>13363000</v>
      </c>
      <c r="H66" s="594"/>
    </row>
    <row r="67" spans="1:10" ht="20.100000000000001" customHeight="1" x14ac:dyDescent="0.2">
      <c r="A67" s="515" t="s">
        <v>494</v>
      </c>
      <c r="B67" s="516" t="s">
        <v>495</v>
      </c>
      <c r="C67" s="517">
        <v>0</v>
      </c>
      <c r="D67" s="518">
        <v>2363000</v>
      </c>
      <c r="E67" s="602">
        <f>G67-D67</f>
        <v>0</v>
      </c>
      <c r="F67" s="603">
        <f t="shared" ref="F67:F74" si="8">G67/D67*100</f>
        <v>100</v>
      </c>
      <c r="G67" s="520">
        <f>'[1]Kiadások COFOG szerint'!G43+'[1]Kiadások COFOG szerint'!G77</f>
        <v>2363000</v>
      </c>
      <c r="H67" s="594"/>
    </row>
    <row r="68" spans="1:10" ht="20.100000000000001" customHeight="1" x14ac:dyDescent="0.2">
      <c r="A68" s="521" t="s">
        <v>671</v>
      </c>
      <c r="B68" s="522" t="s">
        <v>672</v>
      </c>
      <c r="C68" s="523">
        <v>0</v>
      </c>
      <c r="D68" s="524">
        <v>0</v>
      </c>
      <c r="E68" s="602">
        <f t="shared" ref="E68:E73" si="9">G68-D68</f>
        <v>0</v>
      </c>
      <c r="F68" s="603"/>
      <c r="G68" s="525">
        <v>0</v>
      </c>
      <c r="H68" s="594"/>
    </row>
    <row r="69" spans="1:10" ht="20.100000000000001" customHeight="1" x14ac:dyDescent="0.2">
      <c r="A69" s="521" t="s">
        <v>496</v>
      </c>
      <c r="B69" s="522" t="s">
        <v>497</v>
      </c>
      <c r="C69" s="523">
        <v>0</v>
      </c>
      <c r="D69" s="524">
        <v>389500</v>
      </c>
      <c r="E69" s="602">
        <f t="shared" si="9"/>
        <v>0</v>
      </c>
      <c r="F69" s="603">
        <f t="shared" si="8"/>
        <v>100</v>
      </c>
      <c r="G69" s="525">
        <f>'[1]Kiadások COFOG szerint'!G44</f>
        <v>389500</v>
      </c>
      <c r="H69" s="597"/>
    </row>
    <row r="70" spans="1:10" ht="20.100000000000001" customHeight="1" x14ac:dyDescent="0.2">
      <c r="A70" s="521" t="s">
        <v>498</v>
      </c>
      <c r="B70" s="522" t="s">
        <v>499</v>
      </c>
      <c r="C70" s="523">
        <v>0</v>
      </c>
      <c r="D70" s="524">
        <v>2614000</v>
      </c>
      <c r="E70" s="602">
        <f t="shared" si="9"/>
        <v>86000</v>
      </c>
      <c r="F70" s="603">
        <f t="shared" si="8"/>
        <v>103.28997704667178</v>
      </c>
      <c r="G70" s="525">
        <f>'[1]Kiadások COFOG szerint'!G45+'[1]Kiadások COFOG szerint'!G109+'[1]Kiadások COFOG szerint'!G167+'[1]Kiadások COFOG szerint'!G194+'[1]Kiadások COFOG szerint'!G214+'[1]Kiadások COFOG szerint'!G234</f>
        <v>2700000</v>
      </c>
      <c r="H70" s="597"/>
      <c r="J70" s="154"/>
    </row>
    <row r="71" spans="1:10" ht="20.100000000000001" customHeight="1" x14ac:dyDescent="0.2">
      <c r="A71" s="521" t="s">
        <v>500</v>
      </c>
      <c r="B71" s="522" t="s">
        <v>673</v>
      </c>
      <c r="C71" s="523">
        <v>0</v>
      </c>
      <c r="D71" s="524">
        <v>1636000</v>
      </c>
      <c r="E71" s="602">
        <f t="shared" si="9"/>
        <v>24000</v>
      </c>
      <c r="F71" s="603">
        <f t="shared" si="8"/>
        <v>101.46699266503667</v>
      </c>
      <c r="G71" s="525">
        <f>'[1]Kiadások COFOG szerint'!G46+'[1]Kiadások COFOG szerint'!G78+'[1]Kiadások COFOG szerint'!G110+'[1]Kiadások COFOG szerint'!G168+'[1]Kiadások COFOG szerint'!G195+'[1]Kiadások COFOG szerint'!G215+'[1]Kiadások COFOG szerint'!G235</f>
        <v>1660000</v>
      </c>
      <c r="H71" s="597"/>
    </row>
    <row r="72" spans="1:10" ht="20.100000000000001" customHeight="1" x14ac:dyDescent="0.2">
      <c r="A72" s="521" t="s">
        <v>501</v>
      </c>
      <c r="B72" s="522" t="s">
        <v>502</v>
      </c>
      <c r="C72" s="523">
        <v>46582677</v>
      </c>
      <c r="D72" s="524">
        <v>146360000</v>
      </c>
      <c r="E72" s="602">
        <f t="shared" si="9"/>
        <v>14830000</v>
      </c>
      <c r="F72" s="603">
        <f t="shared" si="8"/>
        <v>110.13254987701558</v>
      </c>
      <c r="G72" s="525">
        <f>'[1]Kiadások COFOG szerint'!G129+'[1]Kiadások COFOG szerint'!G169+'[1]Kiadások COFOG szerint'!G196</f>
        <v>161190000</v>
      </c>
      <c r="H72" s="597"/>
    </row>
    <row r="73" spans="1:10" ht="20.100000000000001" customHeight="1" x14ac:dyDescent="0.2">
      <c r="A73" s="521" t="s">
        <v>518</v>
      </c>
      <c r="B73" s="522" t="s">
        <v>519</v>
      </c>
      <c r="C73" s="523">
        <v>6471537</v>
      </c>
      <c r="D73" s="524">
        <v>10863007</v>
      </c>
      <c r="E73" s="602">
        <f t="shared" si="9"/>
        <v>-44000</v>
      </c>
      <c r="F73" s="603">
        <f t="shared" si="8"/>
        <v>99.594955614039463</v>
      </c>
      <c r="G73" s="525">
        <f>'[1]Kiadások COFOG szerint'!G137</f>
        <v>10819007</v>
      </c>
      <c r="H73" s="597"/>
    </row>
    <row r="74" spans="1:10" ht="20.100000000000001" customHeight="1" thickBot="1" x14ac:dyDescent="0.25">
      <c r="A74" s="526" t="s">
        <v>503</v>
      </c>
      <c r="B74" s="527" t="s">
        <v>591</v>
      </c>
      <c r="C74" s="528">
        <v>4064639</v>
      </c>
      <c r="D74" s="529">
        <v>22211132</v>
      </c>
      <c r="E74" s="602">
        <f>G74-D74</f>
        <v>3744000</v>
      </c>
      <c r="F74" s="603">
        <f t="shared" si="8"/>
        <v>116.85641236115296</v>
      </c>
      <c r="G74" s="530">
        <f>'[1]Kiadások COFOG szerint'!G130+'[1]Kiadások COFOG szerint'!G138+'[1]Kiadások COFOG szerint'!G170+'[1]Kiadások COFOG szerint'!G197</f>
        <v>25955132</v>
      </c>
      <c r="H74" s="597"/>
    </row>
    <row r="75" spans="1:10" ht="24.95" customHeight="1" thickBot="1" x14ac:dyDescent="0.25">
      <c r="A75" s="840" t="s">
        <v>674</v>
      </c>
      <c r="B75" s="840"/>
      <c r="C75" s="585">
        <v>57118853</v>
      </c>
      <c r="D75" s="604">
        <v>186436639</v>
      </c>
      <c r="E75" s="604">
        <f>SUM(E67:E74)</f>
        <v>18640000</v>
      </c>
      <c r="F75" s="605">
        <f>G75/D75*100</f>
        <v>109.99803477469898</v>
      </c>
      <c r="G75" s="582">
        <f>SUM(G67:G74)</f>
        <v>205076639</v>
      </c>
      <c r="H75" s="597"/>
    </row>
    <row r="76" spans="1:10" ht="24.95" customHeight="1" thickBot="1" x14ac:dyDescent="0.25">
      <c r="A76" s="606" t="s">
        <v>527</v>
      </c>
      <c r="B76" s="607" t="s">
        <v>528</v>
      </c>
      <c r="C76" s="578">
        <v>0</v>
      </c>
      <c r="D76" s="579">
        <v>1263000</v>
      </c>
      <c r="E76" s="579">
        <f>G76-D76</f>
        <v>0</v>
      </c>
      <c r="F76" s="605">
        <f t="shared" ref="F76:F78" si="10">G76/D76*100</f>
        <v>100</v>
      </c>
      <c r="G76" s="608">
        <f>'[1]Kiadások COFOG szerint'!G171</f>
        <v>1263000</v>
      </c>
      <c r="H76" s="597"/>
    </row>
    <row r="77" spans="1:10" ht="24.95" customHeight="1" thickBot="1" x14ac:dyDescent="0.25">
      <c r="A77" s="609" t="s">
        <v>511</v>
      </c>
      <c r="B77" s="610" t="s">
        <v>512</v>
      </c>
      <c r="C77" s="578">
        <v>0</v>
      </c>
      <c r="D77" s="611">
        <v>6042266</v>
      </c>
      <c r="E77" s="612">
        <f>G77-D77</f>
        <v>0</v>
      </c>
      <c r="F77" s="605">
        <f t="shared" si="10"/>
        <v>100</v>
      </c>
      <c r="G77" s="613">
        <f>'[1]Kiadások COFOG szerint'!G94</f>
        <v>6042266</v>
      </c>
      <c r="H77" s="597"/>
    </row>
    <row r="78" spans="1:10" ht="24.95" customHeight="1" thickBot="1" x14ac:dyDescent="0.25">
      <c r="A78" s="614" t="s">
        <v>513</v>
      </c>
      <c r="B78" s="610" t="s">
        <v>514</v>
      </c>
      <c r="C78" s="615">
        <v>141869501</v>
      </c>
      <c r="D78" s="616">
        <v>149377101</v>
      </c>
      <c r="E78" s="612">
        <f>G78-D78</f>
        <v>0</v>
      </c>
      <c r="F78" s="605">
        <f t="shared" si="10"/>
        <v>100</v>
      </c>
      <c r="G78" s="608">
        <f>'[1]Kiadások COFOG szerint'!G100</f>
        <v>149377101</v>
      </c>
      <c r="H78" s="597"/>
    </row>
    <row r="79" spans="1:10" ht="24.95" customHeight="1" thickBot="1" x14ac:dyDescent="0.25">
      <c r="A79" s="849" t="s">
        <v>492</v>
      </c>
      <c r="B79" s="617" t="s">
        <v>675</v>
      </c>
      <c r="C79" s="618">
        <v>6504007</v>
      </c>
      <c r="D79" s="619">
        <v>7998120</v>
      </c>
      <c r="E79" s="620">
        <f>G79-D79</f>
        <v>99268868</v>
      </c>
      <c r="F79" s="621">
        <f>G79/D79*100</f>
        <v>1341.152520842398</v>
      </c>
      <c r="G79" s="622">
        <f>'[1]Kiadások COFOG szerint'!G40</f>
        <v>107266988</v>
      </c>
      <c r="H79" s="597"/>
    </row>
    <row r="80" spans="1:10" ht="20.25" customHeight="1" thickBot="1" x14ac:dyDescent="0.25">
      <c r="A80" s="849"/>
      <c r="B80" s="623" t="s">
        <v>676</v>
      </c>
      <c r="C80" s="624">
        <v>107617000</v>
      </c>
      <c r="D80" s="625">
        <v>25285270</v>
      </c>
      <c r="E80" s="626">
        <f t="shared" ref="E80:E81" si="11">G80-D80</f>
        <v>-25285270</v>
      </c>
      <c r="F80" s="627">
        <f>G80/D80*100</f>
        <v>0</v>
      </c>
      <c r="G80" s="628">
        <f>'[1]Kiadások COFOG szerint'!G41</f>
        <v>0</v>
      </c>
      <c r="H80" s="597"/>
    </row>
    <row r="81" spans="1:8" ht="20.25" customHeight="1" thickBot="1" x14ac:dyDescent="0.25">
      <c r="A81" s="849"/>
      <c r="B81" s="629" t="s">
        <v>493</v>
      </c>
      <c r="C81" s="630">
        <v>0</v>
      </c>
      <c r="D81" s="631">
        <v>0</v>
      </c>
      <c r="E81" s="632">
        <f t="shared" si="11"/>
        <v>0</v>
      </c>
      <c r="F81" s="633"/>
      <c r="G81" s="634">
        <f>'[1]Kiadások COFOG szerint'!G42</f>
        <v>0</v>
      </c>
      <c r="H81" s="597"/>
    </row>
    <row r="82" spans="1:8" ht="22.5" customHeight="1" thickBot="1" x14ac:dyDescent="0.3">
      <c r="A82" s="850" t="s">
        <v>155</v>
      </c>
      <c r="B82" s="850"/>
      <c r="C82" s="464">
        <f>C19+C22+C52+C60+C66+C75+C76+C77+C78+C79+C80+C81</f>
        <v>425416438</v>
      </c>
      <c r="D82" s="464">
        <v>520040999.93000001</v>
      </c>
      <c r="E82" s="464">
        <f>E19+E22+E52+E60+E66+E75+E76+E77+E78+E79+E80+E81</f>
        <v>96091572</v>
      </c>
      <c r="F82" s="465">
        <f>G82/D82*100</f>
        <v>118.47769156911367</v>
      </c>
      <c r="G82" s="464">
        <f>G19+G22+G52+G60+G66+G75+G76+G77+G78+G79+G80+G81</f>
        <v>616132571.93000007</v>
      </c>
      <c r="H82" s="597"/>
    </row>
    <row r="85" spans="1:8" x14ac:dyDescent="0.2">
      <c r="B85" s="157" t="s">
        <v>625</v>
      </c>
      <c r="C85" s="573">
        <f>C82-'[1]Kiadások COFOG szerint'!C283</f>
        <v>0</v>
      </c>
      <c r="D85" s="573">
        <f>D82-'[1]Kiadások COFOG szerint'!D283</f>
        <v>0</v>
      </c>
      <c r="E85" s="573">
        <f>E82-'[1]Kiadások COFOG szerint'!E283</f>
        <v>0</v>
      </c>
      <c r="F85" s="573"/>
      <c r="G85" s="573">
        <f>G82-'[1]Kiadások COFOG szerint'!G283</f>
        <v>0</v>
      </c>
    </row>
  </sheetData>
  <mergeCells count="15">
    <mergeCell ref="A60:B60"/>
    <mergeCell ref="A66:B66"/>
    <mergeCell ref="A75:B75"/>
    <mergeCell ref="A79:A81"/>
    <mergeCell ref="A82:B82"/>
    <mergeCell ref="A19:B19"/>
    <mergeCell ref="A22:B22"/>
    <mergeCell ref="A52:B52"/>
    <mergeCell ref="A2:G2"/>
    <mergeCell ref="A3:G3"/>
    <mergeCell ref="A5:G5"/>
    <mergeCell ref="A6:A7"/>
    <mergeCell ref="B6:B7"/>
    <mergeCell ref="C6:F6"/>
    <mergeCell ref="G6:G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F22"/>
  <sheetViews>
    <sheetView zoomScaleNormal="100" workbookViewId="0">
      <selection activeCell="J14" sqref="J14"/>
    </sheetView>
  </sheetViews>
  <sheetFormatPr defaultRowHeight="12.75" x14ac:dyDescent="0.2"/>
  <cols>
    <col min="1" max="1" width="5.28515625" customWidth="1"/>
    <col min="2" max="2" width="64.5703125" customWidth="1"/>
  </cols>
  <sheetData>
    <row r="1" spans="1:6" ht="15" x14ac:dyDescent="0.2">
      <c r="A1" s="956" t="s">
        <v>386</v>
      </c>
      <c r="B1" s="956"/>
      <c r="C1" s="956"/>
      <c r="D1" s="956"/>
      <c r="E1" s="956"/>
      <c r="F1" s="12"/>
    </row>
    <row r="2" spans="1:6" ht="15" x14ac:dyDescent="0.2">
      <c r="B2" s="11"/>
      <c r="C2" s="11"/>
      <c r="D2" s="11"/>
      <c r="E2" s="11"/>
      <c r="F2" s="11"/>
    </row>
    <row r="3" spans="1:6" ht="42" customHeight="1" x14ac:dyDescent="0.2">
      <c r="B3" s="1040" t="s">
        <v>268</v>
      </c>
      <c r="C3" s="1040"/>
      <c r="D3" s="1040"/>
      <c r="E3" s="1040"/>
    </row>
    <row r="4" spans="1:6" ht="15" thickBot="1" x14ac:dyDescent="0.25">
      <c r="B4" s="92"/>
      <c r="C4" s="92"/>
      <c r="D4" s="93"/>
      <c r="E4" s="94" t="s">
        <v>11</v>
      </c>
    </row>
    <row r="5" spans="1:6" ht="18.75" customHeight="1" thickBot="1" x14ac:dyDescent="0.3">
      <c r="A5" s="96"/>
      <c r="B5" s="97" t="s">
        <v>8</v>
      </c>
      <c r="C5" s="97">
        <v>2019</v>
      </c>
      <c r="D5" s="98">
        <v>2020</v>
      </c>
      <c r="E5" s="99">
        <v>2021</v>
      </c>
    </row>
    <row r="6" spans="1:6" ht="18.75" customHeight="1" x14ac:dyDescent="0.25">
      <c r="A6" s="108" t="s">
        <v>15</v>
      </c>
      <c r="B6" s="100" t="s">
        <v>269</v>
      </c>
      <c r="C6" s="117">
        <f>C7+C11</f>
        <v>109208</v>
      </c>
      <c r="D6" s="117">
        <f t="shared" ref="D6:E6" si="0">D7+D8+D9+D10+D11+D12</f>
        <v>70300</v>
      </c>
      <c r="E6" s="119">
        <f t="shared" si="0"/>
        <v>70200</v>
      </c>
    </row>
    <row r="7" spans="1:6" ht="18.75" customHeight="1" x14ac:dyDescent="0.25">
      <c r="A7" s="109" t="s">
        <v>271</v>
      </c>
      <c r="B7" s="101" t="s">
        <v>270</v>
      </c>
      <c r="C7" s="102">
        <v>109008</v>
      </c>
      <c r="D7" s="102">
        <v>70000</v>
      </c>
      <c r="E7" s="110">
        <v>70000</v>
      </c>
    </row>
    <row r="8" spans="1:6" ht="35.25" customHeight="1" x14ac:dyDescent="0.25">
      <c r="A8" s="109" t="s">
        <v>273</v>
      </c>
      <c r="B8" s="101" t="s">
        <v>272</v>
      </c>
      <c r="C8" s="141"/>
      <c r="D8" s="141"/>
      <c r="E8" s="142"/>
    </row>
    <row r="9" spans="1:6" ht="19.5" customHeight="1" x14ac:dyDescent="0.25">
      <c r="A9" s="109" t="s">
        <v>274</v>
      </c>
      <c r="B9" s="101" t="s">
        <v>275</v>
      </c>
      <c r="C9" s="141"/>
      <c r="D9" s="141"/>
      <c r="E9" s="142"/>
    </row>
    <row r="10" spans="1:6" ht="32.25" customHeight="1" x14ac:dyDescent="0.25">
      <c r="A10" s="109" t="s">
        <v>276</v>
      </c>
      <c r="B10" s="101" t="s">
        <v>277</v>
      </c>
      <c r="C10" s="141"/>
      <c r="D10" s="141"/>
      <c r="E10" s="142"/>
    </row>
    <row r="11" spans="1:6" ht="18.75" customHeight="1" x14ac:dyDescent="0.25">
      <c r="A11" s="109" t="s">
        <v>278</v>
      </c>
      <c r="B11" s="101" t="s">
        <v>279</v>
      </c>
      <c r="C11" s="102">
        <v>200</v>
      </c>
      <c r="D11" s="102">
        <v>300</v>
      </c>
      <c r="E11" s="110">
        <v>200</v>
      </c>
    </row>
    <row r="12" spans="1:6" ht="18.75" customHeight="1" x14ac:dyDescent="0.25">
      <c r="A12" s="109" t="s">
        <v>280</v>
      </c>
      <c r="B12" s="101" t="s">
        <v>281</v>
      </c>
      <c r="C12" s="102"/>
      <c r="D12" s="102"/>
      <c r="E12" s="110"/>
    </row>
    <row r="13" spans="1:6" ht="18.75" customHeight="1" x14ac:dyDescent="0.25">
      <c r="A13" s="111" t="s">
        <v>37</v>
      </c>
      <c r="B13" s="103" t="s">
        <v>282</v>
      </c>
      <c r="C13" s="102"/>
      <c r="D13" s="102"/>
      <c r="E13" s="110"/>
    </row>
    <row r="14" spans="1:6" ht="18.75" customHeight="1" x14ac:dyDescent="0.25">
      <c r="A14" s="111" t="s">
        <v>38</v>
      </c>
      <c r="B14" s="104" t="s">
        <v>283</v>
      </c>
      <c r="C14" s="118">
        <f>C15+C16+C17+C18+C19+C20+C21</f>
        <v>0</v>
      </c>
      <c r="D14" s="118">
        <f t="shared" ref="D14:E14" si="1">D15+D16+D17+D18+D19+D20+D21</f>
        <v>0</v>
      </c>
      <c r="E14" s="120">
        <f t="shared" si="1"/>
        <v>0</v>
      </c>
    </row>
    <row r="15" spans="1:6" ht="18.75" customHeight="1" x14ac:dyDescent="0.25">
      <c r="A15" s="109" t="s">
        <v>284</v>
      </c>
      <c r="B15" s="101" t="s">
        <v>285</v>
      </c>
      <c r="C15" s="105">
        <v>0</v>
      </c>
      <c r="D15" s="105">
        <v>0</v>
      </c>
      <c r="E15" s="112">
        <v>0</v>
      </c>
    </row>
    <row r="16" spans="1:6" ht="24" customHeight="1" x14ac:dyDescent="0.25">
      <c r="A16" s="109" t="s">
        <v>286</v>
      </c>
      <c r="B16" s="106" t="s">
        <v>287</v>
      </c>
      <c r="C16" s="105">
        <v>0</v>
      </c>
      <c r="D16" s="105">
        <v>0</v>
      </c>
      <c r="E16" s="112">
        <v>0</v>
      </c>
    </row>
    <row r="17" spans="1:5" ht="22.5" customHeight="1" x14ac:dyDescent="0.25">
      <c r="A17" s="109" t="s">
        <v>288</v>
      </c>
      <c r="B17" s="101" t="s">
        <v>289</v>
      </c>
      <c r="C17" s="105">
        <v>0</v>
      </c>
      <c r="D17" s="105">
        <v>0</v>
      </c>
      <c r="E17" s="112">
        <v>0</v>
      </c>
    </row>
    <row r="18" spans="1:5" ht="15.75" x14ac:dyDescent="0.25">
      <c r="A18" s="109" t="s">
        <v>291</v>
      </c>
      <c r="B18" s="107" t="s">
        <v>290</v>
      </c>
      <c r="C18" s="107">
        <v>0</v>
      </c>
      <c r="D18" s="107">
        <v>0</v>
      </c>
      <c r="E18" s="113">
        <v>0</v>
      </c>
    </row>
    <row r="19" spans="1:5" ht="15.75" x14ac:dyDescent="0.25">
      <c r="A19" s="109" t="s">
        <v>292</v>
      </c>
      <c r="B19" s="107" t="s">
        <v>293</v>
      </c>
      <c r="C19" s="107">
        <v>0</v>
      </c>
      <c r="D19" s="107">
        <v>0</v>
      </c>
      <c r="E19" s="113">
        <v>0</v>
      </c>
    </row>
    <row r="20" spans="1:5" ht="15.75" x14ac:dyDescent="0.25">
      <c r="A20" s="109" t="s">
        <v>294</v>
      </c>
      <c r="B20" s="107" t="s">
        <v>295</v>
      </c>
      <c r="C20" s="107">
        <v>0</v>
      </c>
      <c r="D20" s="107">
        <v>0</v>
      </c>
      <c r="E20" s="113">
        <v>0</v>
      </c>
    </row>
    <row r="21" spans="1:5" ht="16.5" thickBot="1" x14ac:dyDescent="0.3">
      <c r="A21" s="114" t="s">
        <v>296</v>
      </c>
      <c r="B21" s="115" t="s">
        <v>297</v>
      </c>
      <c r="C21" s="115">
        <v>0</v>
      </c>
      <c r="D21" s="115">
        <v>0</v>
      </c>
      <c r="E21" s="116">
        <v>0</v>
      </c>
    </row>
    <row r="22" spans="1:5" x14ac:dyDescent="0.2">
      <c r="A22" s="95"/>
    </row>
  </sheetData>
  <mergeCells count="2">
    <mergeCell ref="B3:E3"/>
    <mergeCell ref="A1:E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0DF8-C670-4C29-A07C-19F118ECBF42}">
  <dimension ref="A1:G27"/>
  <sheetViews>
    <sheetView workbookViewId="0">
      <selection activeCell="K22" sqref="K22"/>
    </sheetView>
  </sheetViews>
  <sheetFormatPr defaultRowHeight="12.75" x14ac:dyDescent="0.2"/>
  <cols>
    <col min="1" max="1" width="12.28515625" customWidth="1"/>
    <col min="2" max="2" width="37.28515625" customWidth="1"/>
    <col min="3" max="3" width="14.28515625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5"/>
      <c r="G1" s="5"/>
    </row>
    <row r="2" spans="1:7" ht="15.75" x14ac:dyDescent="0.25">
      <c r="A2" s="832" t="s">
        <v>677</v>
      </c>
      <c r="B2" s="832"/>
      <c r="C2" s="832"/>
      <c r="D2" s="832"/>
      <c r="E2" s="832"/>
      <c r="F2" s="832"/>
      <c r="G2" s="832"/>
    </row>
    <row r="3" spans="1:7" ht="15.75" x14ac:dyDescent="0.25">
      <c r="A3" s="832" t="s">
        <v>254</v>
      </c>
      <c r="B3" s="832"/>
      <c r="C3" s="832"/>
      <c r="D3" s="832"/>
      <c r="E3" s="832"/>
      <c r="F3" s="832"/>
      <c r="G3" s="832"/>
    </row>
    <row r="4" spans="1:7" ht="13.5" thickBot="1" x14ac:dyDescent="0.25">
      <c r="G4" s="158" t="s">
        <v>392</v>
      </c>
    </row>
    <row r="5" spans="1:7" ht="15.75" x14ac:dyDescent="0.25">
      <c r="A5" s="859" t="s">
        <v>536</v>
      </c>
      <c r="B5" s="860"/>
      <c r="C5" s="860"/>
      <c r="D5" s="860"/>
      <c r="E5" s="860"/>
      <c r="F5" s="860"/>
      <c r="G5" s="861"/>
    </row>
    <row r="6" spans="1:7" ht="14.25" x14ac:dyDescent="0.2">
      <c r="A6" s="855" t="s">
        <v>394</v>
      </c>
      <c r="B6" s="857" t="s">
        <v>395</v>
      </c>
      <c r="C6" s="862">
        <v>2019</v>
      </c>
      <c r="D6" s="863"/>
      <c r="E6" s="863"/>
      <c r="F6" s="864"/>
      <c r="G6" s="635">
        <v>2019</v>
      </c>
    </row>
    <row r="7" spans="1:7" ht="13.5" thickBot="1" x14ac:dyDescent="0.25">
      <c r="A7" s="856"/>
      <c r="B7" s="858"/>
      <c r="C7" s="636" t="s">
        <v>537</v>
      </c>
      <c r="D7" s="637" t="s">
        <v>600</v>
      </c>
      <c r="E7" s="636" t="s">
        <v>397</v>
      </c>
      <c r="F7" s="636" t="s">
        <v>398</v>
      </c>
      <c r="G7" s="638" t="s">
        <v>678</v>
      </c>
    </row>
    <row r="8" spans="1:7" ht="24" x14ac:dyDescent="0.2">
      <c r="A8" s="167" t="s">
        <v>428</v>
      </c>
      <c r="B8" s="168" t="s">
        <v>429</v>
      </c>
      <c r="C8" s="176">
        <v>816000</v>
      </c>
      <c r="D8" s="169">
        <v>816868</v>
      </c>
      <c r="E8" s="169">
        <f>G8-D8</f>
        <v>0</v>
      </c>
      <c r="F8" s="170">
        <f>G8/D8*100</f>
        <v>100</v>
      </c>
      <c r="G8" s="171">
        <v>816868</v>
      </c>
    </row>
    <row r="9" spans="1:7" x14ac:dyDescent="0.2">
      <c r="A9" s="865" t="s">
        <v>538</v>
      </c>
      <c r="B9" s="641" t="s">
        <v>539</v>
      </c>
      <c r="C9" s="470">
        <v>64890800</v>
      </c>
      <c r="D9" s="172">
        <v>72398400</v>
      </c>
      <c r="E9" s="169">
        <f>G9-D9</f>
        <v>0</v>
      </c>
      <c r="F9" s="170">
        <f t="shared" ref="F9:F12" si="0">G9/D9*100</f>
        <v>100</v>
      </c>
      <c r="G9" s="173">
        <f>G10+G12+G11</f>
        <v>72398400</v>
      </c>
    </row>
    <row r="10" spans="1:7" x14ac:dyDescent="0.2">
      <c r="A10" s="866"/>
      <c r="B10" s="642" t="s">
        <v>540</v>
      </c>
      <c r="C10" s="643">
        <v>59390800</v>
      </c>
      <c r="D10" s="644">
        <v>59390800</v>
      </c>
      <c r="E10" s="174">
        <f t="shared" ref="E10:E12" si="1">G10-D10</f>
        <v>0</v>
      </c>
      <c r="F10" s="175">
        <f t="shared" si="0"/>
        <v>100</v>
      </c>
      <c r="G10" s="645">
        <f>57295800+2095000</f>
        <v>59390800</v>
      </c>
    </row>
    <row r="11" spans="1:7" x14ac:dyDescent="0.2">
      <c r="A11" s="866"/>
      <c r="B11" s="642" t="s">
        <v>541</v>
      </c>
      <c r="C11" s="646">
        <v>0</v>
      </c>
      <c r="D11" s="647">
        <v>9507600</v>
      </c>
      <c r="E11" s="174">
        <f t="shared" si="1"/>
        <v>0</v>
      </c>
      <c r="F11" s="175">
        <f t="shared" si="0"/>
        <v>100</v>
      </c>
      <c r="G11" s="648">
        <v>9507600</v>
      </c>
    </row>
    <row r="12" spans="1:7" ht="13.5" thickBot="1" x14ac:dyDescent="0.25">
      <c r="A12" s="866"/>
      <c r="B12" s="649" t="s">
        <v>542</v>
      </c>
      <c r="C12" s="646">
        <v>5500000</v>
      </c>
      <c r="D12" s="647">
        <v>3500000</v>
      </c>
      <c r="E12" s="174">
        <f t="shared" si="1"/>
        <v>0</v>
      </c>
      <c r="F12" s="175">
        <f t="shared" si="0"/>
        <v>100</v>
      </c>
      <c r="G12" s="648">
        <v>3500000</v>
      </c>
    </row>
    <row r="13" spans="1:7" ht="16.5" thickBot="1" x14ac:dyDescent="0.3">
      <c r="A13" s="851" t="s">
        <v>83</v>
      </c>
      <c r="B13" s="852"/>
      <c r="C13" s="466">
        <v>65706800</v>
      </c>
      <c r="D13" s="159">
        <v>73215268</v>
      </c>
      <c r="E13" s="160">
        <f>SUM(E8:E9)</f>
        <v>0</v>
      </c>
      <c r="F13" s="161">
        <f>G13/D13*100</f>
        <v>100</v>
      </c>
      <c r="G13" s="159">
        <f>SUM(G8:G9)</f>
        <v>73215268</v>
      </c>
    </row>
    <row r="14" spans="1:7" ht="15.75" x14ac:dyDescent="0.25">
      <c r="A14" s="859" t="s">
        <v>543</v>
      </c>
      <c r="B14" s="860"/>
      <c r="C14" s="860"/>
      <c r="D14" s="860"/>
      <c r="E14" s="860"/>
      <c r="F14" s="860"/>
      <c r="G14" s="861"/>
    </row>
    <row r="15" spans="1:7" ht="14.25" x14ac:dyDescent="0.2">
      <c r="A15" s="855" t="s">
        <v>394</v>
      </c>
      <c r="B15" s="857" t="s">
        <v>395</v>
      </c>
      <c r="C15" s="862">
        <v>2019</v>
      </c>
      <c r="D15" s="863"/>
      <c r="E15" s="863"/>
      <c r="F15" s="864"/>
      <c r="G15" s="635">
        <v>2019</v>
      </c>
    </row>
    <row r="16" spans="1:7" ht="13.5" thickBot="1" x14ac:dyDescent="0.25">
      <c r="A16" s="856"/>
      <c r="B16" s="858"/>
      <c r="C16" s="636" t="s">
        <v>537</v>
      </c>
      <c r="D16" s="637" t="s">
        <v>600</v>
      </c>
      <c r="E16" s="636" t="s">
        <v>397</v>
      </c>
      <c r="F16" s="636" t="s">
        <v>398</v>
      </c>
      <c r="G16" s="638" t="s">
        <v>678</v>
      </c>
    </row>
    <row r="17" spans="1:7" ht="24" x14ac:dyDescent="0.2">
      <c r="A17" s="650" t="s">
        <v>401</v>
      </c>
      <c r="B17" s="651" t="s">
        <v>544</v>
      </c>
      <c r="C17" s="652">
        <v>5500000</v>
      </c>
      <c r="D17" s="652">
        <v>3500000</v>
      </c>
      <c r="E17" s="176">
        <f>G17-D17</f>
        <v>0</v>
      </c>
      <c r="F17" s="170">
        <f>G17/D17*100</f>
        <v>100</v>
      </c>
      <c r="G17" s="653">
        <v>3500000</v>
      </c>
    </row>
    <row r="18" spans="1:7" ht="24" x14ac:dyDescent="0.2">
      <c r="A18" s="167" t="s">
        <v>545</v>
      </c>
      <c r="B18" s="471" t="s">
        <v>546</v>
      </c>
      <c r="C18" s="176">
        <v>0</v>
      </c>
      <c r="D18" s="176">
        <v>93000</v>
      </c>
      <c r="E18" s="176">
        <f>G18-D18</f>
        <v>0</v>
      </c>
      <c r="F18" s="170">
        <f t="shared" ref="F18:F19" si="2">G18/D18*100</f>
        <v>100</v>
      </c>
      <c r="G18" s="177">
        <v>93000</v>
      </c>
    </row>
    <row r="19" spans="1:7" ht="13.5" thickBot="1" x14ac:dyDescent="0.25">
      <c r="A19" s="167" t="s">
        <v>547</v>
      </c>
      <c r="B19" s="168" t="s">
        <v>548</v>
      </c>
      <c r="C19" s="176">
        <v>0</v>
      </c>
      <c r="D19" s="176">
        <v>5616</v>
      </c>
      <c r="E19" s="176">
        <f>G19-D19</f>
        <v>0</v>
      </c>
      <c r="F19" s="170">
        <f t="shared" si="2"/>
        <v>100</v>
      </c>
      <c r="G19" s="177">
        <f>5659-43</f>
        <v>5616</v>
      </c>
    </row>
    <row r="20" spans="1:7" ht="16.5" thickBot="1" x14ac:dyDescent="0.3">
      <c r="A20" s="853" t="s">
        <v>83</v>
      </c>
      <c r="B20" s="854"/>
      <c r="C20" s="467">
        <v>5500000</v>
      </c>
      <c r="D20" s="162">
        <v>3598616</v>
      </c>
      <c r="E20" s="162">
        <f>SUM(E17:E19)</f>
        <v>0</v>
      </c>
      <c r="F20" s="163">
        <f>G20/D20*100</f>
        <v>100</v>
      </c>
      <c r="G20" s="162">
        <f>SUM(G17:G19)</f>
        <v>3598616</v>
      </c>
    </row>
    <row r="21" spans="1:7" ht="15.75" x14ac:dyDescent="0.25">
      <c r="A21" s="859" t="s">
        <v>549</v>
      </c>
      <c r="B21" s="860"/>
      <c r="C21" s="860"/>
      <c r="D21" s="860"/>
      <c r="E21" s="860"/>
      <c r="F21" s="860"/>
      <c r="G21" s="861"/>
    </row>
    <row r="22" spans="1:7" ht="14.25" x14ac:dyDescent="0.2">
      <c r="A22" s="855" t="s">
        <v>394</v>
      </c>
      <c r="B22" s="857" t="s">
        <v>395</v>
      </c>
      <c r="C22" s="862">
        <v>2019</v>
      </c>
      <c r="D22" s="863"/>
      <c r="E22" s="863"/>
      <c r="F22" s="864"/>
      <c r="G22" s="635">
        <v>2019</v>
      </c>
    </row>
    <row r="23" spans="1:7" ht="13.5" thickBot="1" x14ac:dyDescent="0.25">
      <c r="A23" s="856"/>
      <c r="B23" s="858"/>
      <c r="C23" s="636" t="s">
        <v>537</v>
      </c>
      <c r="D23" s="637" t="s">
        <v>600</v>
      </c>
      <c r="E23" s="636" t="s">
        <v>397</v>
      </c>
      <c r="F23" s="636" t="s">
        <v>398</v>
      </c>
      <c r="G23" s="638" t="s">
        <v>678</v>
      </c>
    </row>
    <row r="24" spans="1:7" ht="24.75" thickBot="1" x14ac:dyDescent="0.25">
      <c r="A24" s="650" t="s">
        <v>401</v>
      </c>
      <c r="B24" s="651" t="s">
        <v>550</v>
      </c>
      <c r="C24" s="654">
        <v>0</v>
      </c>
      <c r="D24" s="652">
        <v>3006116</v>
      </c>
      <c r="E24" s="176">
        <f>G24-D24</f>
        <v>120076</v>
      </c>
      <c r="F24" s="170">
        <f>G24/D24*100</f>
        <v>103.99439010337592</v>
      </c>
      <c r="G24" s="653">
        <v>3126192</v>
      </c>
    </row>
    <row r="25" spans="1:7" ht="16.5" thickBot="1" x14ac:dyDescent="0.3">
      <c r="A25" s="851" t="s">
        <v>83</v>
      </c>
      <c r="B25" s="852"/>
      <c r="C25" s="468">
        <v>0</v>
      </c>
      <c r="D25" s="159">
        <v>3006116</v>
      </c>
      <c r="E25" s="159">
        <f>SUM(E24:E24)</f>
        <v>120076</v>
      </c>
      <c r="F25" s="161">
        <f>G25/D25*100</f>
        <v>103.99439010337592</v>
      </c>
      <c r="G25" s="159">
        <f>SUM(G24:G24)</f>
        <v>3126192</v>
      </c>
    </row>
    <row r="26" spans="1:7" ht="16.5" thickBot="1" x14ac:dyDescent="0.3">
      <c r="A26" s="164"/>
      <c r="B26" s="164"/>
      <c r="C26" s="164"/>
      <c r="D26" s="156"/>
      <c r="E26" s="156"/>
      <c r="F26" s="165"/>
      <c r="G26" s="156"/>
    </row>
    <row r="27" spans="1:7" ht="16.5" thickBot="1" x14ac:dyDescent="0.3">
      <c r="A27" s="851" t="s">
        <v>551</v>
      </c>
      <c r="B27" s="852"/>
      <c r="C27" s="469"/>
      <c r="D27" s="159">
        <f>D13+D20+D25</f>
        <v>79820000</v>
      </c>
      <c r="E27" s="159">
        <f>E13+E20+E25</f>
        <v>120076</v>
      </c>
      <c r="F27" s="166">
        <f>G27/D27*100</f>
        <v>100.15043347531946</v>
      </c>
      <c r="G27" s="159">
        <f>G13+G20+G25</f>
        <v>79940076</v>
      </c>
    </row>
  </sheetData>
  <mergeCells count="19">
    <mergeCell ref="A6:A7"/>
    <mergeCell ref="B6:B7"/>
    <mergeCell ref="A2:G2"/>
    <mergeCell ref="A3:G3"/>
    <mergeCell ref="A5:G5"/>
    <mergeCell ref="C6:F6"/>
    <mergeCell ref="A9:A12"/>
    <mergeCell ref="A13:B13"/>
    <mergeCell ref="A15:A16"/>
    <mergeCell ref="B15:B16"/>
    <mergeCell ref="A14:G14"/>
    <mergeCell ref="C15:F15"/>
    <mergeCell ref="A27:B27"/>
    <mergeCell ref="A20:B20"/>
    <mergeCell ref="A22:A23"/>
    <mergeCell ref="B22:B23"/>
    <mergeCell ref="A25:B25"/>
    <mergeCell ref="A21:G21"/>
    <mergeCell ref="C22:F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90A71-1359-4B1B-A878-234A984DF445}">
  <dimension ref="A1:K47"/>
  <sheetViews>
    <sheetView workbookViewId="0">
      <selection activeCell="I49" sqref="I49"/>
    </sheetView>
  </sheetViews>
  <sheetFormatPr defaultRowHeight="12.75" x14ac:dyDescent="0.2"/>
  <cols>
    <col min="1" max="1" width="12.28515625" customWidth="1"/>
    <col min="2" max="2" width="38.140625" customWidth="1"/>
    <col min="3" max="3" width="16.42578125" customWidth="1"/>
    <col min="4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8" x14ac:dyDescent="0.2">
      <c r="F1" s="5"/>
      <c r="G1" s="5"/>
    </row>
    <row r="2" spans="1:8" ht="15.75" x14ac:dyDescent="0.25">
      <c r="A2" s="832" t="s">
        <v>677</v>
      </c>
      <c r="B2" s="832"/>
      <c r="C2" s="832"/>
      <c r="D2" s="832"/>
      <c r="E2" s="832"/>
      <c r="F2" s="832"/>
      <c r="G2" s="832"/>
    </row>
    <row r="3" spans="1:8" ht="15.75" x14ac:dyDescent="0.25">
      <c r="A3" s="832" t="s">
        <v>254</v>
      </c>
      <c r="B3" s="832"/>
      <c r="C3" s="832"/>
      <c r="D3" s="832"/>
      <c r="E3" s="832"/>
      <c r="F3" s="832"/>
      <c r="G3" s="832"/>
    </row>
    <row r="4" spans="1:8" ht="13.5" thickBot="1" x14ac:dyDescent="0.25">
      <c r="G4" s="158" t="s">
        <v>392</v>
      </c>
    </row>
    <row r="5" spans="1:8" ht="16.5" thickBot="1" x14ac:dyDescent="0.3">
      <c r="A5" s="872" t="s">
        <v>2</v>
      </c>
      <c r="B5" s="873"/>
      <c r="C5" s="873"/>
      <c r="D5" s="873"/>
      <c r="E5" s="873"/>
      <c r="F5" s="873"/>
      <c r="G5" s="874"/>
    </row>
    <row r="6" spans="1:8" x14ac:dyDescent="0.2">
      <c r="A6" s="875" t="s">
        <v>394</v>
      </c>
      <c r="B6" s="877" t="s">
        <v>395</v>
      </c>
      <c r="C6" s="879">
        <v>2019</v>
      </c>
      <c r="D6" s="880"/>
      <c r="E6" s="880"/>
      <c r="F6" s="881"/>
      <c r="G6" s="655">
        <v>2019</v>
      </c>
    </row>
    <row r="7" spans="1:8" ht="13.5" thickBot="1" x14ac:dyDescent="0.25">
      <c r="A7" s="876"/>
      <c r="B7" s="878"/>
      <c r="C7" s="656" t="s">
        <v>537</v>
      </c>
      <c r="D7" s="657" t="s">
        <v>679</v>
      </c>
      <c r="E7" s="656" t="s">
        <v>397</v>
      </c>
      <c r="F7" s="656" t="s">
        <v>398</v>
      </c>
      <c r="G7" s="658" t="s">
        <v>680</v>
      </c>
    </row>
    <row r="8" spans="1:8" x14ac:dyDescent="0.2">
      <c r="A8" s="671" t="s">
        <v>446</v>
      </c>
      <c r="B8" s="672" t="s">
        <v>529</v>
      </c>
      <c r="C8" s="673">
        <v>41152225</v>
      </c>
      <c r="D8" s="673">
        <v>51900000</v>
      </c>
      <c r="E8" s="673">
        <f>G8-D8</f>
        <v>-195000</v>
      </c>
      <c r="F8" s="170">
        <f>G8/D8*100</f>
        <v>99.624277456647405</v>
      </c>
      <c r="G8" s="177">
        <f>'[2]Kiadások COFOG szerint'!G9</f>
        <v>51705000</v>
      </c>
      <c r="H8" s="674"/>
    </row>
    <row r="9" spans="1:8" x14ac:dyDescent="0.2">
      <c r="A9" s="675" t="s">
        <v>447</v>
      </c>
      <c r="B9" s="676" t="s">
        <v>448</v>
      </c>
      <c r="C9" s="673">
        <v>0</v>
      </c>
      <c r="D9" s="673">
        <v>0</v>
      </c>
      <c r="E9" s="673">
        <f>G9-D9</f>
        <v>0</v>
      </c>
      <c r="F9" s="170"/>
      <c r="G9" s="677">
        <f>'[2]Kiadások COFOG szerint'!G10</f>
        <v>0</v>
      </c>
      <c r="H9" s="674"/>
    </row>
    <row r="10" spans="1:8" x14ac:dyDescent="0.2">
      <c r="A10" s="675" t="s">
        <v>552</v>
      </c>
      <c r="B10" s="676" t="s">
        <v>553</v>
      </c>
      <c r="C10" s="673">
        <v>0</v>
      </c>
      <c r="D10" s="673">
        <v>1338000</v>
      </c>
      <c r="E10" s="673"/>
      <c r="F10" s="170">
        <f t="shared" ref="F10:F33" si="0">G10/D10*100</f>
        <v>100</v>
      </c>
      <c r="G10" s="677">
        <f>'[2]Kiadások COFOG szerint'!G11</f>
        <v>1338000</v>
      </c>
      <c r="H10" s="674"/>
    </row>
    <row r="11" spans="1:8" ht="24" x14ac:dyDescent="0.2">
      <c r="A11" s="675" t="s">
        <v>530</v>
      </c>
      <c r="B11" s="676" t="s">
        <v>554</v>
      </c>
      <c r="C11" s="673">
        <v>500000</v>
      </c>
      <c r="D11" s="673">
        <v>0</v>
      </c>
      <c r="E11" s="673">
        <f>G11-D11</f>
        <v>0</v>
      </c>
      <c r="F11" s="170"/>
      <c r="G11" s="677">
        <f>'[2]Kiadások COFOG szerint'!G12</f>
        <v>0</v>
      </c>
      <c r="H11" s="674"/>
    </row>
    <row r="12" spans="1:8" x14ac:dyDescent="0.2">
      <c r="A12" s="675" t="s">
        <v>555</v>
      </c>
      <c r="B12" s="676" t="s">
        <v>556</v>
      </c>
      <c r="C12" s="673">
        <v>2823468</v>
      </c>
      <c r="D12" s="673">
        <v>3298000</v>
      </c>
      <c r="E12" s="673">
        <f>G12-D12</f>
        <v>0</v>
      </c>
      <c r="F12" s="170">
        <f t="shared" si="0"/>
        <v>100</v>
      </c>
      <c r="G12" s="677">
        <f>'[2]Kiadások COFOG szerint'!G13</f>
        <v>3298000</v>
      </c>
      <c r="H12" s="678"/>
    </row>
    <row r="13" spans="1:8" x14ac:dyDescent="0.2">
      <c r="A13" s="675" t="s">
        <v>532</v>
      </c>
      <c r="B13" s="676" t="s">
        <v>557</v>
      </c>
      <c r="C13" s="673">
        <v>2812000</v>
      </c>
      <c r="D13" s="673">
        <v>2500000</v>
      </c>
      <c r="E13" s="673"/>
      <c r="F13" s="170">
        <f t="shared" si="0"/>
        <v>100</v>
      </c>
      <c r="G13" s="677">
        <f>'[2]Kiadások COFOG szerint'!G14</f>
        <v>2500000</v>
      </c>
      <c r="H13" s="678"/>
    </row>
    <row r="14" spans="1:8" x14ac:dyDescent="0.2">
      <c r="A14" s="675" t="s">
        <v>449</v>
      </c>
      <c r="B14" s="676" t="s">
        <v>450</v>
      </c>
      <c r="C14" s="673">
        <v>550000</v>
      </c>
      <c r="D14" s="673">
        <v>150000</v>
      </c>
      <c r="E14" s="673">
        <f t="shared" ref="E14" si="1">G14-D14</f>
        <v>0</v>
      </c>
      <c r="F14" s="170">
        <f t="shared" si="0"/>
        <v>100</v>
      </c>
      <c r="G14" s="677">
        <f>'[2]Kiadások COFOG szerint'!G15</f>
        <v>150000</v>
      </c>
      <c r="H14" s="674"/>
    </row>
    <row r="15" spans="1:8" x14ac:dyDescent="0.2">
      <c r="A15" s="675" t="s">
        <v>521</v>
      </c>
      <c r="B15" s="676" t="s">
        <v>522</v>
      </c>
      <c r="C15" s="673">
        <v>156000</v>
      </c>
      <c r="D15" s="673">
        <v>156000</v>
      </c>
      <c r="E15" s="673">
        <f>G15-D15</f>
        <v>0</v>
      </c>
      <c r="F15" s="170">
        <f t="shared" si="0"/>
        <v>100</v>
      </c>
      <c r="G15" s="677">
        <f>'[2]Kiadások COFOG szerint'!G16</f>
        <v>156000</v>
      </c>
      <c r="H15" s="674"/>
    </row>
    <row r="16" spans="1:8" x14ac:dyDescent="0.2">
      <c r="A16" s="675" t="s">
        <v>558</v>
      </c>
      <c r="B16" s="676" t="s">
        <v>451</v>
      </c>
      <c r="C16" s="673">
        <v>100000</v>
      </c>
      <c r="D16" s="673">
        <v>0</v>
      </c>
      <c r="E16" s="673"/>
      <c r="F16" s="170"/>
      <c r="G16" s="677">
        <f>'[2]Kiadások COFOG szerint'!G17</f>
        <v>0</v>
      </c>
      <c r="H16" s="674"/>
    </row>
    <row r="17" spans="1:11" x14ac:dyDescent="0.2">
      <c r="A17" s="675" t="s">
        <v>516</v>
      </c>
      <c r="B17" s="676" t="s">
        <v>517</v>
      </c>
      <c r="C17" s="673">
        <v>0</v>
      </c>
      <c r="D17" s="673">
        <v>3017800</v>
      </c>
      <c r="E17" s="673">
        <f>G17-D17</f>
        <v>133000</v>
      </c>
      <c r="F17" s="170">
        <f t="shared" si="0"/>
        <v>104.40718404135463</v>
      </c>
      <c r="G17" s="677">
        <f>'[2]Kiadások COFOG szerint'!G18+'[2]Kiadások COFOG szerint'!G39</f>
        <v>3150800</v>
      </c>
      <c r="H17" s="678"/>
    </row>
    <row r="18" spans="1:11" x14ac:dyDescent="0.2">
      <c r="A18" s="675" t="s">
        <v>681</v>
      </c>
      <c r="B18" s="676" t="s">
        <v>682</v>
      </c>
      <c r="C18" s="673">
        <v>0</v>
      </c>
      <c r="D18" s="673">
        <v>0</v>
      </c>
      <c r="E18" s="673">
        <f>G18-D18</f>
        <v>0</v>
      </c>
      <c r="F18" s="170"/>
      <c r="G18" s="677">
        <v>0</v>
      </c>
      <c r="H18" s="678"/>
    </row>
    <row r="19" spans="1:11" ht="21" x14ac:dyDescent="0.2">
      <c r="A19" s="679" t="s">
        <v>454</v>
      </c>
      <c r="B19" s="680" t="s">
        <v>455</v>
      </c>
      <c r="C19" s="681">
        <v>8400000</v>
      </c>
      <c r="D19" s="682">
        <v>633000</v>
      </c>
      <c r="E19" s="673"/>
      <c r="F19" s="170">
        <f t="shared" si="0"/>
        <v>100</v>
      </c>
      <c r="G19" s="677">
        <f>'[2]Kiadások COFOG szerint'!G19</f>
        <v>633000</v>
      </c>
      <c r="H19" s="678"/>
    </row>
    <row r="20" spans="1:11" ht="13.5" thickBot="1" x14ac:dyDescent="0.25">
      <c r="A20" s="679" t="s">
        <v>505</v>
      </c>
      <c r="B20" s="683" t="s">
        <v>683</v>
      </c>
      <c r="C20" s="684"/>
      <c r="D20" s="684">
        <v>1209480</v>
      </c>
      <c r="E20" s="673">
        <f>G20-D20</f>
        <v>0</v>
      </c>
      <c r="F20" s="170">
        <f t="shared" si="0"/>
        <v>100</v>
      </c>
      <c r="G20" s="677">
        <f>'[2]Kiadások COFOG szerint'!G41</f>
        <v>1209480</v>
      </c>
      <c r="H20" s="678"/>
    </row>
    <row r="21" spans="1:11" ht="13.5" thickBot="1" x14ac:dyDescent="0.25">
      <c r="A21" s="867" t="s">
        <v>3</v>
      </c>
      <c r="B21" s="868"/>
      <c r="C21" s="659">
        <v>56493693</v>
      </c>
      <c r="D21" s="660">
        <v>64202280</v>
      </c>
      <c r="E21" s="661">
        <f>SUM(E8:E20)</f>
        <v>-62000</v>
      </c>
      <c r="F21" s="662">
        <f t="shared" si="0"/>
        <v>99.903430220858198</v>
      </c>
      <c r="G21" s="660">
        <f>SUM(G8:G20)</f>
        <v>64140280</v>
      </c>
      <c r="I21" s="3"/>
    </row>
    <row r="22" spans="1:11" x14ac:dyDescent="0.2">
      <c r="A22" s="671" t="s">
        <v>456</v>
      </c>
      <c r="B22" s="672" t="s">
        <v>457</v>
      </c>
      <c r="C22" s="673">
        <v>11579939</v>
      </c>
      <c r="D22" s="673">
        <v>11831959</v>
      </c>
      <c r="E22" s="673">
        <f>G22-D22</f>
        <v>-36407</v>
      </c>
      <c r="F22" s="170">
        <f t="shared" si="0"/>
        <v>99.692299474668573</v>
      </c>
      <c r="G22" s="177">
        <f>'[2]Kiadások COFOG szerint'!G21+'[2]Kiadások COFOG szerint'!G43</f>
        <v>11795552</v>
      </c>
      <c r="H22" s="674"/>
    </row>
    <row r="23" spans="1:11" ht="13.5" thickBot="1" x14ac:dyDescent="0.25">
      <c r="A23" s="679" t="s">
        <v>458</v>
      </c>
      <c r="B23" s="683" t="s">
        <v>459</v>
      </c>
      <c r="C23" s="684">
        <v>0</v>
      </c>
      <c r="D23" s="684">
        <v>257593</v>
      </c>
      <c r="E23" s="673">
        <f>G23-D23</f>
        <v>36407</v>
      </c>
      <c r="F23" s="170">
        <f t="shared" si="0"/>
        <v>114.13353623739775</v>
      </c>
      <c r="G23" s="177">
        <f>'[2]Kiadások COFOG szerint'!G22+'[2]Kiadások COFOG szerint'!G44</f>
        <v>294000</v>
      </c>
      <c r="H23" s="674"/>
    </row>
    <row r="24" spans="1:11" ht="13.5" thickBot="1" x14ac:dyDescent="0.25">
      <c r="A24" s="869" t="s">
        <v>562</v>
      </c>
      <c r="B24" s="868"/>
      <c r="C24" s="659">
        <v>11579939</v>
      </c>
      <c r="D24" s="660">
        <v>12089552</v>
      </c>
      <c r="E24" s="660">
        <f>SUM(E22:E23)</f>
        <v>0</v>
      </c>
      <c r="F24" s="662">
        <f t="shared" si="0"/>
        <v>100</v>
      </c>
      <c r="G24" s="660">
        <f>SUM(G22:G23)</f>
        <v>12089552</v>
      </c>
    </row>
    <row r="25" spans="1:11" x14ac:dyDescent="0.2">
      <c r="A25" s="685" t="s">
        <v>460</v>
      </c>
      <c r="B25" s="686" t="s">
        <v>524</v>
      </c>
      <c r="C25" s="673">
        <v>100000</v>
      </c>
      <c r="D25" s="673">
        <v>100000</v>
      </c>
      <c r="E25" s="673">
        <f>G25-D25</f>
        <v>0</v>
      </c>
      <c r="F25" s="170">
        <f t="shared" si="0"/>
        <v>100</v>
      </c>
      <c r="G25" s="177">
        <f>'[2]Kiadások COFOG szerint'!G24</f>
        <v>100000</v>
      </c>
      <c r="H25" s="674"/>
    </row>
    <row r="26" spans="1:11" x14ac:dyDescent="0.2">
      <c r="A26" s="685" t="s">
        <v>461</v>
      </c>
      <c r="B26" s="687" t="s">
        <v>462</v>
      </c>
      <c r="C26" s="688">
        <v>100000</v>
      </c>
      <c r="D26" s="688">
        <v>161000</v>
      </c>
      <c r="E26" s="688">
        <f>G26-D26</f>
        <v>0</v>
      </c>
      <c r="F26" s="689">
        <f t="shared" si="0"/>
        <v>100</v>
      </c>
      <c r="G26" s="677">
        <f>'[2]Kiadások COFOG szerint'!G25+'[2]Kiadások COFOG szerint'!G46</f>
        <v>161000</v>
      </c>
      <c r="H26" s="674"/>
    </row>
    <row r="27" spans="1:11" x14ac:dyDescent="0.2">
      <c r="A27" s="685" t="s">
        <v>533</v>
      </c>
      <c r="B27" s="676" t="s">
        <v>559</v>
      </c>
      <c r="C27" s="688">
        <v>435000</v>
      </c>
      <c r="D27" s="688">
        <v>435000</v>
      </c>
      <c r="E27" s="688">
        <f>G27-D27</f>
        <v>0</v>
      </c>
      <c r="F27" s="689">
        <f t="shared" si="0"/>
        <v>100</v>
      </c>
      <c r="G27" s="677">
        <f>'[2]Kiadások COFOG szerint'!G26</f>
        <v>435000</v>
      </c>
      <c r="H27" s="674"/>
    </row>
    <row r="28" spans="1:11" x14ac:dyDescent="0.2">
      <c r="A28" s="685" t="s">
        <v>684</v>
      </c>
      <c r="B28" s="687" t="s">
        <v>560</v>
      </c>
      <c r="C28" s="688">
        <v>40000</v>
      </c>
      <c r="D28" s="688">
        <v>40000</v>
      </c>
      <c r="E28" s="688">
        <f>G28-D28</f>
        <v>0</v>
      </c>
      <c r="F28" s="689">
        <f t="shared" si="0"/>
        <v>100</v>
      </c>
      <c r="G28" s="677">
        <f>'[2]Kiadások COFOG szerint'!G27</f>
        <v>40000</v>
      </c>
      <c r="H28" s="674"/>
    </row>
    <row r="29" spans="1:11" x14ac:dyDescent="0.2">
      <c r="A29" s="685" t="s">
        <v>473</v>
      </c>
      <c r="B29" s="687" t="s">
        <v>474</v>
      </c>
      <c r="C29" s="688">
        <v>1000000</v>
      </c>
      <c r="D29" s="688">
        <v>1633168</v>
      </c>
      <c r="E29" s="688">
        <f t="shared" ref="E29" si="2">G29-D29</f>
        <v>104000</v>
      </c>
      <c r="F29" s="689">
        <f t="shared" si="0"/>
        <v>106.36799153546971</v>
      </c>
      <c r="G29" s="677">
        <f>'[2]Kiadások COFOG szerint'!G28</f>
        <v>1737168</v>
      </c>
      <c r="H29" s="674"/>
    </row>
    <row r="30" spans="1:11" x14ac:dyDescent="0.2">
      <c r="A30" s="685" t="s">
        <v>475</v>
      </c>
      <c r="B30" s="687" t="s">
        <v>476</v>
      </c>
      <c r="C30" s="688">
        <v>400000</v>
      </c>
      <c r="D30" s="688">
        <v>560000</v>
      </c>
      <c r="E30" s="688">
        <f>G30-D30</f>
        <v>-114265</v>
      </c>
      <c r="F30" s="689">
        <f t="shared" si="0"/>
        <v>79.595535714285717</v>
      </c>
      <c r="G30" s="677">
        <f>'[2]Kiadások COFOG szerint'!G29</f>
        <v>445735</v>
      </c>
      <c r="H30" s="674"/>
      <c r="K30" s="674"/>
    </row>
    <row r="31" spans="1:11" x14ac:dyDescent="0.2">
      <c r="A31" s="671" t="s">
        <v>509</v>
      </c>
      <c r="B31" s="676" t="s">
        <v>510</v>
      </c>
      <c r="C31" s="688">
        <v>0</v>
      </c>
      <c r="D31" s="688">
        <v>325000</v>
      </c>
      <c r="E31" s="688">
        <f t="shared" ref="E31:E32" si="3">G31-D31</f>
        <v>70000</v>
      </c>
      <c r="F31" s="689">
        <f t="shared" si="0"/>
        <v>121.53846153846153</v>
      </c>
      <c r="G31" s="677">
        <f>'[2]Kiadások COFOG szerint'!G30</f>
        <v>395000</v>
      </c>
      <c r="H31" s="674"/>
      <c r="K31" s="674"/>
    </row>
    <row r="32" spans="1:11" ht="24" x14ac:dyDescent="0.2">
      <c r="A32" s="675" t="s">
        <v>477</v>
      </c>
      <c r="B32" s="676" t="s">
        <v>478</v>
      </c>
      <c r="C32" s="688">
        <v>425000</v>
      </c>
      <c r="D32" s="688">
        <v>267000</v>
      </c>
      <c r="E32" s="688">
        <f t="shared" si="3"/>
        <v>-53924</v>
      </c>
      <c r="F32" s="689">
        <f t="shared" si="0"/>
        <v>79.803745318352057</v>
      </c>
      <c r="G32" s="677">
        <f>'[2]Kiadások COFOG szerint'!G31+'[2]Kiadások COFOG szerint'!G47</f>
        <v>213076</v>
      </c>
      <c r="H32" s="674"/>
      <c r="K32" s="674"/>
    </row>
    <row r="33" spans="1:11" ht="13.5" thickBot="1" x14ac:dyDescent="0.25">
      <c r="A33" s="679" t="s">
        <v>483</v>
      </c>
      <c r="B33" s="683" t="s">
        <v>484</v>
      </c>
      <c r="C33" s="690">
        <v>0</v>
      </c>
      <c r="D33" s="690">
        <v>7000</v>
      </c>
      <c r="E33" s="690">
        <f>G33-D33</f>
        <v>176265</v>
      </c>
      <c r="F33" s="689">
        <f t="shared" si="0"/>
        <v>2618.0714285714284</v>
      </c>
      <c r="G33" s="691">
        <f>'[2]Kiadások COFOG szerint'!G32+'[2]Kiadások COFOG szerint'!G48</f>
        <v>183265</v>
      </c>
      <c r="H33" s="674"/>
      <c r="K33" s="674"/>
    </row>
    <row r="34" spans="1:11" ht="13.5" thickBot="1" x14ac:dyDescent="0.25">
      <c r="A34" s="867" t="s">
        <v>5</v>
      </c>
      <c r="B34" s="868"/>
      <c r="C34" s="659">
        <v>2500000</v>
      </c>
      <c r="D34" s="660">
        <v>3528168</v>
      </c>
      <c r="E34" s="660">
        <f>SUM(E25:E33)</f>
        <v>182076</v>
      </c>
      <c r="F34" s="663">
        <f>G34/D34*100</f>
        <v>105.16063860904583</v>
      </c>
      <c r="G34" s="660">
        <f>SUM(G25:G33)</f>
        <v>3710244</v>
      </c>
      <c r="K34" s="674"/>
    </row>
    <row r="35" spans="1:11" ht="13.5" thickBot="1" x14ac:dyDescent="0.25">
      <c r="A35" s="587" t="s">
        <v>685</v>
      </c>
      <c r="B35" s="664" t="s">
        <v>561</v>
      </c>
      <c r="C35" s="665">
        <v>633168</v>
      </c>
      <c r="D35" s="665">
        <v>0</v>
      </c>
      <c r="E35" s="640">
        <f>G35-D35</f>
        <v>0</v>
      </c>
      <c r="F35" s="666"/>
      <c r="G35" s="639">
        <f>'[2]Kiadások COFOG szerint'!G34</f>
        <v>0</v>
      </c>
      <c r="K35" s="674"/>
    </row>
    <row r="36" spans="1:11" ht="16.5" thickBot="1" x14ac:dyDescent="0.25">
      <c r="A36" s="870" t="s">
        <v>155</v>
      </c>
      <c r="B36" s="871"/>
      <c r="C36" s="667">
        <v>71206800</v>
      </c>
      <c r="D36" s="668">
        <f>D21+D24+D34</f>
        <v>79820000</v>
      </c>
      <c r="E36" s="668">
        <f t="shared" ref="E36:G36" si="4">E21+E24+E34+E35</f>
        <v>120076</v>
      </c>
      <c r="F36" s="669">
        <f>G36/D36*100</f>
        <v>100.15043347531946</v>
      </c>
      <c r="G36" s="668">
        <f t="shared" si="4"/>
        <v>79940076</v>
      </c>
      <c r="H36" s="670"/>
      <c r="K36" s="674"/>
    </row>
    <row r="37" spans="1:11" x14ac:dyDescent="0.2">
      <c r="K37" s="674"/>
    </row>
    <row r="38" spans="1:11" x14ac:dyDescent="0.2">
      <c r="A38" s="157"/>
      <c r="B38" s="157" t="s">
        <v>625</v>
      </c>
      <c r="C38" s="573">
        <f>C36-'[2]Kiadások COFOG szerint'!C52</f>
        <v>0</v>
      </c>
      <c r="D38" s="573">
        <f>D36-'[2]Kiadások COFOG szerint'!D52</f>
        <v>0</v>
      </c>
      <c r="E38" s="573">
        <f>E36-'[2]Kiadások COFOG szerint'!E52</f>
        <v>0</v>
      </c>
      <c r="F38" s="573"/>
      <c r="G38" s="573">
        <f>G36-'[2]Kiadások COFOG szerint'!G52</f>
        <v>0</v>
      </c>
      <c r="K38" s="674"/>
    </row>
    <row r="39" spans="1:11" x14ac:dyDescent="0.2">
      <c r="K39" s="674"/>
    </row>
    <row r="40" spans="1:11" x14ac:dyDescent="0.2">
      <c r="K40" s="674"/>
    </row>
    <row r="41" spans="1:11" x14ac:dyDescent="0.2">
      <c r="K41" s="674"/>
    </row>
    <row r="42" spans="1:11" x14ac:dyDescent="0.2">
      <c r="K42" s="674"/>
    </row>
    <row r="43" spans="1:11" x14ac:dyDescent="0.2">
      <c r="K43" s="674"/>
    </row>
    <row r="44" spans="1:11" x14ac:dyDescent="0.2">
      <c r="K44" s="674"/>
    </row>
    <row r="45" spans="1:11" x14ac:dyDescent="0.2">
      <c r="K45" s="678"/>
    </row>
    <row r="46" spans="1:11" x14ac:dyDescent="0.2">
      <c r="K46" s="678"/>
    </row>
    <row r="47" spans="1:11" x14ac:dyDescent="0.2">
      <c r="K47" s="678"/>
    </row>
  </sheetData>
  <mergeCells count="10">
    <mergeCell ref="A21:B21"/>
    <mergeCell ref="A24:B24"/>
    <mergeCell ref="A34:B34"/>
    <mergeCell ref="A36:B36"/>
    <mergeCell ref="A2:G2"/>
    <mergeCell ref="A3:G3"/>
    <mergeCell ref="A5:G5"/>
    <mergeCell ref="A6:A7"/>
    <mergeCell ref="B6:B7"/>
    <mergeCell ref="C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6007-824E-4B9A-BD4C-2900C98641CD}">
  <dimension ref="A1:G21"/>
  <sheetViews>
    <sheetView workbookViewId="0">
      <selection activeCell="D31" sqref="D31"/>
    </sheetView>
  </sheetViews>
  <sheetFormatPr defaultRowHeight="12.75" x14ac:dyDescent="0.2"/>
  <cols>
    <col min="1" max="1" width="12.28515625" customWidth="1"/>
    <col min="2" max="2" width="37.28515625" customWidth="1"/>
    <col min="3" max="3" width="12.85546875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5"/>
      <c r="G1" s="5"/>
    </row>
    <row r="2" spans="1:7" x14ac:dyDescent="0.2">
      <c r="A2" s="889" t="s">
        <v>677</v>
      </c>
      <c r="B2" s="889"/>
      <c r="C2" s="889"/>
      <c r="D2" s="889"/>
      <c r="E2" s="889"/>
      <c r="F2" s="889"/>
      <c r="G2" s="889"/>
    </row>
    <row r="3" spans="1:7" x14ac:dyDescent="0.2">
      <c r="A3" s="889" t="s">
        <v>256</v>
      </c>
      <c r="B3" s="889"/>
      <c r="C3" s="889"/>
      <c r="D3" s="889"/>
      <c r="E3" s="889"/>
      <c r="F3" s="889"/>
      <c r="G3" s="889"/>
    </row>
    <row r="4" spans="1:7" x14ac:dyDescent="0.2">
      <c r="A4" s="178"/>
      <c r="B4" s="178"/>
      <c r="C4" s="178"/>
      <c r="D4" s="178"/>
      <c r="E4" s="178"/>
      <c r="F4" s="178"/>
      <c r="G4" s="179" t="s">
        <v>392</v>
      </c>
    </row>
    <row r="5" spans="1:7" ht="13.5" thickBot="1" x14ac:dyDescent="0.25">
      <c r="A5" s="890" t="s">
        <v>393</v>
      </c>
      <c r="B5" s="890"/>
      <c r="C5" s="890"/>
      <c r="D5" s="890"/>
      <c r="E5" s="890"/>
      <c r="F5" s="890"/>
      <c r="G5" s="890"/>
    </row>
    <row r="6" spans="1:7" x14ac:dyDescent="0.2">
      <c r="A6" s="886" t="s">
        <v>426</v>
      </c>
      <c r="B6" s="887"/>
      <c r="C6" s="887"/>
      <c r="D6" s="887"/>
      <c r="E6" s="887"/>
      <c r="F6" s="887"/>
      <c r="G6" s="888"/>
    </row>
    <row r="7" spans="1:7" x14ac:dyDescent="0.2">
      <c r="A7" s="891" t="s">
        <v>394</v>
      </c>
      <c r="B7" s="893" t="s">
        <v>395</v>
      </c>
      <c r="C7" s="895">
        <v>2019</v>
      </c>
      <c r="D7" s="863"/>
      <c r="E7" s="863"/>
      <c r="F7" s="864"/>
      <c r="G7" s="692">
        <v>2019</v>
      </c>
    </row>
    <row r="8" spans="1:7" ht="13.5" thickBot="1" x14ac:dyDescent="0.25">
      <c r="A8" s="892"/>
      <c r="B8" s="894"/>
      <c r="C8" s="693" t="s">
        <v>537</v>
      </c>
      <c r="D8" s="753" t="s">
        <v>600</v>
      </c>
      <c r="E8" s="693" t="s">
        <v>397</v>
      </c>
      <c r="F8" s="693" t="s">
        <v>398</v>
      </c>
      <c r="G8" s="694" t="s">
        <v>678</v>
      </c>
    </row>
    <row r="9" spans="1:7" ht="21" x14ac:dyDescent="0.2">
      <c r="A9" s="185" t="s">
        <v>428</v>
      </c>
      <c r="B9" s="186" t="s">
        <v>429</v>
      </c>
      <c r="C9" s="194">
        <v>102000</v>
      </c>
      <c r="D9" s="187">
        <v>103089</v>
      </c>
      <c r="E9" s="187">
        <f>G9-D9</f>
        <v>0</v>
      </c>
      <c r="F9" s="188">
        <f>G9/D9*100</f>
        <v>100</v>
      </c>
      <c r="G9" s="189">
        <v>103089</v>
      </c>
    </row>
    <row r="10" spans="1:7" x14ac:dyDescent="0.2">
      <c r="A10" s="882" t="s">
        <v>538</v>
      </c>
      <c r="B10" s="697" t="s">
        <v>539</v>
      </c>
      <c r="C10" s="473">
        <v>13566400</v>
      </c>
      <c r="D10" s="190">
        <v>13566400</v>
      </c>
      <c r="E10" s="187">
        <f>G10-D10</f>
        <v>0</v>
      </c>
      <c r="F10" s="188">
        <f t="shared" ref="F10:F12" si="0">G10/D10*100</f>
        <v>100</v>
      </c>
      <c r="G10" s="191">
        <f>G11+G12</f>
        <v>13566400</v>
      </c>
    </row>
    <row r="11" spans="1:7" x14ac:dyDescent="0.2">
      <c r="A11" s="883"/>
      <c r="B11" s="698" t="s">
        <v>540</v>
      </c>
      <c r="C11" s="699">
        <v>3017740</v>
      </c>
      <c r="D11" s="700">
        <v>3017740</v>
      </c>
      <c r="E11" s="192">
        <f t="shared" ref="E11:E12" si="1">G11-D11</f>
        <v>0</v>
      </c>
      <c r="F11" s="701">
        <f t="shared" si="0"/>
        <v>100</v>
      </c>
      <c r="G11" s="702">
        <v>3017740</v>
      </c>
    </row>
    <row r="12" spans="1:7" ht="13.5" thickBot="1" x14ac:dyDescent="0.25">
      <c r="A12" s="883"/>
      <c r="B12" s="703" t="s">
        <v>563</v>
      </c>
      <c r="C12" s="704">
        <v>10548660</v>
      </c>
      <c r="D12" s="705">
        <v>10548660</v>
      </c>
      <c r="E12" s="192">
        <f t="shared" si="1"/>
        <v>0</v>
      </c>
      <c r="F12" s="701">
        <f t="shared" si="0"/>
        <v>100</v>
      </c>
      <c r="G12" s="706">
        <v>10548660</v>
      </c>
    </row>
    <row r="13" spans="1:7" ht="13.5" thickBot="1" x14ac:dyDescent="0.25">
      <c r="A13" s="884" t="s">
        <v>83</v>
      </c>
      <c r="B13" s="885"/>
      <c r="C13" s="472">
        <v>13668400</v>
      </c>
      <c r="D13" s="180">
        <v>13669489</v>
      </c>
      <c r="E13" s="695">
        <f>SUM(E9:E10)</f>
        <v>0</v>
      </c>
      <c r="F13" s="696">
        <f>G13/D13*100</f>
        <v>100</v>
      </c>
      <c r="G13" s="180">
        <f>SUM(G9:G10)</f>
        <v>13669489</v>
      </c>
    </row>
    <row r="14" spans="1:7" x14ac:dyDescent="0.2">
      <c r="A14" s="886" t="s">
        <v>692</v>
      </c>
      <c r="B14" s="887"/>
      <c r="C14" s="887"/>
      <c r="D14" s="887"/>
      <c r="E14" s="887"/>
      <c r="F14" s="887"/>
      <c r="G14" s="888"/>
    </row>
    <row r="15" spans="1:7" x14ac:dyDescent="0.2">
      <c r="A15" s="891" t="s">
        <v>394</v>
      </c>
      <c r="B15" s="893" t="s">
        <v>395</v>
      </c>
      <c r="C15" s="895">
        <v>2019</v>
      </c>
      <c r="D15" s="863"/>
      <c r="E15" s="863"/>
      <c r="F15" s="864"/>
      <c r="G15" s="692">
        <v>2019</v>
      </c>
    </row>
    <row r="16" spans="1:7" ht="13.5" thickBot="1" x14ac:dyDescent="0.25">
      <c r="A16" s="892"/>
      <c r="B16" s="894"/>
      <c r="C16" s="693" t="s">
        <v>537</v>
      </c>
      <c r="D16" s="753" t="s">
        <v>600</v>
      </c>
      <c r="E16" s="693" t="s">
        <v>397</v>
      </c>
      <c r="F16" s="693" t="s">
        <v>398</v>
      </c>
      <c r="G16" s="694" t="s">
        <v>678</v>
      </c>
    </row>
    <row r="17" spans="1:7" x14ac:dyDescent="0.2">
      <c r="A17" s="185" t="s">
        <v>406</v>
      </c>
      <c r="B17" s="193" t="s">
        <v>353</v>
      </c>
      <c r="C17" s="194">
        <v>100000</v>
      </c>
      <c r="D17" s="194">
        <v>97400</v>
      </c>
      <c r="E17" s="194">
        <f>G17-D17</f>
        <v>0</v>
      </c>
      <c r="F17" s="188">
        <f>G17/D17*100</f>
        <v>100</v>
      </c>
      <c r="G17" s="195">
        <v>97400</v>
      </c>
    </row>
    <row r="18" spans="1:7" ht="13.5" thickBot="1" x14ac:dyDescent="0.25">
      <c r="A18" s="185" t="s">
        <v>547</v>
      </c>
      <c r="B18" s="186" t="s">
        <v>548</v>
      </c>
      <c r="C18" s="194">
        <v>0</v>
      </c>
      <c r="D18" s="194">
        <v>1511</v>
      </c>
      <c r="E18" s="194">
        <f>G18-D18</f>
        <v>0</v>
      </c>
      <c r="F18" s="188">
        <f>G18/D18*100</f>
        <v>100</v>
      </c>
      <c r="G18" s="195">
        <v>1511</v>
      </c>
    </row>
    <row r="19" spans="1:7" ht="13.5" thickBot="1" x14ac:dyDescent="0.25">
      <c r="A19" s="884" t="s">
        <v>83</v>
      </c>
      <c r="B19" s="885"/>
      <c r="C19" s="472">
        <v>100000</v>
      </c>
      <c r="D19" s="180">
        <v>98911</v>
      </c>
      <c r="E19" s="180">
        <f>SUM(E17:E18)</f>
        <v>0</v>
      </c>
      <c r="F19" s="696">
        <f>G19/D19*100</f>
        <v>100</v>
      </c>
      <c r="G19" s="180">
        <f>SUM(G17:G18)</f>
        <v>98911</v>
      </c>
    </row>
    <row r="20" spans="1:7" ht="13.5" thickBot="1" x14ac:dyDescent="0.25">
      <c r="A20" s="181"/>
      <c r="B20" s="181"/>
      <c r="C20" s="181"/>
      <c r="D20" s="182"/>
      <c r="E20" s="182"/>
      <c r="F20" s="183"/>
      <c r="G20" s="182"/>
    </row>
    <row r="21" spans="1:7" ht="13.5" thickBot="1" x14ac:dyDescent="0.25">
      <c r="A21" s="884" t="s">
        <v>551</v>
      </c>
      <c r="B21" s="885"/>
      <c r="C21" s="180">
        <f>C13+C19</f>
        <v>13768400</v>
      </c>
      <c r="D21" s="180">
        <f>D13+D19</f>
        <v>13768400</v>
      </c>
      <c r="E21" s="180">
        <f>E13+E19</f>
        <v>0</v>
      </c>
      <c r="F21" s="184">
        <f>G21/D21*100</f>
        <v>100</v>
      </c>
      <c r="G21" s="180">
        <f>G13+G19</f>
        <v>13768400</v>
      </c>
    </row>
  </sheetData>
  <mergeCells count="15">
    <mergeCell ref="A15:A16"/>
    <mergeCell ref="B15:B16"/>
    <mergeCell ref="C15:F15"/>
    <mergeCell ref="A19:B19"/>
    <mergeCell ref="A21:B21"/>
    <mergeCell ref="A10:A12"/>
    <mergeCell ref="A13:B13"/>
    <mergeCell ref="A14:G14"/>
    <mergeCell ref="A2:G2"/>
    <mergeCell ref="A3:G3"/>
    <mergeCell ref="A5:G5"/>
    <mergeCell ref="A6:G6"/>
    <mergeCell ref="A7:A8"/>
    <mergeCell ref="B7:B8"/>
    <mergeCell ref="C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2864-A6DF-4AB6-A8D7-D81D1B3F87A4}">
  <dimension ref="A1:K43"/>
  <sheetViews>
    <sheetView topLeftCell="A13" workbookViewId="0">
      <selection activeCell="K11" sqref="K11"/>
    </sheetView>
  </sheetViews>
  <sheetFormatPr defaultRowHeight="12.75" x14ac:dyDescent="0.2"/>
  <cols>
    <col min="1" max="1" width="12.28515625" customWidth="1"/>
    <col min="2" max="2" width="38.140625" customWidth="1"/>
    <col min="3" max="3" width="15.42578125" customWidth="1"/>
    <col min="4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9" x14ac:dyDescent="0.2">
      <c r="F1" s="5"/>
      <c r="G1" s="5"/>
    </row>
    <row r="2" spans="1:9" x14ac:dyDescent="0.2">
      <c r="A2" s="889" t="s">
        <v>677</v>
      </c>
      <c r="B2" s="889"/>
      <c r="C2" s="889"/>
      <c r="D2" s="889"/>
      <c r="E2" s="889"/>
      <c r="F2" s="889"/>
      <c r="G2" s="889"/>
    </row>
    <row r="3" spans="1:9" x14ac:dyDescent="0.2">
      <c r="A3" s="889" t="s">
        <v>256</v>
      </c>
      <c r="B3" s="889"/>
      <c r="C3" s="889"/>
      <c r="D3" s="889"/>
      <c r="E3" s="889"/>
      <c r="F3" s="889"/>
      <c r="G3" s="889"/>
    </row>
    <row r="4" spans="1:9" ht="13.5" thickBot="1" x14ac:dyDescent="0.25">
      <c r="G4" s="158" t="s">
        <v>392</v>
      </c>
    </row>
    <row r="5" spans="1:9" ht="21.75" customHeight="1" thickBot="1" x14ac:dyDescent="0.25">
      <c r="A5" s="898" t="s">
        <v>2</v>
      </c>
      <c r="B5" s="899"/>
      <c r="C5" s="899"/>
      <c r="D5" s="899"/>
      <c r="E5" s="899"/>
      <c r="F5" s="899"/>
      <c r="G5" s="900"/>
    </row>
    <row r="6" spans="1:9" x14ac:dyDescent="0.2">
      <c r="A6" s="903" t="s">
        <v>394</v>
      </c>
      <c r="B6" s="905" t="s">
        <v>395</v>
      </c>
      <c r="C6" s="907">
        <v>2019</v>
      </c>
      <c r="D6" s="880"/>
      <c r="E6" s="880"/>
      <c r="F6" s="881"/>
      <c r="G6" s="711">
        <v>2019</v>
      </c>
    </row>
    <row r="7" spans="1:9" ht="30.75" customHeight="1" thickBot="1" x14ac:dyDescent="0.25">
      <c r="A7" s="904"/>
      <c r="B7" s="906"/>
      <c r="C7" s="712" t="s">
        <v>537</v>
      </c>
      <c r="D7" s="713" t="s">
        <v>679</v>
      </c>
      <c r="E7" s="712" t="s">
        <v>397</v>
      </c>
      <c r="F7" s="712" t="s">
        <v>398</v>
      </c>
      <c r="G7" s="714" t="s">
        <v>680</v>
      </c>
    </row>
    <row r="8" spans="1:9" ht="22.5" customHeight="1" x14ac:dyDescent="0.2">
      <c r="A8" s="735" t="s">
        <v>446</v>
      </c>
      <c r="B8" s="757" t="s">
        <v>529</v>
      </c>
      <c r="C8" s="758">
        <v>6100000</v>
      </c>
      <c r="D8" s="737">
        <v>6103000</v>
      </c>
      <c r="E8" s="737">
        <f>G8-D8</f>
        <v>0</v>
      </c>
      <c r="F8" s="738">
        <f>G8/D8*100</f>
        <v>100</v>
      </c>
      <c r="G8" s="739">
        <f>'[3]Kiadások COFOG szerint'!G30</f>
        <v>6103000</v>
      </c>
      <c r="H8" s="674"/>
    </row>
    <row r="9" spans="1:9" ht="22.5" customHeight="1" x14ac:dyDescent="0.2">
      <c r="A9" s="740" t="s">
        <v>532</v>
      </c>
      <c r="B9" s="759" t="s">
        <v>557</v>
      </c>
      <c r="C9" s="760">
        <v>48000</v>
      </c>
      <c r="D9" s="737">
        <v>48000</v>
      </c>
      <c r="E9" s="737">
        <f t="shared" ref="E9:E14" si="0">G9-D9</f>
        <v>0</v>
      </c>
      <c r="F9" s="738">
        <f t="shared" ref="F9:F22" si="1">G9/D9*100</f>
        <v>100</v>
      </c>
      <c r="G9" s="742">
        <f>'[3]Kiadások COFOG szerint'!G31</f>
        <v>48000</v>
      </c>
      <c r="H9" s="678"/>
    </row>
    <row r="10" spans="1:9" ht="22.5" customHeight="1" x14ac:dyDescent="0.2">
      <c r="A10" s="740" t="s">
        <v>449</v>
      </c>
      <c r="B10" s="759" t="s">
        <v>450</v>
      </c>
      <c r="C10" s="760">
        <v>120000</v>
      </c>
      <c r="D10" s="737">
        <v>0</v>
      </c>
      <c r="E10" s="737">
        <f t="shared" si="0"/>
        <v>0</v>
      </c>
      <c r="F10" s="738"/>
      <c r="G10" s="742">
        <f>'[3]Kiadások COFOG szerint'!G32</f>
        <v>0</v>
      </c>
      <c r="H10" s="674"/>
    </row>
    <row r="11" spans="1:9" ht="22.5" customHeight="1" x14ac:dyDescent="0.2">
      <c r="A11" s="740" t="s">
        <v>521</v>
      </c>
      <c r="B11" s="759" t="s">
        <v>522</v>
      </c>
      <c r="C11" s="760">
        <v>24000</v>
      </c>
      <c r="D11" s="737">
        <v>24000</v>
      </c>
      <c r="E11" s="737">
        <f t="shared" si="0"/>
        <v>0</v>
      </c>
      <c r="F11" s="738">
        <f t="shared" si="1"/>
        <v>100</v>
      </c>
      <c r="G11" s="742">
        <f>'[3]Kiadások COFOG szerint'!G33</f>
        <v>24000</v>
      </c>
      <c r="H11" s="674"/>
    </row>
    <row r="12" spans="1:9" ht="22.5" customHeight="1" x14ac:dyDescent="0.2">
      <c r="A12" s="740" t="s">
        <v>516</v>
      </c>
      <c r="B12" s="759" t="s">
        <v>517</v>
      </c>
      <c r="C12" s="760">
        <v>84000</v>
      </c>
      <c r="D12" s="737">
        <v>84000</v>
      </c>
      <c r="E12" s="737">
        <f t="shared" si="0"/>
        <v>144000</v>
      </c>
      <c r="F12" s="738">
        <f t="shared" si="1"/>
        <v>271.42857142857144</v>
      </c>
      <c r="G12" s="742">
        <f>'[3]Kiadások COFOG szerint'!G34</f>
        <v>228000</v>
      </c>
      <c r="H12" s="678"/>
    </row>
    <row r="13" spans="1:9" ht="22.5" customHeight="1" x14ac:dyDescent="0.2">
      <c r="A13" s="743" t="s">
        <v>693</v>
      </c>
      <c r="B13" s="761" t="s">
        <v>451</v>
      </c>
      <c r="C13" s="762">
        <v>0</v>
      </c>
      <c r="D13" s="737">
        <v>60000</v>
      </c>
      <c r="E13" s="737">
        <f t="shared" si="0"/>
        <v>-60000</v>
      </c>
      <c r="F13" s="738"/>
      <c r="G13" s="742">
        <f>'[3]Kiadások COFOG szerint'!G35</f>
        <v>0</v>
      </c>
      <c r="H13" s="678"/>
    </row>
    <row r="14" spans="1:9" ht="30" customHeight="1" thickBot="1" x14ac:dyDescent="0.25">
      <c r="A14" s="743" t="s">
        <v>454</v>
      </c>
      <c r="B14" s="763" t="s">
        <v>455</v>
      </c>
      <c r="C14" s="764">
        <v>920000</v>
      </c>
      <c r="D14" s="749">
        <v>831000</v>
      </c>
      <c r="E14" s="737">
        <f t="shared" si="0"/>
        <v>-111000</v>
      </c>
      <c r="F14" s="738">
        <f t="shared" si="1"/>
        <v>86.642599277978334</v>
      </c>
      <c r="G14" s="742">
        <f>'[3]Kiadások COFOG szerint'!G16+'[3]Kiadások COFOG szerint'!G36</f>
        <v>720000</v>
      </c>
      <c r="H14" s="678"/>
    </row>
    <row r="15" spans="1:9" ht="24" customHeight="1" thickBot="1" x14ac:dyDescent="0.25">
      <c r="A15" s="901" t="s">
        <v>3</v>
      </c>
      <c r="B15" s="902"/>
      <c r="C15" s="715">
        <v>7296000</v>
      </c>
      <c r="D15" s="716">
        <v>7150000</v>
      </c>
      <c r="E15" s="717">
        <f>SUM(E8:E14)</f>
        <v>-27000</v>
      </c>
      <c r="F15" s="718">
        <f t="shared" si="1"/>
        <v>99.622377622377627</v>
      </c>
      <c r="G15" s="716">
        <f>SUM(G8:G14)</f>
        <v>7123000</v>
      </c>
      <c r="I15" s="3"/>
    </row>
    <row r="16" spans="1:9" ht="20.100000000000001" customHeight="1" x14ac:dyDescent="0.2">
      <c r="A16" s="735" t="s">
        <v>456</v>
      </c>
      <c r="B16" s="736" t="s">
        <v>457</v>
      </c>
      <c r="C16" s="737">
        <v>1347900</v>
      </c>
      <c r="D16" s="737">
        <v>1358400</v>
      </c>
      <c r="E16" s="737">
        <f>G16-D16</f>
        <v>-33000</v>
      </c>
      <c r="F16" s="738">
        <f t="shared" si="1"/>
        <v>97.570671378091873</v>
      </c>
      <c r="G16" s="739">
        <f>'[3]Kiadások COFOG szerint'!G18+'[3]Kiadások COFOG szerint'!G38</f>
        <v>1325400</v>
      </c>
      <c r="H16" s="674"/>
    </row>
    <row r="17" spans="1:11" ht="23.25" customHeight="1" thickBot="1" x14ac:dyDescent="0.25">
      <c r="A17" s="743" t="s">
        <v>458</v>
      </c>
      <c r="B17" s="744" t="s">
        <v>459</v>
      </c>
      <c r="C17" s="745">
        <v>20000</v>
      </c>
      <c r="D17" s="745">
        <v>9500</v>
      </c>
      <c r="E17" s="737">
        <f>G17-D17</f>
        <v>0</v>
      </c>
      <c r="F17" s="738">
        <f t="shared" si="1"/>
        <v>100</v>
      </c>
      <c r="G17" s="739">
        <f>'[3]Kiadások COFOG szerint'!G39</f>
        <v>9500</v>
      </c>
      <c r="H17" s="674"/>
    </row>
    <row r="18" spans="1:11" ht="24.95" customHeight="1" thickBot="1" x14ac:dyDescent="0.25">
      <c r="A18" s="908" t="s">
        <v>562</v>
      </c>
      <c r="B18" s="902"/>
      <c r="C18" s="715">
        <v>1367900</v>
      </c>
      <c r="D18" s="716">
        <v>1367900</v>
      </c>
      <c r="E18" s="716">
        <f>SUM(E16:E17)</f>
        <v>-33000</v>
      </c>
      <c r="F18" s="718">
        <f t="shared" si="1"/>
        <v>97.587542949045982</v>
      </c>
      <c r="G18" s="716">
        <f>SUM(G16:G17)</f>
        <v>1334900</v>
      </c>
    </row>
    <row r="19" spans="1:11" ht="20.100000000000001" customHeight="1" x14ac:dyDescent="0.2">
      <c r="A19" s="746" t="s">
        <v>460</v>
      </c>
      <c r="B19" s="747" t="s">
        <v>524</v>
      </c>
      <c r="C19" s="737">
        <v>861000</v>
      </c>
      <c r="D19" s="737">
        <v>462500</v>
      </c>
      <c r="E19" s="737">
        <f>G19-D19</f>
        <v>-276000</v>
      </c>
      <c r="F19" s="738">
        <f t="shared" si="1"/>
        <v>40.324324324324323</v>
      </c>
      <c r="G19" s="739">
        <f>'[3]Kiadások COFOG szerint'!G21+'[3]Kiadások COFOG szerint'!G41+'[3]Kiadások COFOG szerint'!G9</f>
        <v>186500</v>
      </c>
      <c r="H19" s="674"/>
      <c r="I19" s="678"/>
    </row>
    <row r="20" spans="1:11" ht="20.100000000000001" customHeight="1" x14ac:dyDescent="0.2">
      <c r="A20" s="746" t="s">
        <v>461</v>
      </c>
      <c r="B20" s="748" t="s">
        <v>462</v>
      </c>
      <c r="C20" s="749">
        <v>466000</v>
      </c>
      <c r="D20" s="749">
        <v>446000</v>
      </c>
      <c r="E20" s="749">
        <f>G20-D20</f>
        <v>273000</v>
      </c>
      <c r="F20" s="755">
        <f t="shared" si="1"/>
        <v>161.21076233183857</v>
      </c>
      <c r="G20" s="742">
        <f>'[3]Kiadások COFOG szerint'!G42+'[3]Kiadások COFOG szerint'!G22</f>
        <v>719000</v>
      </c>
      <c r="H20" s="674"/>
      <c r="I20" s="678"/>
    </row>
    <row r="21" spans="1:11" ht="20.100000000000001" customHeight="1" x14ac:dyDescent="0.2">
      <c r="A21" s="746" t="s">
        <v>533</v>
      </c>
      <c r="B21" s="741" t="s">
        <v>559</v>
      </c>
      <c r="C21" s="749">
        <v>80000</v>
      </c>
      <c r="D21" s="749">
        <v>80000</v>
      </c>
      <c r="E21" s="749">
        <f>G21-D21</f>
        <v>0</v>
      </c>
      <c r="F21" s="755">
        <f t="shared" si="1"/>
        <v>100</v>
      </c>
      <c r="G21" s="742">
        <f>'[3]Kiadások COFOG szerint'!G43</f>
        <v>80000</v>
      </c>
      <c r="H21" s="674"/>
      <c r="I21" s="678"/>
    </row>
    <row r="22" spans="1:11" ht="20.100000000000001" customHeight="1" x14ac:dyDescent="0.2">
      <c r="A22" s="746" t="s">
        <v>684</v>
      </c>
      <c r="B22" s="748" t="s">
        <v>560</v>
      </c>
      <c r="C22" s="749">
        <v>60000</v>
      </c>
      <c r="D22" s="749">
        <v>70000</v>
      </c>
      <c r="E22" s="749">
        <f>G22-D22</f>
        <v>10000</v>
      </c>
      <c r="F22" s="755">
        <f t="shared" si="1"/>
        <v>114.28571428571428</v>
      </c>
      <c r="G22" s="742">
        <f>'[3]Kiadások COFOG szerint'!G44</f>
        <v>80000</v>
      </c>
      <c r="H22" s="674"/>
      <c r="I22" s="678"/>
    </row>
    <row r="23" spans="1:11" ht="20.100000000000001" customHeight="1" x14ac:dyDescent="0.2">
      <c r="A23" s="746" t="s">
        <v>468</v>
      </c>
      <c r="B23" s="748" t="s">
        <v>688</v>
      </c>
      <c r="C23" s="749">
        <v>1330000</v>
      </c>
      <c r="D23" s="749">
        <v>1330000</v>
      </c>
      <c r="E23" s="749">
        <f>G23-D23</f>
        <v>0</v>
      </c>
      <c r="F23" s="755"/>
      <c r="G23" s="742">
        <f>'[3]Kiadások COFOG szerint'!G45+'[3]Kiadások COFOG szerint'!G46+'[3]Kiadások COFOG szerint'!G47</f>
        <v>1330000</v>
      </c>
      <c r="H23" s="674"/>
      <c r="I23" s="678"/>
    </row>
    <row r="24" spans="1:11" ht="20.100000000000001" customHeight="1" x14ac:dyDescent="0.2">
      <c r="A24" s="746" t="s">
        <v>471</v>
      </c>
      <c r="B24" s="748" t="s">
        <v>689</v>
      </c>
      <c r="C24" s="749">
        <v>574000</v>
      </c>
      <c r="D24" s="749">
        <v>450000</v>
      </c>
      <c r="E24" s="749">
        <f t="shared" ref="E24" si="2">G24-D24</f>
        <v>0</v>
      </c>
      <c r="F24" s="755">
        <f t="shared" ref="F24" si="3">G24/D24*100</f>
        <v>100</v>
      </c>
      <c r="G24" s="742">
        <f>'[3]Kiadások COFOG szerint'!G48+'[3]Kiadások COFOG szerint'!G23</f>
        <v>450000</v>
      </c>
      <c r="H24" s="674"/>
      <c r="I24" s="678"/>
    </row>
    <row r="25" spans="1:11" ht="20.100000000000001" customHeight="1" x14ac:dyDescent="0.2">
      <c r="A25" s="746" t="s">
        <v>475</v>
      </c>
      <c r="B25" s="748" t="s">
        <v>476</v>
      </c>
      <c r="C25" s="749">
        <v>600000</v>
      </c>
      <c r="D25" s="749">
        <v>595000</v>
      </c>
      <c r="E25" s="749">
        <f>G25-D25</f>
        <v>-10000</v>
      </c>
      <c r="F25" s="755">
        <f>G25/D25*100</f>
        <v>98.319327731092429</v>
      </c>
      <c r="G25" s="742">
        <f>'[3]Kiadások COFOG szerint'!G49</f>
        <v>585000</v>
      </c>
      <c r="H25" s="674"/>
      <c r="I25" s="678"/>
      <c r="K25" s="674"/>
    </row>
    <row r="26" spans="1:11" ht="20.100000000000001" customHeight="1" x14ac:dyDescent="0.2">
      <c r="A26" s="750" t="s">
        <v>509</v>
      </c>
      <c r="B26" s="748" t="s">
        <v>510</v>
      </c>
      <c r="C26" s="749">
        <v>0</v>
      </c>
      <c r="D26" s="749">
        <v>200000</v>
      </c>
      <c r="E26" s="749">
        <f>G26-D26</f>
        <v>60000</v>
      </c>
      <c r="F26" s="755"/>
      <c r="G26" s="742">
        <f>'[3]Kiadások COFOG szerint'!G50</f>
        <v>260000</v>
      </c>
      <c r="H26" s="674"/>
      <c r="I26" s="678"/>
      <c r="K26" s="674"/>
    </row>
    <row r="27" spans="1:11" ht="25.5" customHeight="1" x14ac:dyDescent="0.2">
      <c r="A27" s="740" t="s">
        <v>477</v>
      </c>
      <c r="B27" s="741" t="s">
        <v>478</v>
      </c>
      <c r="C27" s="749">
        <v>752500</v>
      </c>
      <c r="D27" s="749">
        <v>596000</v>
      </c>
      <c r="E27" s="749">
        <f t="shared" ref="E27" si="4">G27-D27</f>
        <v>3000</v>
      </c>
      <c r="F27" s="755">
        <f>G27/D27*100</f>
        <v>100.503355704698</v>
      </c>
      <c r="G27" s="742">
        <f>'[3]Kiadások COFOG szerint'!G51+'[3]Kiadások COFOG szerint'!G11+'[3]Kiadások COFOG szerint'!G24</f>
        <v>599000</v>
      </c>
      <c r="H27" s="674"/>
      <c r="I27" s="678"/>
      <c r="K27" s="674"/>
    </row>
    <row r="28" spans="1:11" ht="20.100000000000001" customHeight="1" thickBot="1" x14ac:dyDescent="0.25">
      <c r="A28" s="743" t="s">
        <v>483</v>
      </c>
      <c r="B28" s="744" t="s">
        <v>484</v>
      </c>
      <c r="C28" s="751">
        <v>0</v>
      </c>
      <c r="D28" s="751">
        <v>5000</v>
      </c>
      <c r="E28" s="751">
        <f>G28-D28</f>
        <v>0</v>
      </c>
      <c r="F28" s="756"/>
      <c r="G28" s="752">
        <f>'[3]Kiadások COFOG szerint'!G52</f>
        <v>5000</v>
      </c>
      <c r="H28" s="674"/>
      <c r="I28" s="678"/>
      <c r="K28" s="674"/>
    </row>
    <row r="29" spans="1:11" ht="24.95" customHeight="1" thickBot="1" x14ac:dyDescent="0.25">
      <c r="A29" s="901" t="s">
        <v>5</v>
      </c>
      <c r="B29" s="902"/>
      <c r="C29" s="715">
        <v>4723500</v>
      </c>
      <c r="D29" s="716">
        <v>4234500</v>
      </c>
      <c r="E29" s="716">
        <f>SUM(E19:E28)</f>
        <v>60000</v>
      </c>
      <c r="F29" s="719">
        <f>G29/D29*100</f>
        <v>101.4169323414807</v>
      </c>
      <c r="G29" s="716">
        <f>SUM(G19:G28)</f>
        <v>4294500</v>
      </c>
      <c r="K29" s="674"/>
    </row>
    <row r="30" spans="1:11" ht="24.95" customHeight="1" x14ac:dyDescent="0.2">
      <c r="A30" s="720" t="s">
        <v>498</v>
      </c>
      <c r="B30" s="721" t="s">
        <v>564</v>
      </c>
      <c r="C30" s="722">
        <v>300000</v>
      </c>
      <c r="D30" s="722">
        <v>800000</v>
      </c>
      <c r="E30" s="723">
        <f>G30-D30</f>
        <v>0</v>
      </c>
      <c r="F30" s="724">
        <f>G30/D30*100</f>
        <v>100</v>
      </c>
      <c r="G30" s="725">
        <f>'[3]Kiadások COFOG szerint'!G54</f>
        <v>800000</v>
      </c>
      <c r="K30" s="674"/>
    </row>
    <row r="31" spans="1:11" ht="24.95" customHeight="1" thickBot="1" x14ac:dyDescent="0.25">
      <c r="A31" s="726" t="s">
        <v>500</v>
      </c>
      <c r="B31" s="727" t="s">
        <v>565</v>
      </c>
      <c r="C31" s="728">
        <v>81000</v>
      </c>
      <c r="D31" s="728">
        <v>216000</v>
      </c>
      <c r="E31" s="729">
        <f>G31-D31</f>
        <v>0</v>
      </c>
      <c r="F31" s="730">
        <f>G31/D31*100</f>
        <v>100</v>
      </c>
      <c r="G31" s="731">
        <f>'[3]Kiadások COFOG szerint'!G55</f>
        <v>216000</v>
      </c>
      <c r="K31" s="674"/>
    </row>
    <row r="32" spans="1:11" ht="24.95" customHeight="1" thickBot="1" x14ac:dyDescent="0.25">
      <c r="A32" s="901" t="s">
        <v>691</v>
      </c>
      <c r="B32" s="902"/>
      <c r="C32" s="715">
        <v>381000</v>
      </c>
      <c r="D32" s="716">
        <v>1016000</v>
      </c>
      <c r="E32" s="716">
        <f>SUM(E30:E31)</f>
        <v>0</v>
      </c>
      <c r="F32" s="719">
        <f>G32/D32*100</f>
        <v>100</v>
      </c>
      <c r="G32" s="716">
        <f>SUM(G30:G31)</f>
        <v>1016000</v>
      </c>
      <c r="K32" s="674"/>
    </row>
    <row r="33" spans="1:11" ht="21.75" customHeight="1" thickBot="1" x14ac:dyDescent="0.25">
      <c r="A33" s="896" t="s">
        <v>155</v>
      </c>
      <c r="B33" s="897"/>
      <c r="C33" s="754">
        <v>13768400</v>
      </c>
      <c r="D33" s="732">
        <v>13768400</v>
      </c>
      <c r="E33" s="732">
        <f t="shared" ref="E33" si="5">E15+E18+E29+E32</f>
        <v>0</v>
      </c>
      <c r="F33" s="733">
        <f>G33/D33*100</f>
        <v>100</v>
      </c>
      <c r="G33" s="732">
        <f>G15+G18+G29+G32</f>
        <v>13768400</v>
      </c>
      <c r="H33" s="670"/>
      <c r="K33" s="674"/>
    </row>
    <row r="34" spans="1:11" x14ac:dyDescent="0.2">
      <c r="K34" s="674"/>
    </row>
    <row r="35" spans="1:11" x14ac:dyDescent="0.2">
      <c r="B35" s="157" t="s">
        <v>625</v>
      </c>
      <c r="C35" s="573">
        <f>C33-'[3]Kiadások COFOG szerint'!C59</f>
        <v>0</v>
      </c>
      <c r="D35" s="573">
        <f>D33-'[3]Kiadások COFOG szerint'!D59</f>
        <v>0</v>
      </c>
      <c r="E35" s="573">
        <f>E33-'[3]Kiadások COFOG szerint'!E59</f>
        <v>0</v>
      </c>
      <c r="F35" s="573">
        <f>F33-'[3]Kiadások COFOG szerint'!F59</f>
        <v>0</v>
      </c>
      <c r="G35" s="573">
        <f>G33-'[3]Kiadások COFOG szerint'!G59</f>
        <v>0</v>
      </c>
      <c r="K35" s="674"/>
    </row>
    <row r="36" spans="1:11" x14ac:dyDescent="0.2">
      <c r="K36" s="674"/>
    </row>
    <row r="37" spans="1:11" x14ac:dyDescent="0.2">
      <c r="K37" s="674"/>
    </row>
    <row r="38" spans="1:11" x14ac:dyDescent="0.2">
      <c r="K38" s="674"/>
    </row>
    <row r="39" spans="1:11" x14ac:dyDescent="0.2">
      <c r="K39" s="674"/>
    </row>
    <row r="40" spans="1:11" x14ac:dyDescent="0.2">
      <c r="K40" s="674"/>
    </row>
    <row r="41" spans="1:11" x14ac:dyDescent="0.2">
      <c r="K41" s="674"/>
    </row>
    <row r="42" spans="1:11" x14ac:dyDescent="0.2">
      <c r="K42" s="678"/>
    </row>
    <row r="43" spans="1:11" x14ac:dyDescent="0.2">
      <c r="K43" s="678"/>
    </row>
  </sheetData>
  <mergeCells count="11">
    <mergeCell ref="A33:B33"/>
    <mergeCell ref="A2:G2"/>
    <mergeCell ref="A3:G3"/>
    <mergeCell ref="A5:G5"/>
    <mergeCell ref="A29:B29"/>
    <mergeCell ref="A32:B32"/>
    <mergeCell ref="A6:A7"/>
    <mergeCell ref="B6:B7"/>
    <mergeCell ref="C6:F6"/>
    <mergeCell ref="A15:B15"/>
    <mergeCell ref="A18:B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6DE1-E812-4E6E-BB41-E39A21F4228D}">
  <dimension ref="A1:G25"/>
  <sheetViews>
    <sheetView workbookViewId="0">
      <selection activeCell="N29" sqref="N29"/>
    </sheetView>
  </sheetViews>
  <sheetFormatPr defaultRowHeight="12.75" x14ac:dyDescent="0.2"/>
  <cols>
    <col min="1" max="1" width="12.28515625" customWidth="1"/>
    <col min="2" max="2" width="37.28515625" customWidth="1"/>
    <col min="3" max="3" width="13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5"/>
      <c r="G1" s="5"/>
    </row>
    <row r="2" spans="1:7" x14ac:dyDescent="0.2">
      <c r="A2" s="889" t="s">
        <v>677</v>
      </c>
      <c r="B2" s="889"/>
      <c r="C2" s="889"/>
      <c r="D2" s="889"/>
      <c r="E2" s="889"/>
      <c r="F2" s="889"/>
      <c r="G2" s="889"/>
    </row>
    <row r="3" spans="1:7" x14ac:dyDescent="0.2">
      <c r="A3" s="889" t="s">
        <v>566</v>
      </c>
      <c r="B3" s="889"/>
      <c r="C3" s="889"/>
      <c r="D3" s="889"/>
      <c r="E3" s="889"/>
      <c r="F3" s="889"/>
      <c r="G3" s="889"/>
    </row>
    <row r="4" spans="1:7" x14ac:dyDescent="0.2">
      <c r="A4" s="178"/>
      <c r="B4" s="178"/>
      <c r="C4" s="178"/>
      <c r="D4" s="178"/>
      <c r="E4" s="178"/>
      <c r="F4" s="178"/>
      <c r="G4" s="179" t="s">
        <v>392</v>
      </c>
    </row>
    <row r="5" spans="1:7" ht="13.5" thickBot="1" x14ac:dyDescent="0.25">
      <c r="A5" s="890" t="s">
        <v>393</v>
      </c>
      <c r="B5" s="890"/>
      <c r="C5" s="890"/>
      <c r="D5" s="890"/>
      <c r="E5" s="890"/>
      <c r="F5" s="890"/>
      <c r="G5" s="890"/>
    </row>
    <row r="6" spans="1:7" x14ac:dyDescent="0.2">
      <c r="A6" s="886" t="s">
        <v>426</v>
      </c>
      <c r="B6" s="887"/>
      <c r="C6" s="887"/>
      <c r="D6" s="887"/>
      <c r="E6" s="887"/>
      <c r="F6" s="887"/>
      <c r="G6" s="888"/>
    </row>
    <row r="7" spans="1:7" x14ac:dyDescent="0.2">
      <c r="A7" s="891" t="s">
        <v>394</v>
      </c>
      <c r="B7" s="893" t="s">
        <v>395</v>
      </c>
      <c r="C7" s="909">
        <v>2019</v>
      </c>
      <c r="D7" s="863"/>
      <c r="E7" s="863"/>
      <c r="F7" s="864"/>
      <c r="G7" s="692">
        <v>2019</v>
      </c>
    </row>
    <row r="8" spans="1:7" ht="13.5" thickBot="1" x14ac:dyDescent="0.25">
      <c r="A8" s="892"/>
      <c r="B8" s="894"/>
      <c r="C8" s="693" t="s">
        <v>537</v>
      </c>
      <c r="D8" s="693" t="s">
        <v>600</v>
      </c>
      <c r="E8" s="693" t="s">
        <v>397</v>
      </c>
      <c r="F8" s="693" t="s">
        <v>398</v>
      </c>
      <c r="G8" s="694" t="s">
        <v>678</v>
      </c>
    </row>
    <row r="9" spans="1:7" ht="21" x14ac:dyDescent="0.2">
      <c r="A9" s="185" t="s">
        <v>428</v>
      </c>
      <c r="B9" s="186" t="s">
        <v>429</v>
      </c>
      <c r="C9" s="194">
        <v>298000</v>
      </c>
      <c r="D9" s="187">
        <v>298687</v>
      </c>
      <c r="E9" s="187">
        <f>G9-D9</f>
        <v>0</v>
      </c>
      <c r="F9" s="188">
        <f>G9/D9*100</f>
        <v>100</v>
      </c>
      <c r="G9" s="189">
        <v>298687</v>
      </c>
    </row>
    <row r="10" spans="1:7" x14ac:dyDescent="0.2">
      <c r="A10" s="882" t="s">
        <v>538</v>
      </c>
      <c r="B10" s="697" t="s">
        <v>539</v>
      </c>
      <c r="C10" s="473">
        <v>63412301</v>
      </c>
      <c r="D10" s="190">
        <v>63412301</v>
      </c>
      <c r="E10" s="187">
        <f>G10-D10</f>
        <v>0</v>
      </c>
      <c r="F10" s="188">
        <f t="shared" ref="F10:F12" si="0">G10/D10*100</f>
        <v>100</v>
      </c>
      <c r="G10" s="191">
        <f>G11+G12</f>
        <v>63412301</v>
      </c>
    </row>
    <row r="11" spans="1:7" x14ac:dyDescent="0.2">
      <c r="A11" s="883"/>
      <c r="B11" s="698" t="s">
        <v>540</v>
      </c>
      <c r="C11" s="699">
        <v>63412301</v>
      </c>
      <c r="D11" s="700">
        <v>57834478</v>
      </c>
      <c r="E11" s="192">
        <f t="shared" ref="E11:E12" si="1">G11-D11</f>
        <v>-328844</v>
      </c>
      <c r="F11" s="701">
        <f t="shared" si="0"/>
        <v>99.431404913864711</v>
      </c>
      <c r="G11" s="702">
        <v>57505634</v>
      </c>
    </row>
    <row r="12" spans="1:7" ht="13.5" thickBot="1" x14ac:dyDescent="0.25">
      <c r="A12" s="883"/>
      <c r="B12" s="703" t="s">
        <v>563</v>
      </c>
      <c r="C12" s="704">
        <v>0</v>
      </c>
      <c r="D12" s="705">
        <v>5577823</v>
      </c>
      <c r="E12" s="192">
        <f t="shared" si="1"/>
        <v>328844</v>
      </c>
      <c r="F12" s="701">
        <f t="shared" si="0"/>
        <v>105.89556176307495</v>
      </c>
      <c r="G12" s="706">
        <v>5906667</v>
      </c>
    </row>
    <row r="13" spans="1:7" ht="13.5" thickBot="1" x14ac:dyDescent="0.25">
      <c r="A13" s="884" t="s">
        <v>83</v>
      </c>
      <c r="B13" s="885"/>
      <c r="C13" s="180">
        <f>C9+C10</f>
        <v>63710301</v>
      </c>
      <c r="D13" s="180">
        <v>63710988</v>
      </c>
      <c r="E13" s="695">
        <f>SUM(E9:E10)</f>
        <v>0</v>
      </c>
      <c r="F13" s="696">
        <f>G13/D13*100</f>
        <v>100</v>
      </c>
      <c r="G13" s="180">
        <f>SUM(G9:G10)</f>
        <v>63710988</v>
      </c>
    </row>
    <row r="14" spans="1:7" x14ac:dyDescent="0.2">
      <c r="A14" s="886" t="s">
        <v>567</v>
      </c>
      <c r="B14" s="887"/>
      <c r="C14" s="887"/>
      <c r="D14" s="887"/>
      <c r="E14" s="887"/>
      <c r="F14" s="887"/>
      <c r="G14" s="888"/>
    </row>
    <row r="15" spans="1:7" x14ac:dyDescent="0.2">
      <c r="A15" s="891" t="s">
        <v>394</v>
      </c>
      <c r="B15" s="893" t="s">
        <v>395</v>
      </c>
      <c r="C15" s="909">
        <v>2019</v>
      </c>
      <c r="D15" s="863"/>
      <c r="E15" s="863"/>
      <c r="F15" s="864"/>
      <c r="G15" s="692">
        <v>2019</v>
      </c>
    </row>
    <row r="16" spans="1:7" ht="13.5" thickBot="1" x14ac:dyDescent="0.25">
      <c r="A16" s="892"/>
      <c r="B16" s="894"/>
      <c r="C16" s="693" t="s">
        <v>537</v>
      </c>
      <c r="D16" s="693" t="s">
        <v>600</v>
      </c>
      <c r="E16" s="693" t="s">
        <v>397</v>
      </c>
      <c r="F16" s="693" t="s">
        <v>398</v>
      </c>
      <c r="G16" s="694" t="s">
        <v>678</v>
      </c>
    </row>
    <row r="17" spans="1:7" ht="21" x14ac:dyDescent="0.2">
      <c r="A17" s="707" t="s">
        <v>401</v>
      </c>
      <c r="B17" s="708" t="s">
        <v>568</v>
      </c>
      <c r="C17" s="708"/>
      <c r="D17" s="709"/>
      <c r="E17" s="194">
        <f>G17-D17</f>
        <v>0</v>
      </c>
      <c r="F17" s="188"/>
      <c r="G17" s="710"/>
    </row>
    <row r="18" spans="1:7" x14ac:dyDescent="0.2">
      <c r="A18" s="185" t="s">
        <v>406</v>
      </c>
      <c r="B18" s="193" t="s">
        <v>353</v>
      </c>
      <c r="C18" s="193"/>
      <c r="D18" s="194">
        <v>28000</v>
      </c>
      <c r="E18" s="194">
        <f>G18-D18</f>
        <v>0</v>
      </c>
      <c r="F18" s="188">
        <f>G18/D18*100</f>
        <v>100</v>
      </c>
      <c r="G18" s="195">
        <v>28000</v>
      </c>
    </row>
    <row r="19" spans="1:7" ht="13.5" thickBot="1" x14ac:dyDescent="0.25">
      <c r="A19" s="185" t="s">
        <v>547</v>
      </c>
      <c r="B19" s="186" t="s">
        <v>548</v>
      </c>
      <c r="C19" s="186"/>
      <c r="D19" s="194">
        <v>1370012</v>
      </c>
      <c r="E19" s="194">
        <f>G19-D19</f>
        <v>0</v>
      </c>
      <c r="F19" s="188">
        <f>G19/D19*100</f>
        <v>100</v>
      </c>
      <c r="G19" s="195">
        <v>1370012</v>
      </c>
    </row>
    <row r="20" spans="1:7" ht="13.5" thickBot="1" x14ac:dyDescent="0.25">
      <c r="A20" s="884" t="s">
        <v>83</v>
      </c>
      <c r="B20" s="885"/>
      <c r="C20" s="180">
        <f>SUM(C17:C19)</f>
        <v>0</v>
      </c>
      <c r="D20" s="180">
        <v>1398012</v>
      </c>
      <c r="E20" s="180">
        <f>SUM(E17:E19)</f>
        <v>0</v>
      </c>
      <c r="F20" s="696">
        <f>G20/D20*100</f>
        <v>100</v>
      </c>
      <c r="G20" s="180">
        <f>SUM(G17:G19)</f>
        <v>1398012</v>
      </c>
    </row>
    <row r="21" spans="1:7" ht="13.5" thickBot="1" x14ac:dyDescent="0.25">
      <c r="A21" s="181"/>
      <c r="B21" s="181"/>
      <c r="C21" s="181"/>
      <c r="D21" s="182"/>
      <c r="E21" s="182"/>
      <c r="F21" s="183"/>
      <c r="G21" s="182"/>
    </row>
    <row r="22" spans="1:7" ht="13.5" thickBot="1" x14ac:dyDescent="0.25">
      <c r="A22" s="884" t="s">
        <v>551</v>
      </c>
      <c r="B22" s="885"/>
      <c r="C22" s="180">
        <f>C13+C20</f>
        <v>63710301</v>
      </c>
      <c r="D22" s="180">
        <f>D13+D20</f>
        <v>65109000</v>
      </c>
      <c r="E22" s="180">
        <f>E13+E20</f>
        <v>0</v>
      </c>
      <c r="F22" s="184">
        <f>G22/D22*100</f>
        <v>100</v>
      </c>
      <c r="G22" s="180">
        <f>G13+G20</f>
        <v>65109000</v>
      </c>
    </row>
    <row r="25" spans="1:7" x14ac:dyDescent="0.2">
      <c r="G25" s="3">
        <f>G22-'[4]Kiadások COFOG szerint'!G89</f>
        <v>0</v>
      </c>
    </row>
  </sheetData>
  <mergeCells count="15">
    <mergeCell ref="B15:B16"/>
    <mergeCell ref="C15:F15"/>
    <mergeCell ref="A20:B20"/>
    <mergeCell ref="A22:B22"/>
    <mergeCell ref="A2:G2"/>
    <mergeCell ref="A3:G3"/>
    <mergeCell ref="A5:G5"/>
    <mergeCell ref="A6:G6"/>
    <mergeCell ref="A7:A8"/>
    <mergeCell ref="B7:B8"/>
    <mergeCell ref="C7:F7"/>
    <mergeCell ref="A10:A12"/>
    <mergeCell ref="A13:B13"/>
    <mergeCell ref="A14:G14"/>
    <mergeCell ref="A15:A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D77C-60CA-4936-A668-8AA801DC298A}">
  <dimension ref="A1:K44"/>
  <sheetViews>
    <sheetView topLeftCell="A13" workbookViewId="0">
      <selection activeCell="K26" sqref="K26"/>
    </sheetView>
  </sheetViews>
  <sheetFormatPr defaultRowHeight="12.75" x14ac:dyDescent="0.2"/>
  <cols>
    <col min="1" max="1" width="12.28515625" customWidth="1"/>
    <col min="2" max="2" width="38.140625" customWidth="1"/>
    <col min="3" max="3" width="15.140625" customWidth="1"/>
    <col min="4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9" x14ac:dyDescent="0.2">
      <c r="F1" s="5"/>
      <c r="G1" s="5"/>
    </row>
    <row r="2" spans="1:9" x14ac:dyDescent="0.2">
      <c r="A2" s="889" t="s">
        <v>677</v>
      </c>
      <c r="B2" s="889"/>
      <c r="C2" s="889"/>
      <c r="D2" s="889"/>
      <c r="E2" s="889"/>
      <c r="F2" s="889"/>
      <c r="G2" s="889"/>
    </row>
    <row r="3" spans="1:9" x14ac:dyDescent="0.2">
      <c r="A3" s="889" t="s">
        <v>566</v>
      </c>
      <c r="B3" s="889"/>
      <c r="C3" s="889"/>
      <c r="D3" s="889"/>
      <c r="E3" s="889"/>
      <c r="F3" s="889"/>
      <c r="G3" s="889"/>
    </row>
    <row r="4" spans="1:9" ht="13.5" thickBot="1" x14ac:dyDescent="0.25">
      <c r="G4" s="158" t="s">
        <v>392</v>
      </c>
    </row>
    <row r="5" spans="1:9" ht="21.75" customHeight="1" thickBot="1" x14ac:dyDescent="0.25">
      <c r="A5" s="898" t="s">
        <v>2</v>
      </c>
      <c r="B5" s="899"/>
      <c r="C5" s="899"/>
      <c r="D5" s="899"/>
      <c r="E5" s="899"/>
      <c r="F5" s="899"/>
      <c r="G5" s="900"/>
    </row>
    <row r="6" spans="1:9" ht="15.75" customHeight="1" x14ac:dyDescent="0.2">
      <c r="A6" s="903" t="s">
        <v>394</v>
      </c>
      <c r="B6" s="905" t="s">
        <v>395</v>
      </c>
      <c r="C6" s="907">
        <v>2019</v>
      </c>
      <c r="D6" s="880"/>
      <c r="E6" s="880"/>
      <c r="F6" s="881"/>
      <c r="G6" s="711">
        <v>2019</v>
      </c>
    </row>
    <row r="7" spans="1:9" ht="30.75" customHeight="1" thickBot="1" x14ac:dyDescent="0.25">
      <c r="A7" s="904"/>
      <c r="B7" s="906"/>
      <c r="C7" s="712" t="s">
        <v>537</v>
      </c>
      <c r="D7" s="713" t="s">
        <v>679</v>
      </c>
      <c r="E7" s="712" t="s">
        <v>397</v>
      </c>
      <c r="F7" s="712" t="s">
        <v>398</v>
      </c>
      <c r="G7" s="714" t="s">
        <v>680</v>
      </c>
    </row>
    <row r="8" spans="1:9" ht="22.5" customHeight="1" x14ac:dyDescent="0.2">
      <c r="A8" s="735" t="s">
        <v>446</v>
      </c>
      <c r="B8" s="736" t="s">
        <v>529</v>
      </c>
      <c r="C8" s="737">
        <v>44564940</v>
      </c>
      <c r="D8" s="737">
        <v>42709771</v>
      </c>
      <c r="E8" s="737">
        <f>G8-D8</f>
        <v>-716000</v>
      </c>
      <c r="F8" s="738">
        <f>G8/D8*100</f>
        <v>98.323568627890793</v>
      </c>
      <c r="G8" s="739">
        <f>'[4]Kiadások COFOG szerint'!G9+'[4]Kiadások COFOG szerint'!G24+'[4]Kiadások COFOG szerint'!G63+'[4]Kiadások COFOG szerint'!G77</f>
        <v>41993771</v>
      </c>
      <c r="H8" s="674"/>
      <c r="I8" s="678"/>
    </row>
    <row r="9" spans="1:9" ht="22.5" customHeight="1" x14ac:dyDescent="0.2">
      <c r="A9" s="735" t="s">
        <v>552</v>
      </c>
      <c r="B9" s="736" t="s">
        <v>686</v>
      </c>
      <c r="C9" s="737">
        <v>0</v>
      </c>
      <c r="D9" s="737">
        <v>1656000</v>
      </c>
      <c r="E9" s="737">
        <f t="shared" ref="E9:E15" si="0">G9-D9</f>
        <v>-50000</v>
      </c>
      <c r="F9" s="738"/>
      <c r="G9" s="739">
        <f>'[4]Kiadások COFOG szerint'!G10+'[4]Kiadások COFOG szerint'!G25+'[4]Kiadások COFOG szerint'!G64+'[4]Kiadások COFOG szerint'!G78</f>
        <v>1606000</v>
      </c>
      <c r="H9" s="674"/>
      <c r="I9" s="678"/>
    </row>
    <row r="10" spans="1:9" ht="22.5" customHeight="1" x14ac:dyDescent="0.2">
      <c r="A10" s="735" t="s">
        <v>555</v>
      </c>
      <c r="B10" s="736" t="s">
        <v>556</v>
      </c>
      <c r="C10" s="737">
        <v>938080</v>
      </c>
      <c r="D10" s="737">
        <v>503080</v>
      </c>
      <c r="E10" s="737">
        <f t="shared" si="0"/>
        <v>0</v>
      </c>
      <c r="F10" s="738">
        <f t="shared" ref="F10:F14" si="1">G10/D10*100</f>
        <v>100</v>
      </c>
      <c r="G10" s="739">
        <f>'[4]Kiadások COFOG szerint'!G26</f>
        <v>503080</v>
      </c>
      <c r="H10" s="674"/>
      <c r="I10" s="678"/>
    </row>
    <row r="11" spans="1:9" ht="22.5" customHeight="1" x14ac:dyDescent="0.2">
      <c r="A11" s="740" t="s">
        <v>532</v>
      </c>
      <c r="B11" s="741" t="s">
        <v>557</v>
      </c>
      <c r="C11" s="737">
        <v>360000</v>
      </c>
      <c r="D11" s="737">
        <v>1184000</v>
      </c>
      <c r="E11" s="737">
        <f t="shared" si="0"/>
        <v>0</v>
      </c>
      <c r="F11" s="738">
        <f t="shared" si="1"/>
        <v>100</v>
      </c>
      <c r="G11" s="742">
        <f>'[4]Kiadások COFOG szerint'!G11+'[4]Kiadások COFOG szerint'!G27+'[4]Kiadások COFOG szerint'!G65+'[4]Kiadások COFOG szerint'!G79</f>
        <v>1184000</v>
      </c>
      <c r="H11" s="678"/>
      <c r="I11" s="678"/>
    </row>
    <row r="12" spans="1:9" ht="22.5" customHeight="1" x14ac:dyDescent="0.2">
      <c r="A12" s="740" t="s">
        <v>449</v>
      </c>
      <c r="B12" s="741" t="s">
        <v>450</v>
      </c>
      <c r="C12" s="737">
        <v>450000</v>
      </c>
      <c r="D12" s="737">
        <v>200000</v>
      </c>
      <c r="E12" s="737">
        <f t="shared" si="0"/>
        <v>15000</v>
      </c>
      <c r="F12" s="738">
        <f t="shared" si="1"/>
        <v>107.5</v>
      </c>
      <c r="G12" s="742">
        <f>'[4]Kiadások COFOG szerint'!G12+'[4]Kiadások COFOG szerint'!G28</f>
        <v>215000</v>
      </c>
      <c r="H12" s="674"/>
      <c r="I12" s="678"/>
    </row>
    <row r="13" spans="1:9" ht="22.5" customHeight="1" x14ac:dyDescent="0.2">
      <c r="A13" s="740" t="s">
        <v>521</v>
      </c>
      <c r="B13" s="741" t="s">
        <v>522</v>
      </c>
      <c r="C13" s="737">
        <v>360000</v>
      </c>
      <c r="D13" s="737">
        <v>360000</v>
      </c>
      <c r="E13" s="737">
        <f t="shared" si="0"/>
        <v>-15000</v>
      </c>
      <c r="F13" s="738">
        <f t="shared" si="1"/>
        <v>95.833333333333343</v>
      </c>
      <c r="G13" s="742">
        <f>'[4]Kiadások COFOG szerint'!G13+'[4]Kiadások COFOG szerint'!G29+'[4]Kiadások COFOG szerint'!G66+'[4]Kiadások COFOG szerint'!G80</f>
        <v>345000</v>
      </c>
      <c r="H13" s="674"/>
      <c r="I13" s="678"/>
    </row>
    <row r="14" spans="1:9" ht="22.5" customHeight="1" x14ac:dyDescent="0.2">
      <c r="A14" s="740" t="s">
        <v>516</v>
      </c>
      <c r="B14" s="741" t="s">
        <v>517</v>
      </c>
      <c r="C14" s="737">
        <v>360000</v>
      </c>
      <c r="D14" s="737">
        <v>863000</v>
      </c>
      <c r="E14" s="737">
        <f t="shared" si="0"/>
        <v>416000</v>
      </c>
      <c r="F14" s="738">
        <f t="shared" si="1"/>
        <v>148.2039397450753</v>
      </c>
      <c r="G14" s="742">
        <f>'[4]Kiadások COFOG szerint'!G14+'[4]Kiadások COFOG szerint'!G67+'[4]Kiadások COFOG szerint'!G81+'[4]Kiadások COFOG szerint'!G30</f>
        <v>1279000</v>
      </c>
      <c r="H14" s="678"/>
      <c r="I14" s="678"/>
    </row>
    <row r="15" spans="1:9" ht="35.25" customHeight="1" thickBot="1" x14ac:dyDescent="0.25">
      <c r="A15" s="740" t="s">
        <v>454</v>
      </c>
      <c r="B15" s="741" t="s">
        <v>687</v>
      </c>
      <c r="C15" s="737">
        <v>0</v>
      </c>
      <c r="D15" s="737">
        <v>0</v>
      </c>
      <c r="E15" s="737">
        <f t="shared" si="0"/>
        <v>541500</v>
      </c>
      <c r="F15" s="738"/>
      <c r="G15" s="742">
        <f>'[4]Kiadások COFOG szerint'!G40</f>
        <v>541500</v>
      </c>
      <c r="H15" s="678"/>
      <c r="I15" s="678"/>
    </row>
    <row r="16" spans="1:9" ht="24" customHeight="1" thickBot="1" x14ac:dyDescent="0.25">
      <c r="A16" s="901" t="s">
        <v>3</v>
      </c>
      <c r="B16" s="902"/>
      <c r="C16" s="715">
        <v>47033020</v>
      </c>
      <c r="D16" s="716">
        <v>47475851</v>
      </c>
      <c r="E16" s="717">
        <f>SUM(E8:E15)</f>
        <v>191500</v>
      </c>
      <c r="F16" s="718">
        <f>G16/D16*100</f>
        <v>100.40336296446797</v>
      </c>
      <c r="G16" s="716">
        <f>SUM(G8:G15)</f>
        <v>47667351</v>
      </c>
      <c r="I16" s="3"/>
    </row>
    <row r="17" spans="1:11" ht="20.100000000000001" customHeight="1" x14ac:dyDescent="0.2">
      <c r="A17" s="735" t="s">
        <v>456</v>
      </c>
      <c r="B17" s="736" t="s">
        <v>457</v>
      </c>
      <c r="C17" s="737">
        <v>9222381</v>
      </c>
      <c r="D17" s="737">
        <v>9177806</v>
      </c>
      <c r="E17" s="737">
        <f>G17-D17</f>
        <v>-220756</v>
      </c>
      <c r="F17" s="738">
        <f>G17/D17*100</f>
        <v>97.59467567738956</v>
      </c>
      <c r="G17" s="739">
        <f>'[4]Kiadások COFOG szerint'!G17+'[4]Kiadások COFOG szerint'!G33+'[4]Kiadások COFOG szerint'!G70+'[4]Kiadások COFOG szerint'!G84+'[4]Kiadások COFOG szerint'!G41</f>
        <v>8957050</v>
      </c>
      <c r="H17" s="674"/>
    </row>
    <row r="18" spans="1:11" ht="23.25" customHeight="1" thickBot="1" x14ac:dyDescent="0.25">
      <c r="A18" s="743" t="s">
        <v>458</v>
      </c>
      <c r="B18" s="744" t="s">
        <v>459</v>
      </c>
      <c r="C18" s="745">
        <v>0</v>
      </c>
      <c r="D18" s="745">
        <v>181744</v>
      </c>
      <c r="E18" s="737">
        <f>G18-D18</f>
        <v>29256</v>
      </c>
      <c r="F18" s="738"/>
      <c r="G18" s="739">
        <f>'[4]Kiadások COFOG szerint'!G18+'[4]Kiadások COFOG szerint'!G34+'[4]Kiadások COFOG szerint'!G71+'[4]Kiadások COFOG szerint'!G85</f>
        <v>211000</v>
      </c>
      <c r="H18" s="674"/>
    </row>
    <row r="19" spans="1:11" ht="24.95" customHeight="1" thickBot="1" x14ac:dyDescent="0.25">
      <c r="A19" s="908" t="s">
        <v>562</v>
      </c>
      <c r="B19" s="902"/>
      <c r="C19" s="715">
        <v>9222381</v>
      </c>
      <c r="D19" s="716">
        <v>9359550</v>
      </c>
      <c r="E19" s="716">
        <f>SUM(E17:E18)</f>
        <v>-191500</v>
      </c>
      <c r="F19" s="718">
        <f>G19/D19*100</f>
        <v>97.953961461822416</v>
      </c>
      <c r="G19" s="716">
        <f>SUM(G17:G18)</f>
        <v>9168050</v>
      </c>
    </row>
    <row r="20" spans="1:11" ht="20.100000000000001" customHeight="1" x14ac:dyDescent="0.2">
      <c r="A20" s="746" t="s">
        <v>460</v>
      </c>
      <c r="B20" s="747" t="s">
        <v>524</v>
      </c>
      <c r="C20" s="737">
        <v>270000</v>
      </c>
      <c r="D20" s="737">
        <v>270000</v>
      </c>
      <c r="E20" s="737">
        <f>G20-D20</f>
        <v>-30000</v>
      </c>
      <c r="F20" s="738">
        <f>G20/D20*100</f>
        <v>88.888888888888886</v>
      </c>
      <c r="G20" s="739">
        <f>'[4]Kiadások COFOG szerint'!G42</f>
        <v>240000</v>
      </c>
      <c r="H20" s="674"/>
      <c r="I20" s="678"/>
    </row>
    <row r="21" spans="1:11" ht="20.100000000000001" customHeight="1" x14ac:dyDescent="0.2">
      <c r="A21" s="746" t="s">
        <v>461</v>
      </c>
      <c r="B21" s="748" t="s">
        <v>462</v>
      </c>
      <c r="C21" s="749">
        <v>750000</v>
      </c>
      <c r="D21" s="749">
        <v>750000</v>
      </c>
      <c r="E21" s="737">
        <f t="shared" ref="E21:E30" si="2">G21-D21</f>
        <v>75000</v>
      </c>
      <c r="F21" s="738">
        <f t="shared" ref="F21:F30" si="3">G21/D21*100</f>
        <v>110.00000000000001</v>
      </c>
      <c r="G21" s="742">
        <f>'[4]Kiadások COFOG szerint'!G43</f>
        <v>825000</v>
      </c>
      <c r="H21" s="674"/>
      <c r="I21" s="678"/>
    </row>
    <row r="22" spans="1:11" ht="20.100000000000001" customHeight="1" x14ac:dyDescent="0.2">
      <c r="A22" s="746" t="s">
        <v>533</v>
      </c>
      <c r="B22" s="741" t="s">
        <v>559</v>
      </c>
      <c r="C22" s="749">
        <v>100000</v>
      </c>
      <c r="D22" s="749">
        <v>100000</v>
      </c>
      <c r="E22" s="737">
        <f t="shared" si="2"/>
        <v>0</v>
      </c>
      <c r="F22" s="738">
        <f t="shared" si="3"/>
        <v>100</v>
      </c>
      <c r="G22" s="742">
        <f>'[4]Kiadások COFOG szerint'!G44</f>
        <v>100000</v>
      </c>
      <c r="H22" s="674"/>
      <c r="I22" s="678"/>
    </row>
    <row r="23" spans="1:11" ht="20.100000000000001" customHeight="1" x14ac:dyDescent="0.2">
      <c r="A23" s="746" t="s">
        <v>684</v>
      </c>
      <c r="B23" s="748" t="s">
        <v>560</v>
      </c>
      <c r="C23" s="749">
        <v>200000</v>
      </c>
      <c r="D23" s="749">
        <v>150000</v>
      </c>
      <c r="E23" s="737">
        <f t="shared" si="2"/>
        <v>0</v>
      </c>
      <c r="F23" s="738">
        <f t="shared" si="3"/>
        <v>100</v>
      </c>
      <c r="G23" s="742">
        <f>'[4]Kiadások COFOG szerint'!G45</f>
        <v>150000</v>
      </c>
      <c r="H23" s="674"/>
      <c r="I23" s="678"/>
    </row>
    <row r="24" spans="1:11" ht="20.100000000000001" customHeight="1" x14ac:dyDescent="0.2">
      <c r="A24" s="746" t="s">
        <v>468</v>
      </c>
      <c r="B24" s="748" t="s">
        <v>688</v>
      </c>
      <c r="C24" s="749">
        <v>2650000</v>
      </c>
      <c r="D24" s="749">
        <v>2850000</v>
      </c>
      <c r="E24" s="737">
        <f t="shared" si="2"/>
        <v>20000</v>
      </c>
      <c r="F24" s="738">
        <f t="shared" si="3"/>
        <v>100.70175438596492</v>
      </c>
      <c r="G24" s="742">
        <f>'[4]Kiadások COFOG szerint'!G46+'[4]Kiadások COFOG szerint'!G47+'[4]Kiadások COFOG szerint'!G48</f>
        <v>2870000</v>
      </c>
      <c r="H24" s="674"/>
      <c r="I24" s="678"/>
    </row>
    <row r="25" spans="1:11" ht="20.100000000000001" customHeight="1" x14ac:dyDescent="0.2">
      <c r="A25" s="746" t="s">
        <v>471</v>
      </c>
      <c r="B25" s="748" t="s">
        <v>689</v>
      </c>
      <c r="C25" s="749">
        <v>1000000</v>
      </c>
      <c r="D25" s="749">
        <v>600000</v>
      </c>
      <c r="E25" s="737">
        <f t="shared" si="2"/>
        <v>-26000</v>
      </c>
      <c r="F25" s="738">
        <f t="shared" si="3"/>
        <v>95.666666666666671</v>
      </c>
      <c r="G25" s="742">
        <f>'[4]Kiadások COFOG szerint'!G49</f>
        <v>574000</v>
      </c>
      <c r="H25" s="674"/>
      <c r="I25" s="678"/>
    </row>
    <row r="26" spans="1:11" ht="20.100000000000001" customHeight="1" x14ac:dyDescent="0.2">
      <c r="A26" s="746" t="s">
        <v>473</v>
      </c>
      <c r="B26" s="748" t="s">
        <v>690</v>
      </c>
      <c r="C26" s="749">
        <v>150000</v>
      </c>
      <c r="D26" s="749">
        <v>200000</v>
      </c>
      <c r="E26" s="737">
        <f t="shared" si="2"/>
        <v>26000</v>
      </c>
      <c r="F26" s="738">
        <f t="shared" si="3"/>
        <v>112.99999999999999</v>
      </c>
      <c r="G26" s="742">
        <f>'[4]Kiadások COFOG szerint'!G50</f>
        <v>226000</v>
      </c>
      <c r="H26" s="674"/>
      <c r="I26" s="678"/>
    </row>
    <row r="27" spans="1:11" ht="20.100000000000001" customHeight="1" x14ac:dyDescent="0.2">
      <c r="A27" s="746" t="s">
        <v>475</v>
      </c>
      <c r="B27" s="748" t="s">
        <v>476</v>
      </c>
      <c r="C27" s="749">
        <v>700000</v>
      </c>
      <c r="D27" s="749">
        <v>445000</v>
      </c>
      <c r="E27" s="737">
        <f t="shared" si="2"/>
        <v>0</v>
      </c>
      <c r="F27" s="738">
        <f t="shared" si="3"/>
        <v>100</v>
      </c>
      <c r="G27" s="742">
        <f>'[4]Kiadások COFOG szerint'!G51</f>
        <v>445000</v>
      </c>
      <c r="H27" s="674"/>
      <c r="I27" s="678"/>
      <c r="K27" s="674"/>
    </row>
    <row r="28" spans="1:11" ht="20.100000000000001" customHeight="1" x14ac:dyDescent="0.2">
      <c r="A28" s="750" t="s">
        <v>509</v>
      </c>
      <c r="B28" s="748" t="s">
        <v>510</v>
      </c>
      <c r="C28" s="749">
        <v>50000</v>
      </c>
      <c r="D28" s="749">
        <v>50000</v>
      </c>
      <c r="E28" s="737">
        <f t="shared" si="2"/>
        <v>10000</v>
      </c>
      <c r="F28" s="738">
        <f t="shared" si="3"/>
        <v>120</v>
      </c>
      <c r="G28" s="742">
        <f>'[4]Kiadások COFOG szerint'!G52</f>
        <v>60000</v>
      </c>
      <c r="H28" s="674"/>
      <c r="I28" s="678"/>
      <c r="K28" s="674"/>
    </row>
    <row r="29" spans="1:11" ht="25.5" customHeight="1" x14ac:dyDescent="0.2">
      <c r="A29" s="740" t="s">
        <v>477</v>
      </c>
      <c r="B29" s="741" t="s">
        <v>478</v>
      </c>
      <c r="C29" s="749">
        <v>1584900</v>
      </c>
      <c r="D29" s="749">
        <v>1277599</v>
      </c>
      <c r="E29" s="737">
        <f t="shared" si="2"/>
        <v>-75000</v>
      </c>
      <c r="F29" s="738">
        <f t="shared" si="3"/>
        <v>94.129613438958543</v>
      </c>
      <c r="G29" s="742">
        <f>'[4]Kiadások COFOG szerint'!G53</f>
        <v>1202599</v>
      </c>
      <c r="H29" s="674"/>
      <c r="I29" s="678"/>
      <c r="K29" s="674"/>
    </row>
    <row r="30" spans="1:11" ht="20.100000000000001" customHeight="1" thickBot="1" x14ac:dyDescent="0.25">
      <c r="A30" s="743" t="s">
        <v>483</v>
      </c>
      <c r="B30" s="744" t="s">
        <v>484</v>
      </c>
      <c r="C30" s="751">
        <v>0</v>
      </c>
      <c r="D30" s="751">
        <v>7000</v>
      </c>
      <c r="E30" s="737">
        <f t="shared" si="2"/>
        <v>0</v>
      </c>
      <c r="F30" s="738">
        <f t="shared" si="3"/>
        <v>100</v>
      </c>
      <c r="G30" s="752">
        <f>'[4]Kiadások COFOG szerint'!G54</f>
        <v>7000</v>
      </c>
      <c r="H30" s="674"/>
      <c r="I30" s="678"/>
      <c r="K30" s="674"/>
    </row>
    <row r="31" spans="1:11" ht="24.95" customHeight="1" thickBot="1" x14ac:dyDescent="0.25">
      <c r="A31" s="901" t="s">
        <v>5</v>
      </c>
      <c r="B31" s="902"/>
      <c r="C31" s="715">
        <v>7454900</v>
      </c>
      <c r="D31" s="716">
        <v>6699599</v>
      </c>
      <c r="E31" s="716">
        <f>SUM(E20:E30)</f>
        <v>0</v>
      </c>
      <c r="F31" s="719">
        <f>G31/D31*100</f>
        <v>100</v>
      </c>
      <c r="G31" s="716">
        <f>SUM(G20:G30)</f>
        <v>6699599</v>
      </c>
      <c r="K31" s="674"/>
    </row>
    <row r="32" spans="1:11" ht="24.95" customHeight="1" x14ac:dyDescent="0.2">
      <c r="A32" s="720" t="s">
        <v>498</v>
      </c>
      <c r="B32" s="721" t="s">
        <v>564</v>
      </c>
      <c r="C32" s="722">
        <v>0</v>
      </c>
      <c r="D32" s="722">
        <v>1270000</v>
      </c>
      <c r="E32" s="723">
        <f>G32-D32</f>
        <v>0</v>
      </c>
      <c r="F32" s="724">
        <f>G32/D32*100</f>
        <v>100</v>
      </c>
      <c r="G32" s="725">
        <f>'[4]Kiadások COFOG szerint'!G56</f>
        <v>1270000</v>
      </c>
      <c r="K32" s="674"/>
    </row>
    <row r="33" spans="1:11" ht="24.95" customHeight="1" thickBot="1" x14ac:dyDescent="0.25">
      <c r="A33" s="726" t="s">
        <v>500</v>
      </c>
      <c r="B33" s="727" t="s">
        <v>565</v>
      </c>
      <c r="C33" s="728">
        <v>0</v>
      </c>
      <c r="D33" s="728">
        <v>304000</v>
      </c>
      <c r="E33" s="729">
        <f>G33-D33</f>
        <v>0</v>
      </c>
      <c r="F33" s="730">
        <f>G33/D33*100</f>
        <v>100</v>
      </c>
      <c r="G33" s="731">
        <f>'[4]Kiadások COFOG szerint'!G57</f>
        <v>304000</v>
      </c>
      <c r="K33" s="674"/>
    </row>
    <row r="34" spans="1:11" ht="24.95" customHeight="1" thickBot="1" x14ac:dyDescent="0.25">
      <c r="A34" s="901" t="s">
        <v>691</v>
      </c>
      <c r="B34" s="902"/>
      <c r="C34" s="715">
        <v>0</v>
      </c>
      <c r="D34" s="716">
        <v>1574000</v>
      </c>
      <c r="E34" s="716">
        <f>SUM(E32:E33)</f>
        <v>0</v>
      </c>
      <c r="F34" s="719">
        <f>G34/D34*100</f>
        <v>100</v>
      </c>
      <c r="G34" s="716">
        <f>SUM(G32:G33)</f>
        <v>1574000</v>
      </c>
      <c r="K34" s="674"/>
    </row>
    <row r="35" spans="1:11" ht="21.75" customHeight="1" thickBot="1" x14ac:dyDescent="0.25">
      <c r="A35" s="896" t="s">
        <v>155</v>
      </c>
      <c r="B35" s="897"/>
      <c r="C35" s="732">
        <f>C16+C19+C31+C34</f>
        <v>63710301</v>
      </c>
      <c r="D35" s="732">
        <v>65109000</v>
      </c>
      <c r="E35" s="732">
        <f>E16+E19+E31+E34</f>
        <v>0</v>
      </c>
      <c r="F35" s="733">
        <f>G35/D35*100</f>
        <v>100</v>
      </c>
      <c r="G35" s="734">
        <f t="shared" ref="G35" si="4">G16+G19+G31+G34</f>
        <v>65109000</v>
      </c>
      <c r="H35" s="670"/>
      <c r="K35" s="674"/>
    </row>
    <row r="36" spans="1:11" x14ac:dyDescent="0.2">
      <c r="K36" s="674"/>
    </row>
    <row r="37" spans="1:11" x14ac:dyDescent="0.2">
      <c r="B37" s="157" t="s">
        <v>625</v>
      </c>
      <c r="C37" s="573">
        <f>C35-'[4]Kiadások COFOG szerint'!C89</f>
        <v>0</v>
      </c>
      <c r="D37" s="573">
        <f>D35-'[4]Kiadások COFOG szerint'!D89</f>
        <v>0</v>
      </c>
      <c r="E37" s="573">
        <f>E35-'[4]Kiadások COFOG szerint'!E89</f>
        <v>0</v>
      </c>
      <c r="F37" s="573">
        <f>F35-'[4]Kiadások COFOG szerint'!F89</f>
        <v>0</v>
      </c>
      <c r="G37" s="573">
        <f>G35-'[4]Kiadások COFOG szerint'!G89</f>
        <v>0</v>
      </c>
      <c r="K37" s="674"/>
    </row>
    <row r="38" spans="1:11" x14ac:dyDescent="0.2">
      <c r="K38" s="674"/>
    </row>
    <row r="39" spans="1:11" x14ac:dyDescent="0.2">
      <c r="K39" s="674"/>
    </row>
    <row r="40" spans="1:11" x14ac:dyDescent="0.2">
      <c r="K40" s="674"/>
    </row>
    <row r="41" spans="1:11" x14ac:dyDescent="0.2">
      <c r="K41" s="674"/>
    </row>
    <row r="42" spans="1:11" x14ac:dyDescent="0.2">
      <c r="K42" s="674"/>
    </row>
    <row r="43" spans="1:11" x14ac:dyDescent="0.2">
      <c r="K43" s="674"/>
    </row>
    <row r="44" spans="1:11" x14ac:dyDescent="0.2">
      <c r="K44" s="678"/>
    </row>
  </sheetData>
  <mergeCells count="11">
    <mergeCell ref="A35:B35"/>
    <mergeCell ref="A31:B31"/>
    <mergeCell ref="A34:B34"/>
    <mergeCell ref="A2:G2"/>
    <mergeCell ref="A3:G3"/>
    <mergeCell ref="A5:G5"/>
    <mergeCell ref="A6:A7"/>
    <mergeCell ref="B6:B7"/>
    <mergeCell ref="C6:F6"/>
    <mergeCell ref="A19:B19"/>
    <mergeCell ref="A16:B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F126"/>
  <sheetViews>
    <sheetView tabSelected="1" topLeftCell="A94" zoomScaleNormal="100" workbookViewId="0"/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2" spans="2:4" ht="15" x14ac:dyDescent="0.2">
      <c r="B2" s="910" t="s">
        <v>380</v>
      </c>
      <c r="C2" s="910"/>
      <c r="D2" s="910"/>
    </row>
    <row r="3" spans="2:4" ht="15" x14ac:dyDescent="0.2">
      <c r="B3" s="84"/>
      <c r="C3" s="84"/>
      <c r="D3" s="84"/>
    </row>
    <row r="4" spans="2:4" ht="15" x14ac:dyDescent="0.2">
      <c r="B4" s="84"/>
      <c r="C4" s="84"/>
      <c r="D4" s="84"/>
    </row>
    <row r="5" spans="2:4" ht="15" x14ac:dyDescent="0.2">
      <c r="B5" s="84"/>
      <c r="C5" s="84"/>
      <c r="D5" s="84"/>
    </row>
    <row r="6" spans="2:4" ht="15" x14ac:dyDescent="0.2">
      <c r="B6" s="84"/>
      <c r="C6" s="84"/>
      <c r="D6" s="84"/>
    </row>
    <row r="7" spans="2:4" ht="15" thickBot="1" x14ac:dyDescent="0.25">
      <c r="B7" s="911"/>
      <c r="C7" s="912"/>
      <c r="D7" s="912"/>
    </row>
    <row r="8" spans="2:4" x14ac:dyDescent="0.2">
      <c r="B8" s="196" t="s">
        <v>12</v>
      </c>
      <c r="C8" s="197" t="s">
        <v>13</v>
      </c>
      <c r="D8" s="198" t="s">
        <v>14</v>
      </c>
    </row>
    <row r="9" spans="2:4" x14ac:dyDescent="0.2">
      <c r="B9" s="199" t="s">
        <v>15</v>
      </c>
      <c r="C9" s="200"/>
      <c r="D9" s="201" t="s">
        <v>243</v>
      </c>
    </row>
    <row r="10" spans="2:4" x14ac:dyDescent="0.2">
      <c r="B10" s="199"/>
      <c r="C10" s="202">
        <v>1</v>
      </c>
      <c r="D10" s="203" t="s">
        <v>569</v>
      </c>
    </row>
    <row r="11" spans="2:4" x14ac:dyDescent="0.2">
      <c r="B11" s="199"/>
      <c r="C11" s="202">
        <v>2</v>
      </c>
      <c r="D11" s="204" t="s">
        <v>16</v>
      </c>
    </row>
    <row r="12" spans="2:4" x14ac:dyDescent="0.2">
      <c r="B12" s="199"/>
      <c r="C12" s="202">
        <v>3</v>
      </c>
      <c r="D12" s="203" t="s">
        <v>305</v>
      </c>
    </row>
    <row r="13" spans="2:4" ht="25.5" x14ac:dyDescent="0.2">
      <c r="B13" s="199"/>
      <c r="C13" s="202">
        <v>4</v>
      </c>
      <c r="D13" s="205" t="s">
        <v>306</v>
      </c>
    </row>
    <row r="14" spans="2:4" x14ac:dyDescent="0.2">
      <c r="B14" s="199"/>
      <c r="C14" s="202">
        <v>5</v>
      </c>
      <c r="D14" s="203" t="s">
        <v>307</v>
      </c>
    </row>
    <row r="15" spans="2:4" x14ac:dyDescent="0.2">
      <c r="B15" s="199"/>
      <c r="C15" s="202">
        <v>6</v>
      </c>
      <c r="D15" s="204" t="s">
        <v>19</v>
      </c>
    </row>
    <row r="16" spans="2:4" x14ac:dyDescent="0.2">
      <c r="B16" s="199"/>
      <c r="C16" s="202">
        <v>7</v>
      </c>
      <c r="D16" s="204" t="s">
        <v>308</v>
      </c>
    </row>
    <row r="17" spans="2:4" x14ac:dyDescent="0.2">
      <c r="B17" s="199"/>
      <c r="C17" s="202">
        <v>8</v>
      </c>
      <c r="D17" s="204" t="s">
        <v>309</v>
      </c>
    </row>
    <row r="18" spans="2:4" x14ac:dyDescent="0.2">
      <c r="B18" s="199"/>
      <c r="C18" s="202">
        <v>9</v>
      </c>
      <c r="D18" s="204" t="s">
        <v>323</v>
      </c>
    </row>
    <row r="19" spans="2:4" x14ac:dyDescent="0.2">
      <c r="B19" s="199"/>
      <c r="C19" s="202">
        <v>10</v>
      </c>
      <c r="D19" s="204" t="s">
        <v>378</v>
      </c>
    </row>
    <row r="20" spans="2:4" ht="28.5" customHeight="1" x14ac:dyDescent="0.2">
      <c r="B20" s="199"/>
      <c r="C20" s="202">
        <v>11</v>
      </c>
      <c r="D20" s="204" t="s">
        <v>311</v>
      </c>
    </row>
    <row r="21" spans="2:4" ht="13.5" customHeight="1" x14ac:dyDescent="0.2">
      <c r="B21" s="199"/>
      <c r="C21" s="202">
        <v>12</v>
      </c>
      <c r="D21" s="204" t="s">
        <v>17</v>
      </c>
    </row>
    <row r="22" spans="2:4" ht="13.5" customHeight="1" x14ac:dyDescent="0.2">
      <c r="B22" s="199"/>
      <c r="C22" s="202">
        <v>13</v>
      </c>
      <c r="D22" s="204" t="s">
        <v>18</v>
      </c>
    </row>
    <row r="23" spans="2:4" ht="13.5" customHeight="1" x14ac:dyDescent="0.2">
      <c r="B23" s="199"/>
      <c r="C23" s="202">
        <v>14</v>
      </c>
      <c r="D23" s="204" t="s">
        <v>377</v>
      </c>
    </row>
    <row r="24" spans="2:4" ht="13.5" customHeight="1" x14ac:dyDescent="0.2">
      <c r="B24" s="199"/>
      <c r="C24" s="202">
        <v>15</v>
      </c>
      <c r="D24" s="204" t="s">
        <v>378</v>
      </c>
    </row>
    <row r="25" spans="2:4" x14ac:dyDescent="0.2">
      <c r="B25" s="199"/>
      <c r="C25" s="202">
        <v>16</v>
      </c>
      <c r="D25" s="204" t="s">
        <v>695</v>
      </c>
    </row>
    <row r="26" spans="2:4" x14ac:dyDescent="0.2">
      <c r="B26" s="199"/>
      <c r="C26" s="202">
        <v>17</v>
      </c>
      <c r="D26" s="203" t="s">
        <v>20</v>
      </c>
    </row>
    <row r="27" spans="2:4" x14ac:dyDescent="0.2">
      <c r="B27" s="199"/>
      <c r="C27" s="202">
        <v>18</v>
      </c>
      <c r="D27" s="203" t="s">
        <v>21</v>
      </c>
    </row>
    <row r="28" spans="2:4" x14ac:dyDescent="0.2">
      <c r="B28" s="199"/>
      <c r="C28" s="202">
        <v>19</v>
      </c>
      <c r="D28" s="204" t="s">
        <v>312</v>
      </c>
    </row>
    <row r="29" spans="2:4" x14ac:dyDescent="0.2">
      <c r="B29" s="199"/>
      <c r="C29" s="202">
        <v>20</v>
      </c>
      <c r="D29" s="203" t="s">
        <v>313</v>
      </c>
    </row>
    <row r="30" spans="2:4" x14ac:dyDescent="0.2">
      <c r="B30" s="199"/>
      <c r="C30" s="202">
        <v>21</v>
      </c>
      <c r="D30" s="203" t="s">
        <v>22</v>
      </c>
    </row>
    <row r="31" spans="2:4" x14ac:dyDescent="0.2">
      <c r="B31" s="199"/>
      <c r="C31" s="202">
        <v>22</v>
      </c>
      <c r="D31" s="203" t="s">
        <v>245</v>
      </c>
    </row>
    <row r="32" spans="2:4" x14ac:dyDescent="0.2">
      <c r="B32" s="199"/>
      <c r="C32" s="202">
        <v>23</v>
      </c>
      <c r="D32" s="203" t="s">
        <v>23</v>
      </c>
    </row>
    <row r="33" spans="2:4" x14ac:dyDescent="0.2">
      <c r="B33" s="199"/>
      <c r="C33" s="202">
        <v>24</v>
      </c>
      <c r="D33" s="203" t="s">
        <v>24</v>
      </c>
    </row>
    <row r="34" spans="2:4" x14ac:dyDescent="0.2">
      <c r="B34" s="199"/>
      <c r="C34" s="202">
        <v>25</v>
      </c>
      <c r="D34" s="203" t="s">
        <v>25</v>
      </c>
    </row>
    <row r="35" spans="2:4" x14ac:dyDescent="0.2">
      <c r="B35" s="199"/>
      <c r="C35" s="202">
        <v>26</v>
      </c>
      <c r="D35" s="203" t="s">
        <v>26</v>
      </c>
    </row>
    <row r="36" spans="2:4" x14ac:dyDescent="0.2">
      <c r="B36" s="199"/>
      <c r="C36" s="202">
        <v>27</v>
      </c>
      <c r="D36" s="203" t="s">
        <v>27</v>
      </c>
    </row>
    <row r="37" spans="2:4" x14ac:dyDescent="0.2">
      <c r="B37" s="199"/>
      <c r="C37" s="202">
        <v>28</v>
      </c>
      <c r="D37" s="203" t="s">
        <v>246</v>
      </c>
    </row>
    <row r="38" spans="2:4" x14ac:dyDescent="0.2">
      <c r="B38" s="199"/>
      <c r="C38" s="202">
        <v>29</v>
      </c>
      <c r="D38" s="132" t="s">
        <v>314</v>
      </c>
    </row>
    <row r="39" spans="2:4" x14ac:dyDescent="0.2">
      <c r="B39" s="199"/>
      <c r="C39" s="202">
        <v>30</v>
      </c>
      <c r="D39" s="203" t="s">
        <v>315</v>
      </c>
    </row>
    <row r="40" spans="2:4" x14ac:dyDescent="0.2">
      <c r="B40" s="199"/>
      <c r="C40" s="202">
        <v>31</v>
      </c>
      <c r="D40" s="203" t="s">
        <v>316</v>
      </c>
    </row>
    <row r="41" spans="2:4" x14ac:dyDescent="0.2">
      <c r="B41" s="199"/>
      <c r="C41" s="202">
        <v>32</v>
      </c>
      <c r="D41" s="203" t="s">
        <v>28</v>
      </c>
    </row>
    <row r="42" spans="2:4" x14ac:dyDescent="0.2">
      <c r="B42" s="199"/>
      <c r="C42" s="202">
        <v>33</v>
      </c>
      <c r="D42" s="203" t="s">
        <v>29</v>
      </c>
    </row>
    <row r="43" spans="2:4" x14ac:dyDescent="0.2">
      <c r="B43" s="199"/>
      <c r="C43" s="202">
        <v>34</v>
      </c>
      <c r="D43" s="203" t="s">
        <v>696</v>
      </c>
    </row>
    <row r="44" spans="2:4" x14ac:dyDescent="0.2">
      <c r="B44" s="199"/>
      <c r="C44" s="202">
        <v>35</v>
      </c>
      <c r="D44" s="203" t="s">
        <v>31</v>
      </c>
    </row>
    <row r="45" spans="2:4" x14ac:dyDescent="0.2">
      <c r="B45" s="199"/>
      <c r="C45" s="202">
        <v>36</v>
      </c>
      <c r="D45" s="203" t="s">
        <v>32</v>
      </c>
    </row>
    <row r="46" spans="2:4" x14ac:dyDescent="0.2">
      <c r="B46" s="199"/>
      <c r="C46" s="202">
        <v>37</v>
      </c>
      <c r="D46" s="203" t="s">
        <v>247</v>
      </c>
    </row>
    <row r="47" spans="2:4" x14ac:dyDescent="0.2">
      <c r="B47" s="199"/>
      <c r="C47" s="202">
        <v>38</v>
      </c>
      <c r="D47" s="203" t="s">
        <v>248</v>
      </c>
    </row>
    <row r="48" spans="2:4" x14ac:dyDescent="0.2">
      <c r="B48" s="199"/>
      <c r="C48" s="202">
        <v>39</v>
      </c>
      <c r="D48" s="203" t="s">
        <v>249</v>
      </c>
    </row>
    <row r="49" spans="2:5" x14ac:dyDescent="0.2">
      <c r="B49" s="199"/>
      <c r="C49" s="202">
        <v>40</v>
      </c>
      <c r="D49" s="204" t="s">
        <v>317</v>
      </c>
    </row>
    <row r="50" spans="2:5" x14ac:dyDescent="0.2">
      <c r="B50" s="199"/>
      <c r="C50" s="202">
        <v>41</v>
      </c>
      <c r="D50" s="204" t="s">
        <v>318</v>
      </c>
    </row>
    <row r="51" spans="2:5" x14ac:dyDescent="0.2">
      <c r="B51" s="199"/>
      <c r="C51" s="202">
        <v>42</v>
      </c>
      <c r="D51" s="204" t="s">
        <v>319</v>
      </c>
    </row>
    <row r="52" spans="2:5" ht="25.5" x14ac:dyDescent="0.2">
      <c r="B52" s="199"/>
      <c r="C52" s="202">
        <v>43</v>
      </c>
      <c r="D52" s="204" t="s">
        <v>250</v>
      </c>
    </row>
    <row r="53" spans="2:5" x14ac:dyDescent="0.2">
      <c r="B53" s="199"/>
      <c r="C53" s="202">
        <v>44</v>
      </c>
      <c r="D53" s="204" t="s">
        <v>251</v>
      </c>
    </row>
    <row r="54" spans="2:5" x14ac:dyDescent="0.2">
      <c r="B54" s="199"/>
      <c r="C54" s="202">
        <v>45</v>
      </c>
      <c r="D54" s="204" t="s">
        <v>252</v>
      </c>
    </row>
    <row r="55" spans="2:5" x14ac:dyDescent="0.2">
      <c r="B55" s="199"/>
      <c r="C55" s="202">
        <v>46</v>
      </c>
      <c r="D55" s="204" t="s">
        <v>253</v>
      </c>
    </row>
    <row r="56" spans="2:5" ht="13.5" thickBot="1" x14ac:dyDescent="0.25">
      <c r="B56" s="206"/>
      <c r="C56" s="207">
        <v>47</v>
      </c>
      <c r="D56" s="208" t="s">
        <v>34</v>
      </c>
    </row>
    <row r="57" spans="2:5" x14ac:dyDescent="0.2">
      <c r="B57" s="88"/>
      <c r="C57" s="89"/>
      <c r="D57" s="134"/>
    </row>
    <row r="58" spans="2:5" x14ac:dyDescent="0.2">
      <c r="B58" s="88"/>
      <c r="C58" s="89"/>
      <c r="D58" s="134"/>
    </row>
    <row r="59" spans="2:5" x14ac:dyDescent="0.2">
      <c r="B59" s="88"/>
      <c r="C59" s="89"/>
      <c r="D59" s="134"/>
    </row>
    <row r="60" spans="2:5" x14ac:dyDescent="0.2">
      <c r="B60" s="88"/>
      <c r="C60" s="89"/>
      <c r="D60" s="134"/>
      <c r="E60" s="1" t="s">
        <v>15</v>
      </c>
    </row>
    <row r="61" spans="2:5" x14ac:dyDescent="0.2">
      <c r="B61" s="88"/>
      <c r="C61" s="89"/>
      <c r="D61" s="134"/>
    </row>
    <row r="62" spans="2:5" ht="13.5" thickBot="1" x14ac:dyDescent="0.25">
      <c r="B62" s="88"/>
      <c r="C62" s="89"/>
      <c r="D62" s="135"/>
    </row>
    <row r="63" spans="2:5" x14ac:dyDescent="0.2">
      <c r="B63" s="85" t="s">
        <v>12</v>
      </c>
      <c r="C63" s="86" t="s">
        <v>13</v>
      </c>
      <c r="D63" s="136" t="s">
        <v>14</v>
      </c>
    </row>
    <row r="64" spans="2:5" x14ac:dyDescent="0.2">
      <c r="B64" s="90" t="s">
        <v>37</v>
      </c>
      <c r="C64" s="209"/>
      <c r="D64" s="137" t="s">
        <v>254</v>
      </c>
    </row>
    <row r="65" spans="2:6" ht="25.5" x14ac:dyDescent="0.2">
      <c r="B65" s="210"/>
      <c r="C65" s="65">
        <v>1</v>
      </c>
      <c r="D65" s="131" t="s">
        <v>320</v>
      </c>
      <c r="F65" s="145"/>
    </row>
    <row r="66" spans="2:6" x14ac:dyDescent="0.2">
      <c r="B66" s="210"/>
      <c r="C66" s="65">
        <v>2</v>
      </c>
      <c r="D66" s="129" t="s">
        <v>313</v>
      </c>
    </row>
    <row r="67" spans="2:6" x14ac:dyDescent="0.2">
      <c r="B67" s="210"/>
      <c r="C67" s="211">
        <v>3</v>
      </c>
      <c r="D67" s="129" t="s">
        <v>325</v>
      </c>
    </row>
    <row r="68" spans="2:6" x14ac:dyDescent="0.2">
      <c r="B68" s="210"/>
      <c r="C68" s="65">
        <v>4</v>
      </c>
      <c r="D68" s="129" t="s">
        <v>255</v>
      </c>
    </row>
    <row r="69" spans="2:6" x14ac:dyDescent="0.2">
      <c r="B69" s="210"/>
      <c r="C69" s="65">
        <v>5</v>
      </c>
      <c r="D69" s="129" t="s">
        <v>321</v>
      </c>
    </row>
    <row r="70" spans="2:6" ht="25.5" x14ac:dyDescent="0.2">
      <c r="B70" s="138"/>
      <c r="C70" s="65">
        <v>6</v>
      </c>
      <c r="D70" s="131" t="s">
        <v>306</v>
      </c>
    </row>
    <row r="71" spans="2:6" x14ac:dyDescent="0.2">
      <c r="B71" s="138"/>
      <c r="C71" s="65">
        <v>7</v>
      </c>
      <c r="D71" s="129" t="s">
        <v>322</v>
      </c>
    </row>
    <row r="72" spans="2:6" x14ac:dyDescent="0.2">
      <c r="B72" s="138"/>
      <c r="C72" s="65">
        <v>8</v>
      </c>
      <c r="D72" s="129" t="s">
        <v>323</v>
      </c>
    </row>
    <row r="73" spans="2:6" x14ac:dyDescent="0.2">
      <c r="B73" s="90" t="s">
        <v>38</v>
      </c>
      <c r="C73" s="209"/>
      <c r="D73" s="137" t="s">
        <v>256</v>
      </c>
    </row>
    <row r="74" spans="2:6" x14ac:dyDescent="0.2">
      <c r="B74" s="90"/>
      <c r="C74" s="64">
        <v>1</v>
      </c>
      <c r="D74" s="129" t="s">
        <v>257</v>
      </c>
    </row>
    <row r="75" spans="2:6" x14ac:dyDescent="0.2">
      <c r="B75" s="90"/>
      <c r="C75" s="64">
        <v>2</v>
      </c>
      <c r="D75" s="129" t="s">
        <v>258</v>
      </c>
    </row>
    <row r="76" spans="2:6" x14ac:dyDescent="0.2">
      <c r="B76" s="87"/>
      <c r="C76" s="65">
        <v>3</v>
      </c>
      <c r="D76" s="129" t="s">
        <v>33</v>
      </c>
    </row>
    <row r="77" spans="2:6" x14ac:dyDescent="0.2">
      <c r="B77" s="87"/>
      <c r="C77" s="65">
        <v>4</v>
      </c>
      <c r="D77" s="129" t="s">
        <v>324</v>
      </c>
    </row>
    <row r="78" spans="2:6" x14ac:dyDescent="0.2">
      <c r="B78" s="87"/>
      <c r="C78" s="65">
        <v>5</v>
      </c>
      <c r="D78" s="129" t="s">
        <v>379</v>
      </c>
    </row>
    <row r="79" spans="2:6" x14ac:dyDescent="0.2">
      <c r="B79" s="87"/>
      <c r="C79" s="65">
        <v>6</v>
      </c>
      <c r="D79" s="129" t="s">
        <v>323</v>
      </c>
    </row>
    <row r="80" spans="2:6" x14ac:dyDescent="0.2">
      <c r="B80" s="90" t="s">
        <v>39</v>
      </c>
      <c r="C80" s="212"/>
      <c r="D80" s="137" t="s">
        <v>366</v>
      </c>
    </row>
    <row r="81" spans="2:4" x14ac:dyDescent="0.2">
      <c r="B81" s="213"/>
      <c r="C81" s="64">
        <v>1</v>
      </c>
      <c r="D81" s="129" t="s">
        <v>326</v>
      </c>
    </row>
    <row r="82" spans="2:4" x14ac:dyDescent="0.2">
      <c r="B82" s="213"/>
      <c r="C82" s="64">
        <v>2</v>
      </c>
      <c r="D82" s="129" t="s">
        <v>310</v>
      </c>
    </row>
    <row r="83" spans="2:4" x14ac:dyDescent="0.2">
      <c r="B83" s="213"/>
      <c r="C83" s="64">
        <v>3</v>
      </c>
      <c r="D83" s="129" t="s">
        <v>262</v>
      </c>
    </row>
    <row r="84" spans="2:4" x14ac:dyDescent="0.2">
      <c r="B84" s="213"/>
      <c r="C84" s="64">
        <v>4</v>
      </c>
      <c r="D84" s="129" t="s">
        <v>327</v>
      </c>
    </row>
    <row r="85" spans="2:4" x14ac:dyDescent="0.2">
      <c r="B85" s="213"/>
      <c r="C85" s="64">
        <v>5</v>
      </c>
      <c r="D85" s="129" t="s">
        <v>17</v>
      </c>
    </row>
    <row r="86" spans="2:4" x14ac:dyDescent="0.2">
      <c r="B86" s="214"/>
      <c r="C86" s="67">
        <v>6</v>
      </c>
      <c r="D86" s="152" t="s">
        <v>323</v>
      </c>
    </row>
    <row r="87" spans="2:4" ht="13.5" thickBot="1" x14ac:dyDescent="0.25">
      <c r="B87" s="215"/>
      <c r="C87" s="130">
        <v>7</v>
      </c>
      <c r="D87" s="133" t="s">
        <v>362</v>
      </c>
    </row>
    <row r="126" spans="5:5" x14ac:dyDescent="0.2">
      <c r="E126" s="1"/>
    </row>
  </sheetData>
  <mergeCells count="2">
    <mergeCell ref="B2:D2"/>
    <mergeCell ref="B7:D7"/>
  </mergeCells>
  <phoneticPr fontId="13" type="noConversion"/>
  <pageMargins left="0.74803149606299213" right="0.74803149606299213" top="0.19685039370078741" bottom="0.39370078740157483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</vt:i4>
      </vt:variant>
    </vt:vector>
  </HeadingPairs>
  <TitlesOfParts>
    <vt:vector size="22" baseType="lpstr">
      <vt:lpstr>Önk.bev.</vt:lpstr>
      <vt:lpstr>Önk.kiad.</vt:lpstr>
      <vt:lpstr>Hiv.bev.</vt:lpstr>
      <vt:lpstr>Hiv.kiad.</vt:lpstr>
      <vt:lpstr>Művh.bev.</vt:lpstr>
      <vt:lpstr>Művh.kiad.</vt:lpstr>
      <vt:lpstr>Ovibev.</vt:lpstr>
      <vt:lpstr>Ovikiad.</vt:lpstr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  <vt:lpstr>'1.sz.melléklet'!Nyomtatási_terület</vt:lpstr>
      <vt:lpstr>'5. sz. 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lastPrinted>2020-06-24T07:53:46Z</cp:lastPrinted>
  <dcterms:created xsi:type="dcterms:W3CDTF">2004-07-16T06:20:01Z</dcterms:created>
  <dcterms:modified xsi:type="dcterms:W3CDTF">2020-07-15T08:12:10Z</dcterms:modified>
</cp:coreProperties>
</file>