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4.sz tájékoztató t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<sst xmlns="http://schemas.openxmlformats.org/spreadsheetml/2006/main" count="65" uniqueCount="65">
  <si>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2017 évre</t>
  </si>
  <si>
    <t>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</si>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</sst>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 CE"/>
      <family val="1"/>
    </font>
    <font>
      <b/>
      <sz val="11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9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71" applyFont="1" applyFill="1" applyAlignment="1" applyProtection="1">
      <alignment horizontal="center" wrapText="1"/>
      <protection/>
    </xf>
    <xf numFmtId="0" fontId="19" fillId="0" borderId="0" xfId="71" applyFont="1" applyFill="1" applyAlignment="1" applyProtection="1">
      <alignment horizontal="center"/>
      <protection/>
    </xf>
    <xf numFmtId="0" fontId="18" fillId="0" borderId="0" xfId="71" applyFill="1" applyProtection="1">
      <alignment/>
      <protection locked="0"/>
    </xf>
    <xf numFmtId="0" fontId="18" fillId="0" borderId="0" xfId="71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71" applyFont="1" applyFill="1" applyBorder="1" applyAlignment="1" applyProtection="1">
      <alignment horizontal="center" vertical="center" wrapText="1"/>
      <protection locked="0"/>
    </xf>
    <xf numFmtId="0" fontId="21" fillId="0" borderId="11" xfId="71" applyFont="1" applyFill="1" applyBorder="1" applyAlignment="1" applyProtection="1">
      <alignment horizontal="center" vertical="center"/>
      <protection locked="0"/>
    </xf>
    <xf numFmtId="0" fontId="21" fillId="0" borderId="12" xfId="71" applyFont="1" applyFill="1" applyBorder="1" applyAlignment="1" applyProtection="1">
      <alignment horizontal="center" vertical="center"/>
      <protection locked="0"/>
    </xf>
    <xf numFmtId="0" fontId="22" fillId="0" borderId="13" xfId="71" applyFont="1" applyFill="1" applyBorder="1" applyAlignment="1" applyProtection="1">
      <alignment horizontal="left" vertical="center" indent="1"/>
      <protection/>
    </xf>
    <xf numFmtId="0" fontId="23" fillId="0" borderId="14" xfId="71" applyFont="1" applyFill="1" applyBorder="1" applyAlignment="1" applyProtection="1">
      <alignment horizontal="left" vertical="center" indent="1"/>
      <protection/>
    </xf>
    <xf numFmtId="0" fontId="23" fillId="0" borderId="15" xfId="71" applyFont="1" applyFill="1" applyBorder="1" applyAlignment="1" applyProtection="1">
      <alignment horizontal="left" vertical="center" indent="1"/>
      <protection/>
    </xf>
    <xf numFmtId="0" fontId="23" fillId="0" borderId="16" xfId="71" applyFont="1" applyFill="1" applyBorder="1" applyAlignment="1" applyProtection="1">
      <alignment horizontal="left" vertical="center" indent="1"/>
      <protection/>
    </xf>
    <xf numFmtId="0" fontId="18" fillId="0" borderId="0" xfId="71" applyFill="1" applyAlignment="1" applyProtection="1">
      <alignment vertical="center"/>
      <protection/>
    </xf>
    <xf numFmtId="0" fontId="22" fillId="0" borderId="17" xfId="71" applyFont="1" applyFill="1" applyBorder="1" applyAlignment="1" applyProtection="1">
      <alignment horizontal="left" vertical="center" indent="1"/>
      <protection/>
    </xf>
    <xf numFmtId="0" fontId="22" fillId="0" borderId="18" xfId="71" applyFont="1" applyFill="1" applyBorder="1" applyAlignment="1" applyProtection="1">
      <alignment horizontal="left" vertical="center" wrapText="1" indent="1"/>
      <protection/>
    </xf>
    <xf numFmtId="164" fontId="22" fillId="0" borderId="18" xfId="71" applyNumberFormat="1" applyFont="1" applyFill="1" applyBorder="1" applyAlignment="1" applyProtection="1">
      <alignment vertical="center"/>
      <protection locked="0"/>
    </xf>
    <xf numFmtId="164" fontId="22" fillId="0" borderId="19" xfId="71" applyNumberFormat="1" applyFont="1" applyFill="1" applyBorder="1" applyAlignment="1" applyProtection="1">
      <alignment vertical="center"/>
      <protection/>
    </xf>
    <xf numFmtId="0" fontId="22" fillId="0" borderId="20" xfId="71" applyFont="1" applyFill="1" applyBorder="1" applyAlignment="1" applyProtection="1">
      <alignment horizontal="left" vertical="center" indent="1"/>
      <protection/>
    </xf>
    <xf numFmtId="0" fontId="22" fillId="0" borderId="21" xfId="71" applyFont="1" applyFill="1" applyBorder="1" applyAlignment="1" applyProtection="1">
      <alignment horizontal="left" vertical="center" wrapText="1" indent="1"/>
      <protection/>
    </xf>
    <xf numFmtId="164" fontId="22" fillId="0" borderId="21" xfId="71" applyNumberFormat="1" applyFont="1" applyFill="1" applyBorder="1" applyAlignment="1" applyProtection="1">
      <alignment vertical="center"/>
      <protection locked="0"/>
    </xf>
    <xf numFmtId="164" fontId="49" fillId="0" borderId="21" xfId="71" applyNumberFormat="1" applyFont="1" applyFill="1" applyBorder="1" applyAlignment="1" applyProtection="1">
      <alignment vertical="center"/>
      <protection locked="0"/>
    </xf>
    <xf numFmtId="164" fontId="49" fillId="0" borderId="22" xfId="71" applyNumberFormat="1" applyFont="1" applyFill="1" applyBorder="1" applyAlignment="1" applyProtection="1">
      <alignment vertical="center"/>
      <protection/>
    </xf>
    <xf numFmtId="0" fontId="18" fillId="0" borderId="0" xfId="71" applyFill="1" applyAlignment="1" applyProtection="1">
      <alignment vertical="center"/>
      <protection locked="0"/>
    </xf>
    <xf numFmtId="0" fontId="22" fillId="0" borderId="23" xfId="71" applyFont="1" applyFill="1" applyBorder="1" applyAlignment="1" applyProtection="1">
      <alignment horizontal="left" vertical="center" wrapText="1" indent="1"/>
      <protection/>
    </xf>
    <xf numFmtId="164" fontId="22" fillId="0" borderId="23" xfId="71" applyNumberFormat="1" applyFont="1" applyFill="1" applyBorder="1" applyAlignment="1" applyProtection="1">
      <alignment vertical="center"/>
      <protection locked="0"/>
    </xf>
    <xf numFmtId="164" fontId="49" fillId="0" borderId="23" xfId="71" applyNumberFormat="1" applyFont="1" applyFill="1" applyBorder="1" applyAlignment="1" applyProtection="1">
      <alignment vertical="center"/>
      <protection locked="0"/>
    </xf>
    <xf numFmtId="0" fontId="22" fillId="0" borderId="21" xfId="71" applyFont="1" applyFill="1" applyBorder="1" applyAlignment="1" applyProtection="1">
      <alignment horizontal="left" vertical="center" indent="1"/>
      <protection/>
    </xf>
    <xf numFmtId="164" fontId="22" fillId="0" borderId="22" xfId="71" applyNumberFormat="1" applyFont="1" applyFill="1" applyBorder="1" applyAlignment="1" applyProtection="1">
      <alignment vertical="center"/>
      <protection/>
    </xf>
    <xf numFmtId="164" fontId="22" fillId="0" borderId="21" xfId="71" applyNumberFormat="1" applyFont="1" applyFill="1" applyBorder="1" applyAlignment="1" applyProtection="1">
      <alignment vertical="center"/>
      <protection locked="0"/>
    </xf>
    <xf numFmtId="0" fontId="21" fillId="0" borderId="24" xfId="71" applyFont="1" applyFill="1" applyBorder="1" applyAlignment="1" applyProtection="1">
      <alignment horizontal="left" vertical="center" indent="1"/>
      <protection/>
    </xf>
    <xf numFmtId="164" fontId="25" fillId="0" borderId="24" xfId="71" applyNumberFormat="1" applyFont="1" applyFill="1" applyBorder="1" applyAlignment="1" applyProtection="1">
      <alignment vertical="center"/>
      <protection/>
    </xf>
    <xf numFmtId="164" fontId="25" fillId="0" borderId="25" xfId="71" applyNumberFormat="1" applyFont="1" applyFill="1" applyBorder="1" applyAlignment="1" applyProtection="1">
      <alignment vertical="center"/>
      <protection/>
    </xf>
    <xf numFmtId="0" fontId="22" fillId="0" borderId="26" xfId="71" applyFont="1" applyFill="1" applyBorder="1" applyAlignment="1" applyProtection="1">
      <alignment horizontal="left" vertical="center" indent="1"/>
      <protection/>
    </xf>
    <xf numFmtId="0" fontId="22" fillId="0" borderId="23" xfId="71" applyFont="1" applyFill="1" applyBorder="1" applyAlignment="1" applyProtection="1">
      <alignment horizontal="left" vertical="center" indent="1"/>
      <protection/>
    </xf>
    <xf numFmtId="164" fontId="49" fillId="0" borderId="27" xfId="71" applyNumberFormat="1" applyFont="1" applyFill="1" applyBorder="1" applyAlignment="1" applyProtection="1">
      <alignment vertical="center"/>
      <protection/>
    </xf>
    <xf numFmtId="0" fontId="19" fillId="0" borderId="0" xfId="71" applyFont="1" applyFill="1" applyAlignment="1" applyProtection="1">
      <alignment vertical="center"/>
      <protection locked="0"/>
    </xf>
    <xf numFmtId="0" fontId="25" fillId="0" borderId="13" xfId="71" applyFont="1" applyFill="1" applyBorder="1" applyAlignment="1" applyProtection="1">
      <alignment horizontal="left" vertical="center" indent="1"/>
      <protection/>
    </xf>
    <xf numFmtId="0" fontId="21" fillId="0" borderId="24" xfId="71" applyFont="1" applyFill="1" applyBorder="1" applyAlignment="1" applyProtection="1">
      <alignment horizontal="left" indent="1"/>
      <protection/>
    </xf>
    <xf numFmtId="164" fontId="25" fillId="0" borderId="24" xfId="71" applyNumberFormat="1" applyFont="1" applyFill="1" applyBorder="1" applyProtection="1">
      <alignment/>
      <protection/>
    </xf>
    <xf numFmtId="164" fontId="25" fillId="0" borderId="25" xfId="71" applyNumberFormat="1" applyFont="1" applyFill="1" applyBorder="1" applyProtection="1">
      <alignment/>
      <protection/>
    </xf>
    <xf numFmtId="0" fontId="0" fillId="0" borderId="0" xfId="71" applyFont="1" applyFill="1" applyProtection="1">
      <alignment/>
      <protection/>
    </xf>
    <xf numFmtId="0" fontId="26" fillId="0" borderId="0" xfId="71" applyFont="1" applyFill="1" applyProtection="1">
      <alignment/>
      <protection locked="0"/>
    </xf>
    <xf numFmtId="0" fontId="19" fillId="0" borderId="0" xfId="71" applyFont="1" applyFill="1" applyProtection="1">
      <alignment/>
      <protection locked="0"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SEGEDLETEK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82"/>
  <sheetViews>
    <sheetView tabSelected="1" view="pageLayout" workbookViewId="0" topLeftCell="D1">
      <selection activeCell="N2" sqref="N2"/>
    </sheetView>
  </sheetViews>
  <sheetFormatPr defaultColWidth="9.00390625" defaultRowHeight="12.75"/>
  <cols>
    <col min="1" max="1" width="4.875" style="4" customWidth="1"/>
    <col min="2" max="2" width="31.125" style="3" customWidth="1"/>
    <col min="3" max="8" width="11.125" style="3" bestFit="1" customWidth="1"/>
    <col min="9" max="9" width="11.875" style="3" bestFit="1" customWidth="1"/>
    <col min="10" max="10" width="11.125" style="3" bestFit="1" customWidth="1"/>
    <col min="11" max="11" width="12.625" style="3" bestFit="1" customWidth="1"/>
    <col min="12" max="12" width="11.875" style="3" bestFit="1" customWidth="1"/>
    <col min="13" max="13" width="11.125" style="3" bestFit="1" customWidth="1"/>
    <col min="14" max="14" width="11.875" style="3" bestFit="1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ht="35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f>89000000-286000</f>
        <v>88714000</v>
      </c>
      <c r="D5" s="16">
        <f>89128000-280000</f>
        <v>88848000</v>
      </c>
      <c r="E5" s="16">
        <f>89000000-285000+5359522</f>
        <v>94074522</v>
      </c>
      <c r="F5" s="16">
        <f>89000000-285000+10461768+5359522</f>
        <v>104536290</v>
      </c>
      <c r="G5" s="16">
        <f>104000000-283192+5359522</f>
        <v>109076330</v>
      </c>
      <c r="H5" s="16">
        <f>109000000-283000+5359522</f>
        <v>114076522</v>
      </c>
      <c r="I5" s="16">
        <f>115000000-1280000+5359522-18683734</f>
        <v>100395788</v>
      </c>
      <c r="J5" s="16">
        <f>110000000-1280000+5359522</f>
        <v>114079522</v>
      </c>
      <c r="K5" s="16">
        <f>100000000-1280000+5359522-5893230</f>
        <v>98186292</v>
      </c>
      <c r="L5" s="16">
        <f>96000000-1280000+5359522</f>
        <v>100079522</v>
      </c>
      <c r="M5" s="16">
        <f>97000000-1280000+5359522</f>
        <v>101079522</v>
      </c>
      <c r="N5" s="16">
        <f>97215400-1280000+5359521</f>
        <v>101294921</v>
      </c>
      <c r="O5" s="17">
        <f aca="true" t="shared" si="0" ref="O5:O14">SUM(C5:N5)</f>
        <v>1214441231</v>
      </c>
    </row>
    <row r="6" spans="1:15" s="23" customFormat="1" ht="22.5">
      <c r="A6" s="18" t="s">
        <v>21</v>
      </c>
      <c r="B6" s="19" t="s">
        <v>22</v>
      </c>
      <c r="C6" s="20">
        <f>40000000+3000000</f>
        <v>43000000</v>
      </c>
      <c r="D6" s="20">
        <v>43000000</v>
      </c>
      <c r="E6" s="20">
        <f>38000000+40000000</f>
        <v>78000000</v>
      </c>
      <c r="F6" s="20">
        <f>30000000+40000000+362000+30000000</f>
        <v>100362000</v>
      </c>
      <c r="G6" s="21">
        <v>8000000</v>
      </c>
      <c r="H6" s="21">
        <v>8500000</v>
      </c>
      <c r="I6" s="21">
        <v>9000000</v>
      </c>
      <c r="J6" s="21">
        <v>8500000</v>
      </c>
      <c r="K6" s="21">
        <v>9000000</v>
      </c>
      <c r="L6" s="21">
        <v>8000000</v>
      </c>
      <c r="M6" s="21">
        <v>8500000</v>
      </c>
      <c r="N6" s="21">
        <v>8504323</v>
      </c>
      <c r="O6" s="22">
        <f t="shared" si="0"/>
        <v>332366323</v>
      </c>
    </row>
    <row r="7" spans="1:15" s="23" customFormat="1" ht="22.5">
      <c r="A7" s="18" t="s">
        <v>23</v>
      </c>
      <c r="B7" s="24" t="s">
        <v>24</v>
      </c>
      <c r="C7" s="25"/>
      <c r="D7" s="25"/>
      <c r="E7" s="25">
        <v>500000</v>
      </c>
      <c r="F7" s="25">
        <v>5000000</v>
      </c>
      <c r="G7" s="25">
        <f>3797300+3679276</f>
        <v>7476576</v>
      </c>
      <c r="H7" s="25">
        <f>6000000+71809476+2160000</f>
        <v>79969476</v>
      </c>
      <c r="I7" s="25">
        <v>15956160</v>
      </c>
      <c r="J7" s="25"/>
      <c r="K7" s="26">
        <f>232607039+202150930-15179276</f>
        <v>419578693</v>
      </c>
      <c r="L7" s="25">
        <v>3779393</v>
      </c>
      <c r="M7" s="25"/>
      <c r="N7" s="25"/>
      <c r="O7" s="22">
        <f t="shared" si="0"/>
        <v>532260298</v>
      </c>
    </row>
    <row r="8" spans="1:15" s="23" customFormat="1" ht="13.5" customHeight="1">
      <c r="A8" s="18" t="s">
        <v>25</v>
      </c>
      <c r="B8" s="27" t="s">
        <v>26</v>
      </c>
      <c r="C8" s="20">
        <v>5000000</v>
      </c>
      <c r="D8" s="20">
        <v>5000000</v>
      </c>
      <c r="E8" s="20">
        <v>120000000</v>
      </c>
      <c r="F8" s="20">
        <v>8390000</v>
      </c>
      <c r="G8" s="20">
        <v>5000000</v>
      </c>
      <c r="H8" s="20">
        <f>3000000</f>
        <v>3000000</v>
      </c>
      <c r="I8" s="20">
        <v>3000000</v>
      </c>
      <c r="J8" s="20">
        <v>3000000</v>
      </c>
      <c r="K8" s="20">
        <f>120000000+20000000</f>
        <v>140000000</v>
      </c>
      <c r="L8" s="20">
        <v>10000000</v>
      </c>
      <c r="M8" s="20">
        <f>7000000+2100000</f>
        <v>9100000</v>
      </c>
      <c r="N8" s="20">
        <f>30000000+15000000</f>
        <v>45000000</v>
      </c>
      <c r="O8" s="28">
        <f t="shared" si="0"/>
        <v>356490000</v>
      </c>
    </row>
    <row r="9" spans="1:15" s="23" customFormat="1" ht="13.5" customHeight="1">
      <c r="A9" s="18" t="s">
        <v>27</v>
      </c>
      <c r="B9" s="27" t="s">
        <v>28</v>
      </c>
      <c r="C9" s="20">
        <v>37000000</v>
      </c>
      <c r="D9" s="20">
        <v>37000000</v>
      </c>
      <c r="E9" s="20">
        <v>37000000</v>
      </c>
      <c r="F9" s="20">
        <v>37000000</v>
      </c>
      <c r="G9" s="20">
        <v>37000000</v>
      </c>
      <c r="H9" s="20">
        <f>37000000+270000</f>
        <v>37270000</v>
      </c>
      <c r="I9" s="20">
        <f>37000000+4327496+3500000+100000</f>
        <v>44927496</v>
      </c>
      <c r="J9" s="20">
        <f>37000000+100000</f>
        <v>37100000</v>
      </c>
      <c r="K9" s="21">
        <f>39000000+100000+2000000</f>
        <v>41100000</v>
      </c>
      <c r="L9" s="21">
        <f>39000000+6985000+100000-2000000+2000000</f>
        <v>46085000</v>
      </c>
      <c r="M9" s="21">
        <f>37054678+100000-3000000+2000000</f>
        <v>36154678</v>
      </c>
      <c r="N9" s="21">
        <f>37000000+555000+110437-2652270+1520700</f>
        <v>36533867</v>
      </c>
      <c r="O9" s="22">
        <f t="shared" si="0"/>
        <v>464171041</v>
      </c>
    </row>
    <row r="10" spans="1:15" s="23" customFormat="1" ht="13.5" customHeight="1">
      <c r="A10" s="18" t="s">
        <v>29</v>
      </c>
      <c r="B10" s="27" t="s">
        <v>30</v>
      </c>
      <c r="C10" s="20">
        <v>1920000</v>
      </c>
      <c r="D10" s="20">
        <v>3500000</v>
      </c>
      <c r="E10" s="20">
        <v>250000</v>
      </c>
      <c r="F10" s="20"/>
      <c r="G10" s="20">
        <v>19759000</v>
      </c>
      <c r="H10" s="20">
        <v>1000000</v>
      </c>
      <c r="I10" s="20">
        <v>11000000</v>
      </c>
      <c r="J10" s="20">
        <v>10000000</v>
      </c>
      <c r="K10" s="20"/>
      <c r="L10" s="20"/>
      <c r="M10" s="20"/>
      <c r="N10" s="20"/>
      <c r="O10" s="28">
        <f t="shared" si="0"/>
        <v>47429000</v>
      </c>
    </row>
    <row r="11" spans="1:15" s="23" customFormat="1" ht="13.5" customHeight="1">
      <c r="A11" s="18" t="s">
        <v>31</v>
      </c>
      <c r="B11" s="27" t="s">
        <v>32</v>
      </c>
      <c r="C11" s="20">
        <v>500000</v>
      </c>
      <c r="D11" s="20">
        <v>500000</v>
      </c>
      <c r="E11" s="20">
        <v>550000</v>
      </c>
      <c r="F11" s="20">
        <v>442000</v>
      </c>
      <c r="G11" s="20">
        <v>450000</v>
      </c>
      <c r="H11" s="20">
        <v>450000</v>
      </c>
      <c r="I11" s="20">
        <v>400000</v>
      </c>
      <c r="J11" s="20">
        <v>300000</v>
      </c>
      <c r="K11" s="20">
        <f>300000+80000</f>
        <v>380000</v>
      </c>
      <c r="L11" s="21">
        <f>1666000+140433</f>
        <v>1806433</v>
      </c>
      <c r="M11" s="20">
        <v>300000</v>
      </c>
      <c r="N11" s="20">
        <v>166000</v>
      </c>
      <c r="O11" s="22">
        <f t="shared" si="0"/>
        <v>6244433</v>
      </c>
    </row>
    <row r="12" spans="1:15" s="23" customFormat="1" ht="22.5">
      <c r="A12" s="18" t="s">
        <v>33</v>
      </c>
      <c r="B12" s="19" t="s">
        <v>34</v>
      </c>
      <c r="C12" s="20"/>
      <c r="D12" s="20"/>
      <c r="E12" s="20"/>
      <c r="F12" s="20"/>
      <c r="G12" s="20"/>
      <c r="H12" s="20"/>
      <c r="I12" s="20">
        <v>1200000</v>
      </c>
      <c r="J12" s="20"/>
      <c r="K12" s="20"/>
      <c r="L12" s="20"/>
      <c r="M12" s="20"/>
      <c r="N12" s="20"/>
      <c r="O12" s="28">
        <f t="shared" si="0"/>
        <v>1200000</v>
      </c>
    </row>
    <row r="13" spans="1:15" s="23" customFormat="1" ht="13.5" customHeight="1" thickBot="1">
      <c r="A13" s="18" t="s">
        <v>35</v>
      </c>
      <c r="B13" s="27" t="s">
        <v>36</v>
      </c>
      <c r="C13" s="29">
        <v>292999415</v>
      </c>
      <c r="D13" s="29"/>
      <c r="E13" s="29">
        <v>10000000</v>
      </c>
      <c r="F13" s="29"/>
      <c r="G13" s="29"/>
      <c r="H13" s="29">
        <v>20000000</v>
      </c>
      <c r="I13" s="29">
        <v>64100000</v>
      </c>
      <c r="J13" s="29">
        <v>20000000</v>
      </c>
      <c r="K13" s="20">
        <v>10000000</v>
      </c>
      <c r="L13" s="20"/>
      <c r="M13" s="20">
        <f>20000000+37900000+5500000</f>
        <v>63400000</v>
      </c>
      <c r="N13" s="20"/>
      <c r="O13" s="28">
        <f t="shared" si="0"/>
        <v>480499415</v>
      </c>
    </row>
    <row r="14" spans="1:15" s="13" customFormat="1" ht="15.75" customHeight="1" thickBot="1">
      <c r="A14" s="9" t="s">
        <v>37</v>
      </c>
      <c r="B14" s="30" t="s">
        <v>38</v>
      </c>
      <c r="C14" s="31">
        <f aca="true" t="shared" si="1" ref="C14:N14">SUM(C5:C13)</f>
        <v>469133415</v>
      </c>
      <c r="D14" s="31">
        <f t="shared" si="1"/>
        <v>177848000</v>
      </c>
      <c r="E14" s="31">
        <f t="shared" si="1"/>
        <v>340374522</v>
      </c>
      <c r="F14" s="31">
        <f t="shared" si="1"/>
        <v>255730290</v>
      </c>
      <c r="G14" s="31">
        <f t="shared" si="1"/>
        <v>186761906</v>
      </c>
      <c r="H14" s="31">
        <f t="shared" si="1"/>
        <v>264265998</v>
      </c>
      <c r="I14" s="31">
        <f t="shared" si="1"/>
        <v>249979444</v>
      </c>
      <c r="J14" s="31">
        <f t="shared" si="1"/>
        <v>192979522</v>
      </c>
      <c r="K14" s="31">
        <f t="shared" si="1"/>
        <v>718244985</v>
      </c>
      <c r="L14" s="31">
        <f t="shared" si="1"/>
        <v>169750348</v>
      </c>
      <c r="M14" s="31">
        <f t="shared" si="1"/>
        <v>218534200</v>
      </c>
      <c r="N14" s="31">
        <f t="shared" si="1"/>
        <v>191499111</v>
      </c>
      <c r="O14" s="32">
        <f t="shared" si="0"/>
        <v>3435101741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3" customFormat="1" ht="13.5" customHeight="1">
      <c r="A16" s="33" t="s">
        <v>41</v>
      </c>
      <c r="B16" s="34" t="s">
        <v>42</v>
      </c>
      <c r="C16" s="25">
        <v>83000000</v>
      </c>
      <c r="D16" s="25">
        <v>83105000</v>
      </c>
      <c r="E16" s="25">
        <f>83000000+31471300</f>
        <v>114471300</v>
      </c>
      <c r="F16" s="25">
        <f>81000000+31471300+326126+3025822</f>
        <v>115823248</v>
      </c>
      <c r="G16" s="26">
        <f>81000000+31471300+12214480+3025822-34000000</f>
        <v>93711602</v>
      </c>
      <c r="H16" s="26">
        <f>82000000+31471300+12214480+3025821-199044+76000+1000000-34500000</f>
        <v>95088557</v>
      </c>
      <c r="I16" s="26">
        <f>81000000+31471300+12214480+3025822-199044+15000+622444-34000000</f>
        <v>94150002</v>
      </c>
      <c r="J16" s="26">
        <f>81000000+31471300+12214480+3025822-199044+1275000+622444-34500000</f>
        <v>94910002</v>
      </c>
      <c r="K16" s="26">
        <f>81000000+31471300+12214480+3025822-199044+15000+1275000+622443-34500000</f>
        <v>94925001</v>
      </c>
      <c r="L16" s="26">
        <f>81205571+31471295+12214480+3025821-199044+622443+1903000+5000000-34000000</f>
        <v>101243566</v>
      </c>
      <c r="M16" s="26">
        <f>81000000+12214480-5+3025822-199044+622444+1904000+4000000-34000000</f>
        <v>68567697</v>
      </c>
      <c r="N16" s="26">
        <f>81000000+3025822-199044+20000+622444+1903000+1096+3960546-35533584</f>
        <v>54800280</v>
      </c>
      <c r="O16" s="35">
        <f aca="true" t="shared" si="2" ref="O16:O26">SUM(C16:N16)</f>
        <v>1093796255</v>
      </c>
    </row>
    <row r="17" spans="1:15" s="23" customFormat="1" ht="27" customHeight="1">
      <c r="A17" s="18" t="s">
        <v>43</v>
      </c>
      <c r="B17" s="19" t="s">
        <v>44</v>
      </c>
      <c r="C17" s="20">
        <f>17840000+340000</f>
        <v>18180000</v>
      </c>
      <c r="D17" s="20">
        <f>17863000+335000</f>
        <v>18198000</v>
      </c>
      <c r="E17" s="20">
        <f>17840000+3461842+407211</f>
        <v>21709053</v>
      </c>
      <c r="F17" s="20">
        <f>17400000+3461842+35874+644474</f>
        <v>21542190</v>
      </c>
      <c r="G17" s="21">
        <f>17400000+364361+3461842+1343593+644475-3500000</f>
        <v>19714271</v>
      </c>
      <c r="H17" s="21">
        <f>17620000+3461842+1343593+644474-40055+37984+220000-3000000</f>
        <v>20287838</v>
      </c>
      <c r="I17" s="21">
        <f>17400000+3461842+1343593+644475-40054+6000+112959-3500000</f>
        <v>19428815</v>
      </c>
      <c r="J17" s="21">
        <f>17400000+3461842+1343593+644474-40055+280500+112959-3000000</f>
        <v>20203313</v>
      </c>
      <c r="K17" s="21">
        <f>17400000+3461842+1343593+644475-40055+6000+280500+112959-3500000</f>
        <v>19709314</v>
      </c>
      <c r="L17" s="21">
        <f>17440000+3461842+1343593+644474-40054+112959+418000+60000+1200000-3500000</f>
        <v>21140814</v>
      </c>
      <c r="M17" s="21">
        <f>17400000+1343593-2+644475-40055+112959+419000+60000+950000-3000000</f>
        <v>17889970</v>
      </c>
      <c r="N17" s="21">
        <f>17400000+644475-40054+9830+112959+420000+61961+863037-5480392</f>
        <v>13991816</v>
      </c>
      <c r="O17" s="22">
        <f t="shared" si="2"/>
        <v>231995394</v>
      </c>
    </row>
    <row r="18" spans="1:15" s="23" customFormat="1" ht="13.5" customHeight="1">
      <c r="A18" s="18" t="s">
        <v>45</v>
      </c>
      <c r="B18" s="27" t="s">
        <v>46</v>
      </c>
      <c r="C18" s="20">
        <v>84000000</v>
      </c>
      <c r="D18" s="20">
        <v>84000000</v>
      </c>
      <c r="E18" s="20">
        <f>84000000+4158000</f>
        <v>88158000</v>
      </c>
      <c r="F18" s="20">
        <f>75000000+4158000</f>
        <v>79158000</v>
      </c>
      <c r="G18" s="21">
        <f>74000000+4158000+200000+3939600+3519761-2400000</f>
        <v>83417361</v>
      </c>
      <c r="H18" s="21">
        <f>52397442+4158000+200000+270000+3800000+3519761+3000000-2500000</f>
        <v>64845203</v>
      </c>
      <c r="I18" s="21">
        <f>60000000+4158000+200000+3800000+3519761+3000000+2000000-2500000</f>
        <v>74177761</v>
      </c>
      <c r="J18" s="21">
        <f>60000000+4158000+200000+3800000+3519761+1000000+2000000+2000000-2400000</f>
        <v>74277761</v>
      </c>
      <c r="K18" s="21">
        <f>55000000+4158000+200000+3800000+3519761+2295882+3000000+2000000-2500000</f>
        <v>71473643</v>
      </c>
      <c r="L18" s="21">
        <f>65000000+4158000+200000+3800000+3519761+3000000+1384339+2000000+1300000-2500000</f>
        <v>81862100</v>
      </c>
      <c r="M18" s="21">
        <f>75000000+4158000+200000+3800000+3519761+1500000+2000000+1429458-2500000</f>
        <v>89107219</v>
      </c>
      <c r="N18" s="21">
        <f>84000000+4158000-96+200000-8488680+3800000+3519761+1500000+565807+1300000-2400000-20295</f>
        <v>88134497</v>
      </c>
      <c r="O18" s="22">
        <f t="shared" si="2"/>
        <v>962611545</v>
      </c>
    </row>
    <row r="19" spans="1:15" s="23" customFormat="1" ht="13.5" customHeight="1">
      <c r="A19" s="18" t="s">
        <v>47</v>
      </c>
      <c r="B19" s="27" t="s">
        <v>48</v>
      </c>
      <c r="C19" s="20">
        <v>4000000</v>
      </c>
      <c r="D19" s="20">
        <v>4000000</v>
      </c>
      <c r="E19" s="20">
        <v>5000000</v>
      </c>
      <c r="F19" s="20">
        <v>4000000</v>
      </c>
      <c r="G19" s="20">
        <v>5000000</v>
      </c>
      <c r="H19" s="20">
        <v>5000000</v>
      </c>
      <c r="I19" s="20">
        <v>4000000</v>
      </c>
      <c r="J19" s="20">
        <v>17000000</v>
      </c>
      <c r="K19" s="20">
        <v>5000000</v>
      </c>
      <c r="L19" s="20">
        <f>4230000-2901260</f>
        <v>1328740</v>
      </c>
      <c r="M19" s="21">
        <f>17000000-2000000-5080000</f>
        <v>9920000</v>
      </c>
      <c r="N19" s="20">
        <f>21000000-2000000</f>
        <v>19000000</v>
      </c>
      <c r="O19" s="22">
        <f t="shared" si="2"/>
        <v>83248740</v>
      </c>
    </row>
    <row r="20" spans="1:15" s="23" customFormat="1" ht="13.5" customHeight="1">
      <c r="A20" s="18" t="s">
        <v>49</v>
      </c>
      <c r="B20" s="27" t="s">
        <v>50</v>
      </c>
      <c r="C20" s="20">
        <v>1500</v>
      </c>
      <c r="D20" s="20"/>
      <c r="E20" s="20">
        <f>8000000+3500000</f>
        <v>11500000</v>
      </c>
      <c r="F20" s="20">
        <v>2000000</v>
      </c>
      <c r="G20" s="20">
        <f>2000000+6600000+7242044+60754+2000000</f>
        <v>17902798</v>
      </c>
      <c r="H20" s="20">
        <v>10000000</v>
      </c>
      <c r="I20" s="20">
        <f>1165000+7351000</f>
        <v>8516000</v>
      </c>
      <c r="J20" s="20">
        <v>1000000</v>
      </c>
      <c r="K20" s="20">
        <f>8000000+4000000+3000000</f>
        <v>15000000</v>
      </c>
      <c r="L20" s="21">
        <f>2000000+3017500+6407504</f>
        <v>11425004</v>
      </c>
      <c r="M20" s="20">
        <f>2000000+4784709</f>
        <v>6784709</v>
      </c>
      <c r="N20" s="20">
        <v>1000000</v>
      </c>
      <c r="O20" s="22">
        <f t="shared" si="2"/>
        <v>85130011</v>
      </c>
    </row>
    <row r="21" spans="1:16" s="23" customFormat="1" ht="13.5" customHeight="1">
      <c r="A21" s="18" t="s">
        <v>51</v>
      </c>
      <c r="B21" s="27" t="s">
        <v>52</v>
      </c>
      <c r="C21" s="20">
        <v>2000000</v>
      </c>
      <c r="D21" s="20">
        <v>2000000</v>
      </c>
      <c r="E21" s="20">
        <v>2500000</v>
      </c>
      <c r="F21" s="20">
        <f>4500000+979170</f>
        <v>5479170</v>
      </c>
      <c r="G21" s="20">
        <f>8000000-265000</f>
        <v>7735000</v>
      </c>
      <c r="H21" s="20">
        <f>8500000+63976</f>
        <v>8563976</v>
      </c>
      <c r="I21" s="20">
        <f>2500000+18116187+2239176+988736+1000000</f>
        <v>24844099</v>
      </c>
      <c r="J21" s="21">
        <f>3000000+1000000-2000000</f>
        <v>2000000</v>
      </c>
      <c r="K21" s="21">
        <f>2000000+1000000-1000000</f>
        <v>2000000</v>
      </c>
      <c r="L21" s="21">
        <f>2000000+70000000+1000000+8904148-4000000</f>
        <v>77904148</v>
      </c>
      <c r="M21" s="21">
        <f>3000000+16000000+1000000-2000000</f>
        <v>18000000</v>
      </c>
      <c r="N21" s="21">
        <f>2000000+7000000+214128350+937364-9155486</f>
        <v>214910228</v>
      </c>
      <c r="O21" s="22">
        <f t="shared" si="2"/>
        <v>367936621</v>
      </c>
      <c r="P21" s="36"/>
    </row>
    <row r="22" spans="1:15" s="23" customFormat="1" ht="15.75">
      <c r="A22" s="18" t="s">
        <v>53</v>
      </c>
      <c r="B22" s="19" t="s">
        <v>54</v>
      </c>
      <c r="C22" s="20"/>
      <c r="D22" s="20"/>
      <c r="E22" s="20">
        <v>365393</v>
      </c>
      <c r="F22" s="20">
        <v>1794600</v>
      </c>
      <c r="G22" s="20">
        <f>2158000+578000+157000</f>
        <v>2893000</v>
      </c>
      <c r="H22" s="20">
        <f>2000000+1000000+239841</f>
        <v>3239841</v>
      </c>
      <c r="I22" s="20">
        <f>70000000+600000+200000</f>
        <v>70800000</v>
      </c>
      <c r="J22" s="21">
        <f>3000000+2866987+5566352+5929+3795044+2330000</f>
        <v>17564312</v>
      </c>
      <c r="K22" s="21"/>
      <c r="L22" s="21">
        <f>2500000+5714910+18700651+2330000</f>
        <v>29245561</v>
      </c>
      <c r="M22" s="21">
        <f>18459450+2330000</f>
        <v>20789450</v>
      </c>
      <c r="N22" s="21">
        <f>188498728+2343667</f>
        <v>190842395</v>
      </c>
      <c r="O22" s="22">
        <f t="shared" si="2"/>
        <v>337534552</v>
      </c>
    </row>
    <row r="23" spans="1:15" s="23" customFormat="1" ht="13.5" customHeight="1">
      <c r="A23" s="18" t="s">
        <v>55</v>
      </c>
      <c r="B23" s="27" t="s">
        <v>56</v>
      </c>
      <c r="C23" s="20"/>
      <c r="D23" s="20"/>
      <c r="E23" s="20"/>
      <c r="F23" s="20">
        <v>2400000</v>
      </c>
      <c r="G23" s="20">
        <v>1348000</v>
      </c>
      <c r="H23" s="20">
        <v>600000</v>
      </c>
      <c r="I23" s="20">
        <v>42072000</v>
      </c>
      <c r="J23" s="20"/>
      <c r="K23" s="20"/>
      <c r="L23" s="21">
        <v>1079500</v>
      </c>
      <c r="M23" s="20"/>
      <c r="N23" s="20">
        <v>5000</v>
      </c>
      <c r="O23" s="22">
        <f t="shared" si="2"/>
        <v>47504500</v>
      </c>
    </row>
    <row r="24" spans="1:15" s="23" customFormat="1" ht="13.5" customHeight="1">
      <c r="A24" s="18" t="s">
        <v>57</v>
      </c>
      <c r="B24" s="27" t="s">
        <v>58</v>
      </c>
      <c r="C24" s="20"/>
      <c r="D24" s="20"/>
      <c r="E24" s="20">
        <v>500000</v>
      </c>
      <c r="F24" s="20">
        <f>14000000-1700000-1600000-8539600</f>
        <v>2160400</v>
      </c>
      <c r="G24" s="20">
        <f>14000000-1700000+2396232-7948000</f>
        <v>6748232</v>
      </c>
      <c r="H24" s="20">
        <f>15000000-1700000-1000000-7343244+30115784-15000000</f>
        <v>20072540</v>
      </c>
      <c r="I24" s="20">
        <f>15000000-1700000-1000000-3912914</f>
        <v>8387086</v>
      </c>
      <c r="J24" s="20">
        <f>15000000-1700000-1000000-3000000</f>
        <v>9300000</v>
      </c>
      <c r="K24" s="20">
        <f>14613300-1700000-1010722-3000000</f>
        <v>8902578</v>
      </c>
      <c r="L24" s="21">
        <f>14500000-1700000-3000000+2000000-1604492</f>
        <v>10195508</v>
      </c>
      <c r="M24" s="20">
        <f>14000000-1700000-3000000+2000000</f>
        <v>11300000</v>
      </c>
      <c r="N24" s="20">
        <f>14000000-1700000-1745643-3000000+1897490</f>
        <v>9451847</v>
      </c>
      <c r="O24" s="22">
        <f t="shared" si="2"/>
        <v>87018191</v>
      </c>
    </row>
    <row r="25" spans="1:15" s="23" customFormat="1" ht="13.5" customHeight="1" thickBot="1">
      <c r="A25" s="18" t="s">
        <v>59</v>
      </c>
      <c r="B25" s="27" t="s">
        <v>60</v>
      </c>
      <c r="C25" s="29">
        <v>35164932</v>
      </c>
      <c r="D25" s="29"/>
      <c r="E25" s="29">
        <v>790000</v>
      </c>
      <c r="F25" s="20"/>
      <c r="G25" s="29"/>
      <c r="H25" s="20">
        <v>790000</v>
      </c>
      <c r="I25" s="20"/>
      <c r="J25" s="20"/>
      <c r="K25" s="20">
        <v>791000</v>
      </c>
      <c r="L25" s="20">
        <v>70000000</v>
      </c>
      <c r="M25" s="20"/>
      <c r="N25" s="20">
        <v>30790000</v>
      </c>
      <c r="O25" s="28">
        <f t="shared" si="2"/>
        <v>138325932</v>
      </c>
    </row>
    <row r="26" spans="1:15" s="13" customFormat="1" ht="15.75" customHeight="1" thickBot="1">
      <c r="A26" s="37" t="s">
        <v>61</v>
      </c>
      <c r="B26" s="30" t="s">
        <v>62</v>
      </c>
      <c r="C26" s="31">
        <f aca="true" t="shared" si="3" ref="C26:N26">SUM(C16:C25)</f>
        <v>226346432</v>
      </c>
      <c r="D26" s="31">
        <f t="shared" si="3"/>
        <v>191303000</v>
      </c>
      <c r="E26" s="31">
        <f t="shared" si="3"/>
        <v>244993746</v>
      </c>
      <c r="F26" s="31">
        <f t="shared" si="3"/>
        <v>234357608</v>
      </c>
      <c r="G26" s="31">
        <f t="shared" si="3"/>
        <v>238470264</v>
      </c>
      <c r="H26" s="31">
        <f t="shared" si="3"/>
        <v>228487955</v>
      </c>
      <c r="I26" s="31">
        <f t="shared" si="3"/>
        <v>346375763</v>
      </c>
      <c r="J26" s="31">
        <f t="shared" si="3"/>
        <v>236255388</v>
      </c>
      <c r="K26" s="31">
        <f t="shared" si="3"/>
        <v>217801536</v>
      </c>
      <c r="L26" s="31">
        <f t="shared" si="3"/>
        <v>405424941</v>
      </c>
      <c r="M26" s="31">
        <f t="shared" si="3"/>
        <v>242359045</v>
      </c>
      <c r="N26" s="31">
        <f t="shared" si="3"/>
        <v>622926063</v>
      </c>
      <c r="O26" s="32">
        <f t="shared" si="2"/>
        <v>3435101741</v>
      </c>
    </row>
    <row r="27" spans="1:15" ht="16.5" thickBot="1">
      <c r="A27" s="37" t="s">
        <v>63</v>
      </c>
      <c r="B27" s="38" t="s">
        <v>64</v>
      </c>
      <c r="C27" s="39">
        <f aca="true" t="shared" si="4" ref="C27:O27">C14-C26</f>
        <v>242786983</v>
      </c>
      <c r="D27" s="39">
        <f t="shared" si="4"/>
        <v>-13455000</v>
      </c>
      <c r="E27" s="39">
        <f t="shared" si="4"/>
        <v>95380776</v>
      </c>
      <c r="F27" s="39">
        <f t="shared" si="4"/>
        <v>21372682</v>
      </c>
      <c r="G27" s="39">
        <f t="shared" si="4"/>
        <v>-51708358</v>
      </c>
      <c r="H27" s="39">
        <f t="shared" si="4"/>
        <v>35778043</v>
      </c>
      <c r="I27" s="39">
        <f t="shared" si="4"/>
        <v>-96396319</v>
      </c>
      <c r="J27" s="39">
        <f t="shared" si="4"/>
        <v>-43275866</v>
      </c>
      <c r="K27" s="39">
        <f t="shared" si="4"/>
        <v>500443449</v>
      </c>
      <c r="L27" s="39">
        <f t="shared" si="4"/>
        <v>-235674593</v>
      </c>
      <c r="M27" s="39">
        <f t="shared" si="4"/>
        <v>-23824845</v>
      </c>
      <c r="N27" s="39">
        <f t="shared" si="4"/>
        <v>-431426952</v>
      </c>
      <c r="O27" s="40">
        <f t="shared" si="4"/>
        <v>0</v>
      </c>
    </row>
    <row r="28" ht="15.75">
      <c r="A28" s="41"/>
    </row>
    <row r="29" spans="2:15" ht="15.75">
      <c r="B29" s="42"/>
      <c r="C29" s="43"/>
      <c r="D29" s="43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7" r:id="rId1"/>
  <headerFooter alignWithMargins="0">
    <oddHeader>&amp;R&amp;"Times New Roman CE,Dőlt"&amp;11 28. melléklet a  28/2017.(X.27.)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2017-10-30T08:18:12Z</dcterms:created>
  <dcterms:modified xsi:type="dcterms:W3CDTF">2017-10-30T08:18:12Z</dcterms:modified>
  <cp:category/>
  <cp:version/>
  <cp:contentType/>
  <cp:contentStatus/>
</cp:coreProperties>
</file>