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activeTab="0"/>
  </bookViews>
  <sheets>
    <sheet name="bor." sheetId="1" r:id="rId1"/>
    <sheet name="1.mell. -mérleg " sheetId="2" r:id="rId2"/>
    <sheet name="2.mell - bevétel " sheetId="3" r:id="rId3"/>
    <sheet name="3.mell. - bevét.Köá " sheetId="4" r:id="rId4"/>
    <sheet name="4.mell. - kiadás " sheetId="5" r:id="rId5"/>
    <sheet name="5.mell. - kiadás.köá. " sheetId="6" r:id="rId6"/>
    <sheet name="6.mell - átadások" sheetId="7" r:id="rId7"/>
    <sheet name="7.mell. ellátott" sheetId="8" r:id="rId8"/>
    <sheet name="8.beruházások " sheetId="9" r:id="rId9"/>
    <sheet name="9.Felújítások " sheetId="10" r:id="rId10"/>
    <sheet name="10.mell. - közgazd.mérleg " sheetId="11" r:id="rId11"/>
    <sheet name="11.mell. -ei.felh.ütemt. 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tartalék " sheetId="18" r:id="rId18"/>
    <sheet name="18.mell.bevétel+" sheetId="19" r:id="rId19"/>
    <sheet name="19.mell.ktgvszerv tám." sheetId="20" r:id="rId20"/>
  </sheets>
  <externalReferences>
    <externalReference r:id="rId23"/>
  </externalReferences>
  <definedNames>
    <definedName name="_xlnm.Print_Titles" localSheetId="2">'2.mell - bevétel '!$12:$14</definedName>
    <definedName name="_xlnm.Print_Area" localSheetId="2">'2.mell - bevétel '!$A$3:$I$134</definedName>
  </definedNames>
  <calcPr fullCalcOnLoad="1"/>
</workbook>
</file>

<file path=xl/sharedStrings.xml><?xml version="1.0" encoding="utf-8"?>
<sst xmlns="http://schemas.openxmlformats.org/spreadsheetml/2006/main" count="1289" uniqueCount="707">
  <si>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</si>
  <si>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</si>
  <si>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</si>
  <si>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</si>
  <si>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</si>
  <si>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</si>
  <si>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</si>
  <si>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TÁMOGATÁSOK ÖSSZESEN: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</si>
  <si>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</si>
  <si>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</si>
  <si>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</si>
  <si>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</si>
  <si>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</si>
  <si>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</si>
  <si>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</si>
  <si>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</si>
  <si>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</si>
  <si>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</si>
  <si>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</si>
  <si>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</si>
  <si>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</si>
  <si>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</si>
  <si>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</si>
  <si>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</si>
  <si>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</si>
  <si>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</si>
  <si>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Hímzőszakkör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</si>
  <si>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</si>
  <si>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</si>
  <si>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</si>
  <si>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</si>
  <si>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</si>
  <si>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</si>
  <si>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</si>
  <si>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</si>
  <si>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</si>
  <si>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</si>
  <si>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</si>
  <si>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</si>
  <si>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</si>
  <si>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</si>
  <si>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</si>
  <si>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</si>
  <si>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</si>
  <si>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</si>
  <si>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>TÁRGYÉVI BEVÉTELEK ÖSSZESEN:</t>
  </si>
  <si>
    <t>Nyugdíjas Klub</t>
  </si>
  <si>
    <t xml:space="preserve">Tekeszakosztály 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</si>
  <si>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</si>
  <si>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</si>
  <si>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</si>
  <si>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</si>
  <si>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</si>
  <si>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</si>
  <si>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</si>
  <si>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</si>
  <si>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</si>
  <si>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</si>
  <si>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</si>
  <si>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</si>
  <si>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</si>
  <si>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</si>
  <si>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2017.                                     év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</si>
  <si>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</si>
  <si>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</si>
  <si>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</si>
  <si>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</si>
  <si>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</si>
  <si>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</si>
  <si>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</si>
  <si>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</si>
  <si>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</si>
  <si>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</si>
  <si>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ravatalozó használati díj</t>
  </si>
  <si>
    <t>vendégebéd térítési díja</t>
  </si>
  <si>
    <t>működési kiadások</t>
  </si>
  <si>
    <t>felhalmozási kiadások</t>
  </si>
  <si>
    <t>felújítások</t>
  </si>
  <si>
    <t>Sághegy Leader tagdíj</t>
  </si>
  <si>
    <t>Labdarugó Szakosztály támogatása</t>
  </si>
  <si>
    <t xml:space="preserve">Tanévkezdési támogatás </t>
  </si>
  <si>
    <t xml:space="preserve">       - egyéb működési kiadások</t>
  </si>
  <si>
    <t xml:space="preserve">       - egyéb felhalmozási kiadások</t>
  </si>
  <si>
    <t>szociális étkeztetés térítési díja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</si>
  <si>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</si>
  <si>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</si>
  <si>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</si>
  <si>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</si>
  <si>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</si>
  <si>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</si>
  <si>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</si>
  <si>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</si>
  <si>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</si>
  <si>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</si>
  <si>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</si>
  <si>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</si>
  <si>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</si>
  <si>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</si>
  <si>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</si>
  <si>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</si>
  <si>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</si>
  <si>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</si>
  <si>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</si>
  <si>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</si>
  <si>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</si>
  <si>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</si>
  <si>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</si>
  <si>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</si>
  <si>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</si>
  <si>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</si>
  <si>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</si>
  <si>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</si>
  <si>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</si>
  <si>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Egyéb működési célú támogatások bevételei államháztartáson belülről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</si>
  <si>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</si>
  <si>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</si>
  <si>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</si>
  <si>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</si>
  <si>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</si>
  <si>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</si>
  <si>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</si>
  <si>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</si>
  <si>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</si>
  <si>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</si>
  <si>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</si>
  <si>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</si>
  <si>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</si>
  <si>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</si>
  <si>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</si>
  <si>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</si>
  <si>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</si>
  <si>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</si>
  <si>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</si>
  <si>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</si>
  <si>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</si>
  <si>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</si>
  <si>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</si>
  <si>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</si>
  <si>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</si>
  <si>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</si>
  <si>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</si>
  <si>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</si>
  <si>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</si>
  <si>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</si>
  <si>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</si>
  <si>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</si>
  <si>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</si>
  <si>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</si>
  <si>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</si>
  <si>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</si>
  <si>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</si>
  <si>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</si>
  <si>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</si>
  <si>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</si>
  <si>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</si>
  <si>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</si>
  <si>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</si>
  <si>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</si>
  <si>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</si>
  <si>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</si>
  <si>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</si>
  <si>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</si>
  <si>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</si>
  <si>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</si>
  <si>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</si>
  <si>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</si>
  <si>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</si>
  <si>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</si>
  <si>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</si>
  <si>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</si>
  <si>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</si>
  <si>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</si>
  <si>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</si>
  <si>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</si>
  <si>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</si>
  <si>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</si>
  <si>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</si>
  <si>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</si>
  <si>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</si>
  <si>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</si>
  <si>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</si>
  <si>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</si>
  <si>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</si>
  <si>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</si>
  <si>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</si>
  <si>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</si>
  <si>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</si>
  <si>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</si>
  <si>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</si>
  <si>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</si>
  <si>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</si>
  <si>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</si>
  <si>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</si>
  <si>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</si>
  <si>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</si>
  <si>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</si>
  <si>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</si>
  <si>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</si>
  <si>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</si>
  <si>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</si>
  <si>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</si>
  <si>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</si>
  <si>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</si>
  <si>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</si>
  <si>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</si>
  <si>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</si>
  <si>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</si>
  <si>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</si>
  <si>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</si>
  <si>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</si>
  <si>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</si>
  <si>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</si>
  <si>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</si>
  <si>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</si>
  <si>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</si>
  <si>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</si>
  <si>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</si>
  <si>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</si>
  <si>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</si>
  <si>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</si>
  <si>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</si>
  <si>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</si>
  <si>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</si>
  <si>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Lakásfenntartással, lakhatással összefüggő ellátások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</si>
  <si>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</si>
  <si>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</si>
  <si>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</si>
  <si>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</si>
  <si>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</si>
  <si>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</si>
  <si>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</si>
  <si>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</si>
  <si>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</si>
  <si>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</si>
  <si>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</si>
  <si>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</si>
  <si>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</si>
  <si>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</si>
  <si>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</si>
  <si>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</si>
  <si>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</si>
  <si>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</si>
  <si>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</si>
  <si>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</si>
  <si>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</si>
  <si>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</si>
  <si>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</si>
  <si>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</si>
  <si>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</si>
  <si>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</si>
  <si>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</si>
  <si>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</si>
  <si>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</si>
  <si>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</si>
  <si>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</si>
  <si>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</si>
  <si>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</si>
  <si>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</si>
  <si>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</si>
  <si>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</si>
  <si>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</si>
  <si>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</si>
  <si>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</si>
  <si>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</si>
  <si>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</si>
  <si>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</si>
  <si>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</si>
  <si>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</si>
  <si>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</si>
  <si>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</si>
  <si>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</si>
  <si>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</si>
  <si>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</si>
  <si>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</si>
  <si>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</si>
  <si>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</si>
  <si>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</si>
  <si>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</si>
  <si>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</si>
  <si>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</si>
  <si>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</si>
  <si>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</si>
  <si>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</si>
  <si>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</si>
  <si>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</si>
  <si>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</si>
  <si>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</si>
  <si>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</si>
  <si>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</si>
  <si>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</si>
  <si>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Költségvetési (működési és felhalmozási ) mérlege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</si>
  <si>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</si>
  <si>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</si>
  <si>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</si>
  <si>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</si>
  <si>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</si>
  <si>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</si>
  <si>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</si>
  <si>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</si>
  <si>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</si>
  <si>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</si>
  <si>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</si>
  <si>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</si>
  <si>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</si>
  <si>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</si>
  <si>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</si>
  <si>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</si>
  <si>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</si>
  <si>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</si>
  <si>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</si>
  <si>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</si>
  <si>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</si>
  <si>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</si>
  <si>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</si>
  <si>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</si>
  <si>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</si>
  <si>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</si>
  <si>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</si>
  <si>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</si>
  <si>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</si>
  <si>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</si>
  <si>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</si>
  <si>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</si>
  <si>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</si>
  <si>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</si>
  <si>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</si>
  <si>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</si>
  <si>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</si>
  <si>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</si>
  <si>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</si>
  <si>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</si>
  <si>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</si>
  <si>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</si>
  <si>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</si>
  <si>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</si>
  <si>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</si>
  <si>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</si>
  <si>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</si>
  <si>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</si>
  <si>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</si>
  <si>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</si>
  <si>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</si>
  <si>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</si>
  <si>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</si>
  <si>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</si>
  <si>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</si>
  <si>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</si>
  <si>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</si>
  <si>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</si>
  <si>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</si>
  <si>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</si>
  <si>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</si>
  <si>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</si>
  <si>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</si>
  <si>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</si>
  <si>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</si>
  <si>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</si>
  <si>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</si>
  <si>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</si>
  <si>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</si>
  <si>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</si>
  <si>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</si>
  <si>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</si>
  <si>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</si>
  <si>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</si>
  <si>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</si>
  <si>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>Rendszeres gyermekvédelmi kedvezményben részesülők Erzsébet utalványa támogatása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</si>
  <si>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</si>
  <si>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</si>
  <si>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</si>
  <si>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</si>
  <si>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</si>
  <si>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</si>
  <si>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</si>
  <si>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</si>
  <si>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</si>
  <si>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</si>
  <si>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</si>
  <si>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</si>
  <si>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2018.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</si>
  <si>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</si>
  <si>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</si>
  <si>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</si>
  <si>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</si>
  <si>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</si>
  <si>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</si>
  <si>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</si>
  <si>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</si>
  <si>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</si>
  <si>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</si>
  <si>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</si>
  <si>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</si>
  <si>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</si>
  <si>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</si>
  <si>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</si>
  <si>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</si>
  <si>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</si>
  <si>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</si>
  <si>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</si>
  <si>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</si>
  <si>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</si>
  <si>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</si>
  <si>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</si>
  <si>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</si>
  <si>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</si>
  <si>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</si>
  <si>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</si>
  <si>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</si>
  <si>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</si>
  <si>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</si>
  <si>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</si>
  <si>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</si>
  <si>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</si>
  <si>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</si>
  <si>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</si>
  <si>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</si>
  <si>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</si>
  <si>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</si>
  <si>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</si>
  <si>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</si>
  <si>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</si>
  <si>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</si>
  <si>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</si>
  <si>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</si>
  <si>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</si>
  <si>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</si>
  <si>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</si>
  <si>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</si>
  <si>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</si>
  <si>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</si>
  <si>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</si>
  <si>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</si>
  <si>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</si>
  <si>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</si>
  <si>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</si>
  <si>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</si>
  <si>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</si>
  <si>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</si>
  <si>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</si>
  <si>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</si>
  <si>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</si>
  <si>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</si>
  <si>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</si>
  <si>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</si>
  <si>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</si>
  <si>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2016. év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</si>
  <si>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</si>
  <si>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</si>
  <si>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</si>
  <si>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</si>
  <si>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</si>
  <si>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</si>
  <si>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</si>
  <si>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</si>
  <si>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</si>
  <si>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</si>
  <si>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</si>
  <si>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</si>
  <si>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>Munkahelyi étkeztetés köznevelési int.(562920) (vendég)</t>
  </si>
  <si>
    <t xml:space="preserve"> egyéb működési és felhalmozási kiadásai</t>
  </si>
  <si>
    <t>2019.</t>
  </si>
  <si>
    <t>időskoruak támogatása</t>
  </si>
  <si>
    <t>Egyéb gép, berendezés, felszerelés beszerzése</t>
  </si>
  <si>
    <t>096015 Gyermekétkeztetés köznevelési intézményben</t>
  </si>
  <si>
    <t>096025 Munkahelyi étkeztetés köznevelési intézményekben</t>
  </si>
  <si>
    <t>107051 Szociális étkeztetés (889921)</t>
  </si>
  <si>
    <t>Könyvtári infrastruktúra fejlesztés támogatása, eszközbeszerzés</t>
  </si>
  <si>
    <t>Áht-n belüli megelőlegezések viszafizetése</t>
  </si>
  <si>
    <t xml:space="preserve">          Áht-n belüli megelőlegezések visszafizetése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</si>
  <si>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</si>
  <si>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</si>
  <si>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</si>
  <si>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</si>
  <si>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</si>
  <si>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</si>
  <si>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</si>
  <si>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2017. év</t>
  </si>
  <si>
    <t>( Ft-ban)</t>
  </si>
  <si>
    <t>2016. évről áthúzódó bérkompenzáció támogatása</t>
  </si>
  <si>
    <t>kiegészítés - I.1. jogcímhez kapcsolódóan</t>
  </si>
  <si>
    <t xml:space="preserve">2017. évi </t>
  </si>
  <si>
    <t>2017. évre</t>
  </si>
  <si>
    <t xml:space="preserve"> Ft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</si>
  <si>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</si>
  <si>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</si>
  <si>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</si>
  <si>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</si>
  <si>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</si>
  <si>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</si>
  <si>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</si>
  <si>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</si>
  <si>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</si>
  <si>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</si>
  <si>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</si>
  <si>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</si>
  <si>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</si>
  <si>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</si>
  <si>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</si>
  <si>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2017.évre</t>
  </si>
  <si>
    <t>2017.év</t>
  </si>
  <si>
    <t>(2016. december 31-i állapot szerint)</t>
  </si>
  <si>
    <t>2015-2017. év</t>
  </si>
  <si>
    <t>(  Ft-ban)</t>
  </si>
  <si>
    <t>2018-2020. év</t>
  </si>
  <si>
    <t>2020.</t>
  </si>
  <si>
    <t>adósságkonszolidációban nem részerült település önkormányzatok támogatása 2016. évről</t>
  </si>
  <si>
    <t>megelőlegezett állami támogatás igénybevétele</t>
  </si>
  <si>
    <t>ADÓSSÁGKONSZOLIDÁCIÓBAN NEM RÉSZESÜLT TELEPÜLÉSI ÖNKORMÁNYZATOK 2016. ÉVRŐL ÁTHÚZÓDÓ TÁMOGATA IGÉNYBEVÉTELE</t>
  </si>
  <si>
    <t>1.1.</t>
  </si>
  <si>
    <t>1.1.1.</t>
  </si>
  <si>
    <t>1.1.2.</t>
  </si>
  <si>
    <t>1.2.</t>
  </si>
  <si>
    <t>1.3.</t>
  </si>
  <si>
    <t>1.4.</t>
  </si>
  <si>
    <t>1.5.</t>
  </si>
  <si>
    <t>1.6.</t>
  </si>
  <si>
    <t>1.6.1.</t>
  </si>
  <si>
    <t>1.7.</t>
  </si>
  <si>
    <t>1.7.1.</t>
  </si>
  <si>
    <t>1.7.2.</t>
  </si>
  <si>
    <t>3.1.</t>
  </si>
  <si>
    <t>3.1.1.</t>
  </si>
  <si>
    <t>3.1.2</t>
  </si>
  <si>
    <t>3.1.3.</t>
  </si>
  <si>
    <t>3.1.4.</t>
  </si>
  <si>
    <t>3.2</t>
  </si>
  <si>
    <t>3.2.2.</t>
  </si>
  <si>
    <t>3.2.3</t>
  </si>
  <si>
    <t>4.1.</t>
  </si>
  <si>
    <t>4.2.</t>
  </si>
  <si>
    <t>4.3.</t>
  </si>
  <si>
    <t>3.1.5.</t>
  </si>
  <si>
    <t>3.2.1.</t>
  </si>
  <si>
    <t>28.</t>
  </si>
  <si>
    <t>TÁRGYÉVI KÖLTSÉGVETÉS EGYENLEGE</t>
  </si>
  <si>
    <t>1. Magánszemélyek kommunális adója</t>
  </si>
  <si>
    <t>2016.</t>
  </si>
  <si>
    <t>Egyéb építmény felújítása</t>
  </si>
  <si>
    <t>045160 Közutak, hidak, alagutak üzemeltetése, fenntartása</t>
  </si>
  <si>
    <t>(  Ft-ban )</t>
  </si>
  <si>
    <t xml:space="preserve"> 011130 Önkormányzatok és önk. hivatalok jogalkotó és ált. igaztatási tevékenysége</t>
  </si>
  <si>
    <t>Egyéb gép, berendezés,felszerelés, konyhai eszközök pótlására</t>
  </si>
  <si>
    <t>ÁLTALÁNOS TARTALÉKOK ELŐIRÁNYZATA</t>
  </si>
  <si>
    <t xml:space="preserve">Általános tartalék összege </t>
  </si>
  <si>
    <t xml:space="preserve">       - Általános tartalék</t>
  </si>
  <si>
    <t>3.1.6.</t>
  </si>
  <si>
    <t>2.1.</t>
  </si>
  <si>
    <t>Bursa Hungarica ösztöndíj pályázat  támogatása</t>
  </si>
  <si>
    <t>Kertészkert utca burkolatának felújítása (adósságkonszolidációban nem részesült települési önkormányzatok 2016.évi támogatásának felhasználása)</t>
  </si>
  <si>
    <t>2017. 01.01-től</t>
  </si>
  <si>
    <t xml:space="preserve">ELŐZŐ ÉVEK KÖLTSÉGVETÉSI MARADVÁNY IGÉNYBEVÉTELE </t>
  </si>
  <si>
    <t>1. melléklet  a  2/2017. (II.14.)  önkormányzati rendelethez</t>
  </si>
  <si>
    <t xml:space="preserve">előző év költségvetési maradvány igénybevétele </t>
  </si>
  <si>
    <t>ÖSSZESEN:</t>
  </si>
  <si>
    <t>Sitkei Önkormányzati Konyha összesen:</t>
  </si>
  <si>
    <t>Sitke község Önkormányzata összesen:</t>
  </si>
  <si>
    <t>Hosszabb időtartamú közfoglalkoztatás</t>
  </si>
  <si>
    <t>041233</t>
  </si>
  <si>
    <t>3. melléklet  a  2/2017. (II.14.)  önkormányzati rendelethez</t>
  </si>
  <si>
    <t>35.</t>
  </si>
  <si>
    <t>34.</t>
  </si>
  <si>
    <t>33.</t>
  </si>
  <si>
    <t>32.</t>
  </si>
  <si>
    <t>31.</t>
  </si>
  <si>
    <t>30.</t>
  </si>
  <si>
    <t>29.</t>
  </si>
  <si>
    <t>6..</t>
  </si>
  <si>
    <t>5. melléklet  a 2/2017. (II.14.)  önkormányzati rendelethez</t>
  </si>
  <si>
    <t>Sárvár Város Önkormányzatának a házi segítségnyújtás feladatainak ellátásáért működési támogatás ( Megállapodás alapján)</t>
  </si>
  <si>
    <t>6. melléklet  a  2/2017. (II.14.)  önkormányzati rendelethez</t>
  </si>
  <si>
    <t xml:space="preserve">14. </t>
  </si>
  <si>
    <t>7. melléklet  a  2/2017. (II.14.)  önkormányzati rendelethez</t>
  </si>
  <si>
    <t>2.2.</t>
  </si>
  <si>
    <t>Konyha korszerűsítésének tervezési kiadásaira</t>
  </si>
  <si>
    <t>013350 Önkormányzati vagyonnal való gazdálodással kapcsolatos feladatok</t>
  </si>
  <si>
    <t>9. melléklet a 2/2017. (II.14.)  sz. önkormányzati rendelethez</t>
  </si>
  <si>
    <t>10. melléklet a 2/2017. (II.14.)  önkormányzati rendelethez</t>
  </si>
  <si>
    <t>11. melléklet a 2/2017. (II.14.)  önkormányzati rendelethez</t>
  </si>
  <si>
    <t>- orvosi rendelő felújításával kapcsolatos fordított ÁFA visszatérülése</t>
  </si>
  <si>
    <t>17. melléklet a 2/2017. (II.14.)  önkormányzati rendelethez</t>
  </si>
  <si>
    <t>Sitkei önkormányzati Konyha</t>
  </si>
  <si>
    <t>Sitke Község Önkormányzata</t>
  </si>
  <si>
    <t xml:space="preserve"> központi, irányító szervi támogatás </t>
  </si>
  <si>
    <t xml:space="preserve"> előző évi költségvetési  maradvány igénybevétele </t>
  </si>
  <si>
    <t xml:space="preserve"> felhalmozási bevételek összesen </t>
  </si>
  <si>
    <t xml:space="preserve"> felhalmozási célú átvett pénzeszközök </t>
  </si>
  <si>
    <t xml:space="preserve"> felhalmozási bevételek </t>
  </si>
  <si>
    <t xml:space="preserve"> felhalmozási támogatások államháztar- táson belülről </t>
  </si>
  <si>
    <t xml:space="preserve"> működési bevételek összesen </t>
  </si>
  <si>
    <t xml:space="preserve"> működési célú átvett pénz-    eszközök </t>
  </si>
  <si>
    <t xml:space="preserve"> működési bevételek </t>
  </si>
  <si>
    <t xml:space="preserve"> közhatalmi bevételek </t>
  </si>
  <si>
    <t xml:space="preserve"> működési támogatások államháztartáson belülről </t>
  </si>
  <si>
    <t xml:space="preserve"> finanszírozási bevételek </t>
  </si>
  <si>
    <t xml:space="preserve"> bevételek összesen: </t>
  </si>
  <si>
    <t>SORSZÁM</t>
  </si>
  <si>
    <t xml:space="preserve"> Ft-ban </t>
  </si>
  <si>
    <t>BEVÉTELEINEK KÖLTSÉGVETÉSI SZERVENKÉNTI ALAKULÁSA</t>
  </si>
  <si>
    <t xml:space="preserve">SITKE KÖZSÉG ÖNKORMÁNYZATA  </t>
  </si>
  <si>
    <t>Sitkei Önkormányzati Konyha</t>
  </si>
  <si>
    <t>megoszlás %-a</t>
  </si>
  <si>
    <t xml:space="preserve">  Ft </t>
  </si>
  <si>
    <t>megoszlás    %-a</t>
  </si>
  <si>
    <t>megnevezése:</t>
  </si>
  <si>
    <t xml:space="preserve"> összes támogatás </t>
  </si>
  <si>
    <t>önkormányzati támogatás</t>
  </si>
  <si>
    <t>központi költségvetési támogatás</t>
  </si>
  <si>
    <t>Intézmény</t>
  </si>
  <si>
    <t xml:space="preserve"> (  Ft-ban ) </t>
  </si>
  <si>
    <t>KÖLTSÉGVETÉSI SZERVEK KÖZPONTI KÖLTSÉGVETÉSI ÉS ÖNKORMÁNYZATI TÁMOGATÁSA</t>
  </si>
  <si>
    <t>Zene Háza Sárvár TOP pályázatból Sitke Önkormányzatra jutó támogatás</t>
  </si>
  <si>
    <t>Honvédelmi Minisztérium Hadtörténeti Intézet és Múzeum támogatása (hadisírok felújítására)</t>
  </si>
  <si>
    <t>Vas megyei Közgyűlés elnökének támogatása ( napközistáborra)</t>
  </si>
  <si>
    <t>Nyári diákmunka támogatása</t>
  </si>
  <si>
    <t>Közfoglalkoztatás támogatása</t>
  </si>
  <si>
    <t xml:space="preserve"> Elszámolásból származó bevételek összesen:</t>
  </si>
  <si>
    <t>2016.évi ébes beszámoló 11/C űrlap alapján</t>
  </si>
  <si>
    <t>6. Elszámolásból származó bevételek</t>
  </si>
  <si>
    <t>Működési célú költségvetési és kiegészítő támogatás összesen:</t>
  </si>
  <si>
    <t>Polgármesteri béremelés különbözetének támogatására</t>
  </si>
  <si>
    <t>Minimálbér és a garantált bérminimum emelés kompenzálására</t>
  </si>
  <si>
    <t>2017.évi bérkompenzációs támogatás</t>
  </si>
  <si>
    <t>Működési célú költségvetési és kiegészítő támogatás</t>
  </si>
  <si>
    <t>Települési arculati kézikönyv elkészítésének támogatása</t>
  </si>
  <si>
    <t xml:space="preserve">6. </t>
  </si>
  <si>
    <t>Szent László Katolikus Általános Iskola táborozás támogatására</t>
  </si>
  <si>
    <t>Telekvásárlás</t>
  </si>
  <si>
    <t>013350 Önkormányzati vagyonnal való gazdálkodással kapcsolatos feladatok</t>
  </si>
  <si>
    <t>Arculati kézikönyv elkésztése</t>
  </si>
  <si>
    <t xml:space="preserve"> 066020 Város- és községgazdálkodási egyéb szolgáltatások</t>
  </si>
  <si>
    <t>082044 Könyvtári szolgáltatások</t>
  </si>
  <si>
    <t>M e g n e v e z é s</t>
  </si>
  <si>
    <t>-  tartalék</t>
  </si>
  <si>
    <t>12.  melléklet  a  2/2017. (II.14.)  önkormányzati rendelethez</t>
  </si>
  <si>
    <t>13.  melléklet  a  2/2017. (II.14.)  önkormányzati rendelethez</t>
  </si>
  <si>
    <t>14. melléklet  a  2/2017. (II. 10.) önkormányzati rendelethez</t>
  </si>
  <si>
    <t>15. melléklet  a  2/2017. (II. 10.) önkormányzati rendelethez</t>
  </si>
  <si>
    <t>16. melléklet  a  2/2017. (II. 10.) önkormányzati rendelethez</t>
  </si>
  <si>
    <t>FELHALMOZÁSI CÉLÚ TÁMOGATÁSOK ÁLLAMHÁZTARTÁSON BELÜLRŐL ÖSSZESEN:</t>
  </si>
  <si>
    <t>1717/2017.(X.3.) Korm.hat. alapján Egyedi költségvetési támogatás</t>
  </si>
  <si>
    <t>Önkormányzatok feladatellátást szolgáló fejlsztések támogatása</t>
  </si>
  <si>
    <t>Szociális célú tűzifavásárlás támogatása</t>
  </si>
  <si>
    <t xml:space="preserve">4. </t>
  </si>
  <si>
    <t>Sárvári Sakk Club SE Petanque Szakosztály</t>
  </si>
  <si>
    <t xml:space="preserve">9. </t>
  </si>
  <si>
    <t>10.3.</t>
  </si>
  <si>
    <t>10.2.</t>
  </si>
  <si>
    <t>10.1.</t>
  </si>
  <si>
    <t>9.3.</t>
  </si>
  <si>
    <t>9.2.</t>
  </si>
  <si>
    <t>9.1</t>
  </si>
  <si>
    <t>8.3.</t>
  </si>
  <si>
    <t>8.2.</t>
  </si>
  <si>
    <t>8.1.</t>
  </si>
  <si>
    <t>7.3</t>
  </si>
  <si>
    <t>7.2</t>
  </si>
  <si>
    <t>7.1.</t>
  </si>
  <si>
    <t>6.3.</t>
  </si>
  <si>
    <t>6.2.</t>
  </si>
  <si>
    <t>Egyéb gép, berendezés,felszerelés, kisértékű eszközbeszerzés ( router)</t>
  </si>
  <si>
    <t>6.1.</t>
  </si>
  <si>
    <t>082092 Közművelődés - Hagyományos közösségi, kulturális értékek gondozása</t>
  </si>
  <si>
    <t>5.3.</t>
  </si>
  <si>
    <t>5.2.</t>
  </si>
  <si>
    <t>Egyéb gép, berendezés,felszerelés, kisértékű  eszközbeszerzés ( tárolószekrény)</t>
  </si>
  <si>
    <t>5.1.</t>
  </si>
  <si>
    <t>072111 Háziorvosi alapellátás</t>
  </si>
  <si>
    <t>3.3.</t>
  </si>
  <si>
    <t>3.2.</t>
  </si>
  <si>
    <t>2.3.</t>
  </si>
  <si>
    <t>1.1.9.</t>
  </si>
  <si>
    <t>1.1.8.</t>
  </si>
  <si>
    <t>Hunyadi utca burkolatának felújítása</t>
  </si>
  <si>
    <t>1.1.7.</t>
  </si>
  <si>
    <t>1.1.6.</t>
  </si>
  <si>
    <t>1.1.5.</t>
  </si>
  <si>
    <t>Vadkert utca burkolatának felújítása</t>
  </si>
  <si>
    <t>1.1.4</t>
  </si>
  <si>
    <t>1.1.3.</t>
  </si>
  <si>
    <t xml:space="preserve"> előirányzat    ( Ft)</t>
  </si>
  <si>
    <t>Felhalmozási bevételek</t>
  </si>
  <si>
    <t>Felhelmozási célú támogatások államháztatrtáson belülről</t>
  </si>
  <si>
    <t>Módosította: 1/2018. (II.13.)</t>
  </si>
  <si>
    <t xml:space="preserve"> MEGELŐLEGEZETT ÁLLAMI TÁMOGATÁS</t>
  </si>
  <si>
    <t>Áht-én belüli megelőlegezések támogatása</t>
  </si>
  <si>
    <t>Kistaepülési önkormányzatok alacsony összegű fjlsztéseinek támogatása</t>
  </si>
  <si>
    <t>2. melléklet  a  2/2017. (II.14.)  önkormányzati rendelethez</t>
  </si>
  <si>
    <t>4. melléklet  az 1/2018. (II.13.)  önkormányzati rendelethez</t>
  </si>
  <si>
    <t>Első lakáshoz jutók lakásépítésének és -vásárlásnak viszzatérítendő támogatása ( kamatmentes kölcsön)</t>
  </si>
  <si>
    <t>sor-szám</t>
  </si>
  <si>
    <t>Ft-ban</t>
  </si>
  <si>
    <t xml:space="preserve">Sitke Község Önkormányzata   </t>
  </si>
  <si>
    <t>11.2.</t>
  </si>
  <si>
    <t>Egyéb építménény beszerzése( vasiszap üllepítő medence építése)</t>
  </si>
  <si>
    <t>11.1</t>
  </si>
  <si>
    <t>052080 Szennyvízcsatorna építése, fenntartása üzemeltetése</t>
  </si>
  <si>
    <t>096025Munkahelyi étkeztetés köznevelési int. (vendég)</t>
  </si>
  <si>
    <t>8. melléklet  a  2/2017. (II.14.)  önkormányzati rendelethez</t>
  </si>
  <si>
    <t>1.1.12.</t>
  </si>
  <si>
    <t>1.1.11.</t>
  </si>
  <si>
    <t>Zrínyi és Ady utca árkok jókarba helyezése</t>
  </si>
  <si>
    <t>1.1.10.</t>
  </si>
  <si>
    <t xml:space="preserve">Áht-n belüli megelőlegezések </t>
  </si>
  <si>
    <t xml:space="preserve"> - egyéb működési célú támogatások államháztartáson belülre</t>
  </si>
  <si>
    <t>Áht.n belüli meggelőlegezések</t>
  </si>
  <si>
    <t xml:space="preserve"> 18. melléklet a 2/2017. (II. 14.) önkormányzati rendelethez </t>
  </si>
  <si>
    <t xml:space="preserve"> 19. melléklet a 2/2017.(II. 14.) önkormányzati rendelethez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</si>
</sst>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0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83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61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61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60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0" xfId="57" applyFont="1">
      <alignment/>
      <protection/>
    </xf>
    <xf numFmtId="0" fontId="14" fillId="0" borderId="0" xfId="57" applyFont="1" applyAlignment="1">
      <alignment/>
      <protection/>
    </xf>
    <xf numFmtId="41" fontId="6" fillId="0" borderId="0" xfId="57" applyNumberFormat="1" applyFont="1" applyAlignment="1">
      <alignment horizontal="centerContinuous"/>
      <protection/>
    </xf>
    <xf numFmtId="0" fontId="10" fillId="0" borderId="0" xfId="57" applyFont="1" applyAlignment="1">
      <alignment horizontal="centerContinuous"/>
      <protection/>
    </xf>
    <xf numFmtId="0" fontId="15" fillId="0" borderId="0" xfId="57" applyFont="1" applyAlignment="1">
      <alignment/>
      <protection/>
    </xf>
    <xf numFmtId="41" fontId="10" fillId="0" borderId="0" xfId="57" applyNumberFormat="1" applyFont="1" applyAlignment="1">
      <alignment horizontal="centerContinuous"/>
      <protection/>
    </xf>
    <xf numFmtId="0" fontId="11" fillId="0" borderId="0" xfId="57" applyFont="1">
      <alignment/>
      <protection/>
    </xf>
    <xf numFmtId="0" fontId="12" fillId="0" borderId="0" xfId="57" applyFont="1" applyAlignment="1">
      <alignment horizontal="right"/>
      <protection/>
    </xf>
    <xf numFmtId="41" fontId="13" fillId="0" borderId="0" xfId="57" applyNumberFormat="1" applyFont="1">
      <alignment/>
      <protection/>
    </xf>
    <xf numFmtId="41" fontId="6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7" fillId="0" borderId="0" xfId="58" applyFont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60" applyNumberFormat="1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6" fillId="0" borderId="0" xfId="58" applyFont="1" applyAlignment="1">
      <alignment/>
      <protection/>
    </xf>
    <xf numFmtId="0" fontId="12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10" xfId="58" applyFont="1" applyBorder="1" applyAlignment="1">
      <alignment horizontal="left"/>
      <protection/>
    </xf>
    <xf numFmtId="0" fontId="12" fillId="0" borderId="10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13" xfId="58" applyFont="1" applyBorder="1" applyAlignment="1">
      <alignment horizontal="center"/>
      <protection/>
    </xf>
    <xf numFmtId="0" fontId="20" fillId="0" borderId="0" xfId="58" applyFont="1">
      <alignment/>
      <protection/>
    </xf>
    <xf numFmtId="0" fontId="10" fillId="0" borderId="0" xfId="58" applyFont="1" applyAlignment="1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Alignment="1">
      <alignment horizontal="center"/>
      <protection/>
    </xf>
    <xf numFmtId="0" fontId="4" fillId="0" borderId="14" xfId="58" applyFont="1" applyBorder="1" applyAlignment="1">
      <alignment/>
      <protection/>
    </xf>
    <xf numFmtId="0" fontId="4" fillId="0" borderId="15" xfId="58" applyFont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16" xfId="58" applyFont="1" applyBorder="1">
      <alignment/>
      <protection/>
    </xf>
    <xf numFmtId="0" fontId="4" fillId="0" borderId="17" xfId="58" applyFont="1" applyBorder="1" applyAlignment="1">
      <alignment horizontal="center"/>
      <protection/>
    </xf>
    <xf numFmtId="0" fontId="4" fillId="0" borderId="18" xfId="58" applyFont="1" applyBorder="1">
      <alignment/>
      <protection/>
    </xf>
    <xf numFmtId="0" fontId="4" fillId="0" borderId="19" xfId="58" applyFont="1" applyBorder="1" applyAlignment="1">
      <alignment horizontal="center"/>
      <protection/>
    </xf>
    <xf numFmtId="0" fontId="4" fillId="0" borderId="20" xfId="58" applyFont="1" applyBorder="1" applyAlignment="1">
      <alignment horizontal="left" vertical="center" wrapText="1"/>
      <protection/>
    </xf>
    <xf numFmtId="0" fontId="4" fillId="0" borderId="20" xfId="58" applyFont="1" applyBorder="1" applyAlignment="1">
      <alignment horizontal="left"/>
      <protection/>
    </xf>
    <xf numFmtId="0" fontId="4" fillId="0" borderId="21" xfId="58" applyFont="1" applyBorder="1">
      <alignment/>
      <protection/>
    </xf>
    <xf numFmtId="0" fontId="7" fillId="0" borderId="22" xfId="58" applyFont="1" applyBorder="1" applyAlignment="1">
      <alignment horizontal="right"/>
      <protection/>
    </xf>
    <xf numFmtId="0" fontId="7" fillId="0" borderId="23" xfId="58" applyFont="1" applyBorder="1" applyAlignment="1">
      <alignment horizontal="left"/>
      <protection/>
    </xf>
    <xf numFmtId="168" fontId="7" fillId="0" borderId="23" xfId="40" applyNumberFormat="1" applyFont="1" applyBorder="1" applyAlignment="1">
      <alignment horizontal="right"/>
    </xf>
    <xf numFmtId="168" fontId="7" fillId="0" borderId="24" xfId="40" applyNumberFormat="1" applyFont="1" applyBorder="1" applyAlignment="1">
      <alignment horizontal="right"/>
    </xf>
    <xf numFmtId="168" fontId="7" fillId="0" borderId="0" xfId="58" applyNumberFormat="1" applyFo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7" applyFont="1">
      <alignment/>
      <protection/>
    </xf>
    <xf numFmtId="168" fontId="11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5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2" fillId="0" borderId="0" xfId="58" applyFont="1" applyBorder="1" applyAlignment="1">
      <alignment horizontal="center" vertical="center"/>
      <protection/>
    </xf>
    <xf numFmtId="0" fontId="12" fillId="0" borderId="0" xfId="0" applyFont="1" applyAlignment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wrapText="1"/>
    </xf>
    <xf numFmtId="168" fontId="7" fillId="0" borderId="0" xfId="0" applyNumberFormat="1" applyFont="1" applyAlignment="1">
      <alignment/>
    </xf>
    <xf numFmtId="0" fontId="12" fillId="0" borderId="0" xfId="60" applyFont="1">
      <alignment/>
      <protection/>
    </xf>
    <xf numFmtId="0" fontId="10" fillId="0" borderId="0" xfId="61" applyFont="1" applyAlignment="1">
      <alignment horizontal="center"/>
      <protection/>
    </xf>
    <xf numFmtId="0" fontId="11" fillId="0" borderId="0" xfId="61" applyFont="1">
      <alignment/>
      <protection/>
    </xf>
    <xf numFmtId="0" fontId="11" fillId="0" borderId="0" xfId="58" applyFont="1">
      <alignment/>
      <protection/>
    </xf>
    <xf numFmtId="0" fontId="11" fillId="0" borderId="25" xfId="60" applyFont="1" applyBorder="1" applyAlignment="1">
      <alignment horizontal="left" wrapText="1"/>
      <protection/>
    </xf>
    <xf numFmtId="0" fontId="11" fillId="0" borderId="26" xfId="60" applyFont="1" applyBorder="1" applyAlignment="1" quotePrefix="1">
      <alignment horizontal="center" vertical="center" wrapText="1"/>
      <protection/>
    </xf>
    <xf numFmtId="0" fontId="11" fillId="0" borderId="27" xfId="61" applyFont="1" applyBorder="1">
      <alignment/>
      <protection/>
    </xf>
    <xf numFmtId="0" fontId="11" fillId="0" borderId="25" xfId="61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1" applyFont="1" applyAlignment="1">
      <alignment horizontal="center"/>
      <protection/>
    </xf>
    <xf numFmtId="0" fontId="11" fillId="0" borderId="28" xfId="60" applyFont="1" applyBorder="1" applyAlignment="1">
      <alignment horizontal="right"/>
      <protection/>
    </xf>
    <xf numFmtId="0" fontId="12" fillId="0" borderId="0" xfId="58" applyFont="1">
      <alignment/>
      <protection/>
    </xf>
    <xf numFmtId="0" fontId="17" fillId="0" borderId="0" xfId="58" applyFont="1">
      <alignment/>
      <protection/>
    </xf>
    <xf numFmtId="0" fontId="6" fillId="0" borderId="11" xfId="58" applyFont="1" applyBorder="1" applyAlignment="1">
      <alignment horizontal="center"/>
      <protection/>
    </xf>
    <xf numFmtId="0" fontId="6" fillId="0" borderId="12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12" fillId="0" borderId="0" xfId="58" applyFont="1" applyAlignment="1">
      <alignment horizontal="right"/>
      <protection/>
    </xf>
    <xf numFmtId="0" fontId="6" fillId="0" borderId="11" xfId="58" applyFont="1" applyBorder="1" applyAlignment="1">
      <alignment/>
      <protection/>
    </xf>
    <xf numFmtId="0" fontId="6" fillId="0" borderId="13" xfId="58" applyFont="1" applyBorder="1" applyAlignment="1">
      <alignment horizontal="center"/>
      <protection/>
    </xf>
    <xf numFmtId="0" fontId="12" fillId="0" borderId="0" xfId="58" applyFont="1" applyBorder="1" applyAlignment="1">
      <alignment horizontal="right"/>
      <protection/>
    </xf>
    <xf numFmtId="0" fontId="12" fillId="0" borderId="0" xfId="58" applyFont="1" applyBorder="1" applyAlignment="1">
      <alignment/>
      <protection/>
    </xf>
    <xf numFmtId="0" fontId="12" fillId="0" borderId="0" xfId="58" applyFont="1" applyBorder="1" applyAlignment="1">
      <alignment wrapText="1"/>
      <protection/>
    </xf>
    <xf numFmtId="0" fontId="12" fillId="0" borderId="28" xfId="58" applyFont="1" applyBorder="1" applyAlignment="1">
      <alignment horizontal="right"/>
      <protection/>
    </xf>
    <xf numFmtId="0" fontId="12" fillId="0" borderId="28" xfId="58" applyFont="1" applyBorder="1" applyAlignment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168" fontId="6" fillId="0" borderId="0" xfId="58" applyNumberFormat="1" applyFont="1">
      <alignment/>
      <protection/>
    </xf>
    <xf numFmtId="0" fontId="6" fillId="0" borderId="29" xfId="58" applyFont="1" applyBorder="1" applyAlignment="1">
      <alignment horizontal="right"/>
      <protection/>
    </xf>
    <xf numFmtId="0" fontId="6" fillId="0" borderId="29" xfId="58" applyFont="1" applyBorder="1">
      <alignment/>
      <protection/>
    </xf>
    <xf numFmtId="0" fontId="6" fillId="0" borderId="0" xfId="58" applyFont="1" applyBorder="1" applyAlignment="1">
      <alignment horizontal="right"/>
      <protection/>
    </xf>
    <xf numFmtId="0" fontId="6" fillId="0" borderId="0" xfId="58" applyFont="1" applyBorder="1">
      <alignment/>
      <protection/>
    </xf>
    <xf numFmtId="0" fontId="12" fillId="0" borderId="0" xfId="59" applyFont="1">
      <alignment/>
      <protection/>
    </xf>
    <xf numFmtId="0" fontId="6" fillId="0" borderId="0" xfId="59" applyFont="1" applyBorder="1" applyAlignment="1">
      <alignment horizontal="center"/>
      <protection/>
    </xf>
    <xf numFmtId="0" fontId="24" fillId="0" borderId="28" xfId="0" applyFont="1" applyBorder="1" applyAlignment="1">
      <alignment/>
    </xf>
    <xf numFmtId="0" fontId="6" fillId="0" borderId="0" xfId="59" applyFont="1">
      <alignment/>
      <protection/>
    </xf>
    <xf numFmtId="0" fontId="6" fillId="0" borderId="29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12" fillId="0" borderId="0" xfId="59" applyFont="1" applyBorder="1" applyAlignment="1">
      <alignment horizontal="center" vertical="center"/>
      <protection/>
    </xf>
    <xf numFmtId="14" fontId="4" fillId="0" borderId="0" xfId="0" applyNumberFormat="1" applyFont="1" applyAlignment="1">
      <alignment/>
    </xf>
    <xf numFmtId="0" fontId="22" fillId="0" borderId="29" xfId="58" applyFont="1" applyBorder="1" applyAlignment="1">
      <alignment horizontal="center"/>
      <protection/>
    </xf>
    <xf numFmtId="0" fontId="7" fillId="0" borderId="29" xfId="58" applyFont="1" applyBorder="1" applyAlignment="1">
      <alignment horizontal="center"/>
      <protection/>
    </xf>
    <xf numFmtId="0" fontId="25" fillId="0" borderId="0" xfId="58" applyFont="1">
      <alignment/>
      <protection/>
    </xf>
    <xf numFmtId="0" fontId="25" fillId="0" borderId="0" xfId="58" applyFont="1" applyAlignment="1">
      <alignment horizontal="center"/>
      <protection/>
    </xf>
    <xf numFmtId="0" fontId="11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4" fillId="0" borderId="0" xfId="0" applyFont="1" applyAlignment="1">
      <alignment/>
    </xf>
    <xf numFmtId="0" fontId="11" fillId="0" borderId="0" xfId="60" applyFont="1" applyBorder="1" applyAlignment="1">
      <alignment horizontal="left" wrapText="1"/>
      <protection/>
    </xf>
    <xf numFmtId="0" fontId="4" fillId="0" borderId="29" xfId="0" applyFont="1" applyBorder="1" applyAlignment="1">
      <alignment/>
    </xf>
    <xf numFmtId="0" fontId="10" fillId="0" borderId="29" xfId="60" applyFont="1" applyBorder="1">
      <alignment/>
      <protection/>
    </xf>
    <xf numFmtId="0" fontId="6" fillId="0" borderId="0" xfId="61" applyFont="1" applyAlignment="1">
      <alignment horizontal="centerContinuous"/>
      <protection/>
    </xf>
    <xf numFmtId="0" fontId="6" fillId="0" borderId="11" xfId="61" applyFont="1" applyBorder="1">
      <alignment/>
      <protection/>
    </xf>
    <xf numFmtId="0" fontId="6" fillId="0" borderId="11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12" fillId="0" borderId="11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6" fillId="0" borderId="29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6" fillId="0" borderId="21" xfId="0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0" fontId="6" fillId="0" borderId="34" xfId="0" applyFont="1" applyBorder="1" applyAlignment="1">
      <alignment/>
    </xf>
    <xf numFmtId="0" fontId="12" fillId="0" borderId="28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0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1" fillId="0" borderId="0" xfId="40" applyNumberFormat="1" applyFont="1" applyAlignment="1">
      <alignment horizontal="center"/>
    </xf>
    <xf numFmtId="0" fontId="19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7" applyFont="1" applyAlignment="1">
      <alignment horizontal="center"/>
      <protection/>
    </xf>
    <xf numFmtId="0" fontId="12" fillId="0" borderId="0" xfId="57" applyFont="1" applyAlignment="1">
      <alignment horizontal="centerContinuous"/>
      <protection/>
    </xf>
    <xf numFmtId="0" fontId="6" fillId="0" borderId="11" xfId="57" applyFont="1" applyBorder="1" applyAlignment="1">
      <alignment horizontal="centerContinuous"/>
      <protection/>
    </xf>
    <xf numFmtId="0" fontId="6" fillId="0" borderId="12" xfId="57" applyFont="1" applyBorder="1" applyAlignment="1">
      <alignment horizontal="centerContinuous"/>
      <protection/>
    </xf>
    <xf numFmtId="0" fontId="6" fillId="0" borderId="29" xfId="57" applyFont="1" applyBorder="1" applyAlignment="1">
      <alignment horizontal="center"/>
      <protection/>
    </xf>
    <xf numFmtId="0" fontId="6" fillId="0" borderId="13" xfId="57" applyFont="1" applyBorder="1" applyAlignment="1">
      <alignment horizontal="centerContinuous"/>
      <protection/>
    </xf>
    <xf numFmtId="41" fontId="12" fillId="0" borderId="0" xfId="57" applyNumberFormat="1" applyFont="1">
      <alignment/>
      <protection/>
    </xf>
    <xf numFmtId="41" fontId="12" fillId="0" borderId="0" xfId="57" applyNumberFormat="1" applyFont="1" applyBorder="1" applyAlignment="1">
      <alignment horizontal="center"/>
      <protection/>
    </xf>
    <xf numFmtId="41" fontId="12" fillId="0" borderId="0" xfId="57" applyNumberFormat="1" applyFont="1" applyBorder="1">
      <alignment/>
      <protection/>
    </xf>
    <xf numFmtId="41" fontId="32" fillId="0" borderId="35" xfId="57" applyNumberFormat="1" applyFont="1" applyBorder="1" applyAlignment="1">
      <alignment horizontal="centerContinuous"/>
      <protection/>
    </xf>
    <xf numFmtId="0" fontId="20" fillId="0" borderId="0" xfId="57" applyFont="1" applyBorder="1" applyAlignment="1">
      <alignment horizontal="center"/>
      <protection/>
    </xf>
    <xf numFmtId="0" fontId="20" fillId="0" borderId="0" xfId="57" applyFont="1" applyBorder="1" applyAlignment="1">
      <alignment/>
      <protection/>
    </xf>
    <xf numFmtId="41" fontId="20" fillId="0" borderId="0" xfId="57" applyNumberFormat="1" applyFont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41" fontId="5" fillId="0" borderId="0" xfId="57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wrapText="1"/>
      <protection/>
    </xf>
    <xf numFmtId="41" fontId="12" fillId="0" borderId="35" xfId="57" applyNumberFormat="1" applyFont="1" applyBorder="1">
      <alignment/>
      <protection/>
    </xf>
    <xf numFmtId="0" fontId="20" fillId="0" borderId="0" xfId="57" applyFont="1" applyBorder="1" applyAlignment="1">
      <alignment wrapText="1"/>
      <protection/>
    </xf>
    <xf numFmtId="41" fontId="20" fillId="0" borderId="0" xfId="57" applyNumberFormat="1" applyFont="1" applyBorder="1">
      <alignment/>
      <protection/>
    </xf>
    <xf numFmtId="0" fontId="5" fillId="0" borderId="0" xfId="57" applyFont="1" applyBorder="1" applyAlignment="1">
      <alignment wrapText="1"/>
      <protection/>
    </xf>
    <xf numFmtId="41" fontId="5" fillId="0" borderId="0" xfId="57" applyNumberFormat="1" applyFont="1" applyBorder="1" applyAlignment="1">
      <alignment/>
      <protection/>
    </xf>
    <xf numFmtId="0" fontId="27" fillId="0" borderId="0" xfId="0" applyFont="1" applyBorder="1" applyAlignment="1">
      <alignment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>
      <alignment/>
      <protection/>
    </xf>
    <xf numFmtId="0" fontId="32" fillId="0" borderId="0" xfId="57" applyFont="1" applyBorder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left" wrapText="1"/>
    </xf>
    <xf numFmtId="14" fontId="19" fillId="0" borderId="0" xfId="0" applyNumberFormat="1" applyFont="1" applyAlignment="1">
      <alignment/>
    </xf>
    <xf numFmtId="0" fontId="12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36" xfId="58" applyFont="1" applyBorder="1">
      <alignment/>
      <protection/>
    </xf>
    <xf numFmtId="0" fontId="6" fillId="0" borderId="36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2" fillId="0" borderId="28" xfId="0" applyFont="1" applyBorder="1" applyAlignment="1" quotePrefix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60" applyFont="1" applyBorder="1" applyAlignment="1">
      <alignment horizontal="right"/>
      <protection/>
    </xf>
    <xf numFmtId="0" fontId="21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3" fontId="12" fillId="0" borderId="0" xfId="58" applyNumberFormat="1" applyFont="1">
      <alignment/>
      <protection/>
    </xf>
    <xf numFmtId="3" fontId="12" fillId="0" borderId="0" xfId="58" applyNumberFormat="1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6" fillId="0" borderId="0" xfId="58" applyNumberFormat="1" applyFont="1" applyAlignment="1">
      <alignment horizontal="right"/>
      <protection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38" xfId="60" applyFont="1" applyBorder="1" applyAlignment="1" quotePrefix="1">
      <alignment horizontal="center" vertical="center" wrapText="1"/>
      <protection/>
    </xf>
    <xf numFmtId="0" fontId="11" fillId="0" borderId="39" xfId="60" applyFont="1" applyBorder="1" applyAlignment="1" quotePrefix="1">
      <alignment horizontal="center" vertical="center" wrapText="1"/>
      <protection/>
    </xf>
    <xf numFmtId="0" fontId="4" fillId="0" borderId="4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1" xfId="0" applyFont="1" applyBorder="1" applyAlignment="1">
      <alignment/>
    </xf>
    <xf numFmtId="3" fontId="11" fillId="0" borderId="27" xfId="60" applyNumberFormat="1" applyFont="1" applyBorder="1" applyAlignment="1">
      <alignment horizontal="right"/>
      <protection/>
    </xf>
    <xf numFmtId="3" fontId="11" fillId="0" borderId="28" xfId="60" applyNumberFormat="1" applyFont="1" applyBorder="1" applyAlignment="1">
      <alignment horizontal="right"/>
      <protection/>
    </xf>
    <xf numFmtId="3" fontId="21" fillId="0" borderId="28" xfId="60" applyNumberFormat="1" applyFont="1" applyBorder="1">
      <alignment/>
      <protection/>
    </xf>
    <xf numFmtId="3" fontId="11" fillId="0" borderId="28" xfId="60" applyNumberFormat="1" applyFont="1" applyBorder="1">
      <alignment/>
      <protection/>
    </xf>
    <xf numFmtId="3" fontId="21" fillId="0" borderId="42" xfId="60" applyNumberFormat="1" applyFont="1" applyBorder="1">
      <alignment/>
      <protection/>
    </xf>
    <xf numFmtId="3" fontId="11" fillId="0" borderId="42" xfId="60" applyNumberFormat="1" applyFont="1" applyBorder="1">
      <alignment/>
      <protection/>
    </xf>
    <xf numFmtId="3" fontId="11" fillId="0" borderId="43" xfId="60" applyNumberFormat="1" applyFont="1" applyBorder="1">
      <alignment/>
      <protection/>
    </xf>
    <xf numFmtId="3" fontId="10" fillId="0" borderId="34" xfId="60" applyNumberFormat="1" applyFont="1" applyBorder="1" applyAlignment="1">
      <alignment horizontal="right"/>
      <protection/>
    </xf>
    <xf numFmtId="3" fontId="10" fillId="0" borderId="44" xfId="60" applyNumberFormat="1" applyFont="1" applyBorder="1" applyAlignment="1">
      <alignment horizontal="right"/>
      <protection/>
    </xf>
    <xf numFmtId="0" fontId="12" fillId="0" borderId="0" xfId="58" applyFont="1" applyBorder="1" applyAlignment="1">
      <alignment horizontal="center" vertical="center"/>
      <protection/>
    </xf>
    <xf numFmtId="0" fontId="10" fillId="0" borderId="45" xfId="61" applyFont="1" applyBorder="1">
      <alignment/>
      <protection/>
    </xf>
    <xf numFmtId="0" fontId="12" fillId="0" borderId="0" xfId="58" applyFont="1" applyBorder="1">
      <alignment/>
      <protection/>
    </xf>
    <xf numFmtId="0" fontId="12" fillId="0" borderId="0" xfId="0" applyFont="1" applyAlignment="1">
      <alignment vertical="top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37" xfId="60" applyFont="1" applyBorder="1" applyAlignment="1" quotePrefix="1">
      <alignment horizontal="center" vertical="center" wrapText="1"/>
      <protection/>
    </xf>
    <xf numFmtId="0" fontId="11" fillId="0" borderId="0" xfId="60" applyFont="1" applyBorder="1" applyAlignment="1">
      <alignment horizontal="left" wrapText="1"/>
      <protection/>
    </xf>
    <xf numFmtId="0" fontId="11" fillId="0" borderId="43" xfId="60" applyFont="1" applyBorder="1" applyAlignment="1">
      <alignment horizontal="right"/>
      <protection/>
    </xf>
    <xf numFmtId="0" fontId="4" fillId="0" borderId="46" xfId="0" applyFont="1" applyBorder="1" applyAlignment="1">
      <alignment/>
    </xf>
    <xf numFmtId="0" fontId="11" fillId="0" borderId="47" xfId="61" applyFont="1" applyBorder="1">
      <alignment/>
      <protection/>
    </xf>
    <xf numFmtId="0" fontId="10" fillId="0" borderId="34" xfId="61" applyFont="1" applyBorder="1">
      <alignment/>
      <protection/>
    </xf>
    <xf numFmtId="168" fontId="4" fillId="0" borderId="48" xfId="60" applyNumberFormat="1" applyFont="1" applyBorder="1" applyAlignment="1">
      <alignment/>
      <protection/>
    </xf>
    <xf numFmtId="168" fontId="4" fillId="0" borderId="48" xfId="60" applyNumberFormat="1" applyFont="1" applyBorder="1" applyAlignment="1">
      <alignment horizontal="right"/>
      <protection/>
    </xf>
    <xf numFmtId="0" fontId="6" fillId="0" borderId="28" xfId="58" applyFont="1" applyBorder="1" applyAlignment="1">
      <alignment horizontal="right"/>
      <protection/>
    </xf>
    <xf numFmtId="0" fontId="6" fillId="0" borderId="28" xfId="58" applyFont="1" applyBorder="1" applyAlignment="1">
      <alignment/>
      <protection/>
    </xf>
    <xf numFmtId="0" fontId="6" fillId="0" borderId="29" xfId="59" applyFont="1" applyBorder="1" applyAlignment="1">
      <alignment vertical="center"/>
      <protection/>
    </xf>
    <xf numFmtId="168" fontId="6" fillId="0" borderId="29" xfId="59" applyNumberFormat="1" applyFont="1" applyBorder="1" applyAlignment="1">
      <alignment vertical="center"/>
      <protection/>
    </xf>
    <xf numFmtId="0" fontId="6" fillId="0" borderId="12" xfId="61" applyFont="1" applyBorder="1">
      <alignment/>
      <protection/>
    </xf>
    <xf numFmtId="0" fontId="11" fillId="0" borderId="49" xfId="60" applyFont="1" applyBorder="1" applyAlignment="1" quotePrefix="1">
      <alignment horizontal="center" vertical="center" wrapText="1"/>
      <protection/>
    </xf>
    <xf numFmtId="0" fontId="10" fillId="0" borderId="45" xfId="60" applyFont="1" applyBorder="1">
      <alignment/>
      <protection/>
    </xf>
    <xf numFmtId="0" fontId="11" fillId="0" borderId="28" xfId="61" applyFont="1" applyBorder="1">
      <alignment/>
      <protection/>
    </xf>
    <xf numFmtId="0" fontId="4" fillId="0" borderId="28" xfId="61" applyFont="1" applyBorder="1">
      <alignment/>
      <protection/>
    </xf>
    <xf numFmtId="4" fontId="11" fillId="0" borderId="44" xfId="61" applyNumberFormat="1" applyFont="1" applyBorder="1">
      <alignment/>
      <protection/>
    </xf>
    <xf numFmtId="4" fontId="11" fillId="0" borderId="21" xfId="61" applyNumberFormat="1" applyFont="1" applyBorder="1">
      <alignment/>
      <protection/>
    </xf>
    <xf numFmtId="4" fontId="11" fillId="0" borderId="50" xfId="61" applyNumberFormat="1" applyFont="1" applyBorder="1">
      <alignment/>
      <protection/>
    </xf>
    <xf numFmtId="4" fontId="11" fillId="0" borderId="28" xfId="61" applyNumberFormat="1" applyFont="1" applyBorder="1">
      <alignment/>
      <protection/>
    </xf>
    <xf numFmtId="4" fontId="11" fillId="0" borderId="42" xfId="61" applyNumberFormat="1" applyFont="1" applyBorder="1">
      <alignment/>
      <protection/>
    </xf>
    <xf numFmtId="4" fontId="10" fillId="0" borderId="29" xfId="61" applyNumberFormat="1" applyFont="1" applyBorder="1">
      <alignment/>
      <protection/>
    </xf>
    <xf numFmtId="3" fontId="12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3" fontId="6" fillId="0" borderId="51" xfId="61" applyNumberFormat="1" applyFont="1" applyBorder="1" applyAlignment="1">
      <alignment horizontal="center" vertical="center"/>
      <protection/>
    </xf>
    <xf numFmtId="168" fontId="11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168" fontId="7" fillId="0" borderId="0" xfId="42" applyNumberFormat="1" applyFont="1" applyAlignment="1">
      <alignment horizontal="right"/>
    </xf>
    <xf numFmtId="168" fontId="4" fillId="0" borderId="0" xfId="42" applyNumberFormat="1" applyFont="1" applyAlignment="1">
      <alignment horizontal="right"/>
    </xf>
    <xf numFmtId="168" fontId="7" fillId="0" borderId="0" xfId="42" applyNumberFormat="1" applyFont="1" applyAlignment="1">
      <alignment/>
    </xf>
    <xf numFmtId="168" fontId="5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3" fontId="12" fillId="0" borderId="0" xfId="42" applyNumberFormat="1" applyFont="1" applyAlignment="1">
      <alignment horizontal="right"/>
    </xf>
    <xf numFmtId="3" fontId="12" fillId="0" borderId="0" xfId="42" applyNumberFormat="1" applyFont="1" applyAlignment="1">
      <alignment horizontal="right" wrapText="1"/>
    </xf>
    <xf numFmtId="3" fontId="12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/>
    </xf>
    <xf numFmtId="3" fontId="6" fillId="0" borderId="0" xfId="42" applyNumberFormat="1" applyFont="1" applyBorder="1" applyAlignment="1">
      <alignment horizontal="right"/>
    </xf>
    <xf numFmtId="3" fontId="6" fillId="0" borderId="0" xfId="42" applyNumberFormat="1" applyFont="1" applyAlignment="1">
      <alignment horizontal="right" wrapText="1"/>
    </xf>
    <xf numFmtId="3" fontId="17" fillId="0" borderId="0" xfId="42" applyNumberFormat="1" applyFont="1" applyAlignment="1">
      <alignment horizontal="right"/>
    </xf>
    <xf numFmtId="3" fontId="17" fillId="0" borderId="0" xfId="42" applyNumberFormat="1" applyFont="1" applyAlignment="1">
      <alignment horizontal="right" wrapText="1"/>
    </xf>
    <xf numFmtId="168" fontId="12" fillId="0" borderId="0" xfId="42" applyNumberFormat="1" applyFont="1" applyAlignment="1">
      <alignment wrapText="1"/>
    </xf>
    <xf numFmtId="168" fontId="12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7" fillId="0" borderId="29" xfId="0" applyNumberFormat="1" applyFont="1" applyBorder="1" applyAlignment="1">
      <alignment/>
    </xf>
    <xf numFmtId="0" fontId="7" fillId="0" borderId="29" xfId="0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52" xfId="42" applyNumberFormat="1" applyFont="1" applyBorder="1" applyAlignment="1">
      <alignment/>
    </xf>
    <xf numFmtId="168" fontId="4" fillId="0" borderId="32" xfId="42" applyNumberFormat="1" applyFont="1" applyBorder="1" applyAlignment="1">
      <alignment/>
    </xf>
    <xf numFmtId="0" fontId="11" fillId="0" borderId="31" xfId="61" applyFont="1" applyBorder="1">
      <alignment/>
      <protection/>
    </xf>
    <xf numFmtId="0" fontId="11" fillId="0" borderId="53" xfId="60" applyFont="1" applyBorder="1" applyAlignment="1" quotePrefix="1">
      <alignment horizontal="center" vertical="center" wrapText="1"/>
      <protection/>
    </xf>
    <xf numFmtId="168" fontId="4" fillId="0" borderId="43" xfId="42" applyNumberFormat="1" applyFont="1" applyBorder="1" applyAlignment="1">
      <alignment/>
    </xf>
    <xf numFmtId="168" fontId="4" fillId="0" borderId="28" xfId="42" applyNumberFormat="1" applyFont="1" applyBorder="1" applyAlignment="1">
      <alignment/>
    </xf>
    <xf numFmtId="0" fontId="11" fillId="0" borderId="54" xfId="60" applyFont="1" applyBorder="1" applyAlignment="1" quotePrefix="1">
      <alignment horizontal="center" vertical="center" wrapText="1"/>
      <protection/>
    </xf>
    <xf numFmtId="0" fontId="4" fillId="0" borderId="54" xfId="0" applyFont="1" applyBorder="1" applyAlignment="1">
      <alignment/>
    </xf>
    <xf numFmtId="168" fontId="7" fillId="0" borderId="29" xfId="42" applyNumberFormat="1" applyFont="1" applyBorder="1" applyAlignment="1">
      <alignment/>
    </xf>
    <xf numFmtId="0" fontId="4" fillId="0" borderId="53" xfId="0" applyFont="1" applyBorder="1" applyAlignment="1">
      <alignment/>
    </xf>
    <xf numFmtId="168" fontId="4" fillId="0" borderId="55" xfId="42" applyNumberFormat="1" applyFont="1" applyBorder="1" applyAlignment="1">
      <alignment/>
    </xf>
    <xf numFmtId="168" fontId="4" fillId="0" borderId="21" xfId="42" applyNumberFormat="1" applyFont="1" applyBorder="1" applyAlignment="1">
      <alignment/>
    </xf>
    <xf numFmtId="168" fontId="22" fillId="0" borderId="51" xfId="42" applyNumberFormat="1" applyFont="1" applyBorder="1" applyAlignment="1">
      <alignment horizontal="center" vertical="center"/>
    </xf>
    <xf numFmtId="168" fontId="22" fillId="0" borderId="11" xfId="42" applyNumberFormat="1" applyFont="1" applyBorder="1" applyAlignment="1">
      <alignment horizontal="center" vertical="center" wrapText="1"/>
    </xf>
    <xf numFmtId="168" fontId="22" fillId="0" borderId="11" xfId="42" applyNumberFormat="1" applyFont="1" applyBorder="1" applyAlignment="1">
      <alignment horizontal="center" vertical="center"/>
    </xf>
    <xf numFmtId="168" fontId="22" fillId="0" borderId="0" xfId="42" applyNumberFormat="1" applyFont="1" applyAlignment="1">
      <alignment/>
    </xf>
    <xf numFmtId="168" fontId="22" fillId="0" borderId="0" xfId="42" applyNumberFormat="1" applyFont="1" applyAlignment="1">
      <alignment horizontal="centerContinuous"/>
    </xf>
    <xf numFmtId="0" fontId="17" fillId="0" borderId="0" xfId="0" applyFont="1" applyAlignment="1">
      <alignment horizontal="left"/>
    </xf>
    <xf numFmtId="3" fontId="4" fillId="0" borderId="0" xfId="61" applyNumberFormat="1" applyFont="1">
      <alignment/>
      <protection/>
    </xf>
    <xf numFmtId="4" fontId="10" fillId="0" borderId="29" xfId="61" applyNumberFormat="1" applyFont="1" applyBorder="1">
      <alignment/>
      <protection/>
    </xf>
    <xf numFmtId="3" fontId="10" fillId="0" borderId="29" xfId="61" applyNumberFormat="1" applyFont="1" applyBorder="1">
      <alignment/>
      <protection/>
    </xf>
    <xf numFmtId="0" fontId="10" fillId="0" borderId="29" xfId="61" applyFont="1" applyBorder="1">
      <alignment/>
      <protection/>
    </xf>
    <xf numFmtId="0" fontId="4" fillId="0" borderId="40" xfId="61" applyFont="1" applyBorder="1">
      <alignment/>
      <protection/>
    </xf>
    <xf numFmtId="4" fontId="11" fillId="0" borderId="32" xfId="61" applyNumberFormat="1" applyFont="1" applyBorder="1">
      <alignment/>
      <protection/>
    </xf>
    <xf numFmtId="3" fontId="11" fillId="0" borderId="52" xfId="60" applyNumberFormat="1" applyFont="1" applyBorder="1">
      <alignment/>
      <protection/>
    </xf>
    <xf numFmtId="3" fontId="11" fillId="0" borderId="50" xfId="60" applyNumberFormat="1" applyFont="1" applyBorder="1">
      <alignment/>
      <protection/>
    </xf>
    <xf numFmtId="3" fontId="21" fillId="0" borderId="50" xfId="60" applyNumberFormat="1" applyFont="1" applyBorder="1">
      <alignment/>
      <protection/>
    </xf>
    <xf numFmtId="3" fontId="11" fillId="0" borderId="32" xfId="60" applyNumberFormat="1" applyFont="1" applyBorder="1">
      <alignment/>
      <protection/>
    </xf>
    <xf numFmtId="3" fontId="21" fillId="0" borderId="32" xfId="60" applyNumberFormat="1" applyFont="1" applyBorder="1">
      <alignment/>
      <protection/>
    </xf>
    <xf numFmtId="3" fontId="11" fillId="0" borderId="32" xfId="60" applyNumberFormat="1" applyFont="1" applyBorder="1" applyAlignment="1">
      <alignment horizontal="right"/>
      <protection/>
    </xf>
    <xf numFmtId="3" fontId="11" fillId="0" borderId="31" xfId="60" applyNumberFormat="1" applyFont="1" applyBorder="1" applyAlignment="1">
      <alignment horizontal="right"/>
      <protection/>
    </xf>
    <xf numFmtId="3" fontId="10" fillId="0" borderId="56" xfId="60" applyNumberFormat="1" applyFont="1" applyBorder="1" applyAlignment="1">
      <alignment horizontal="right"/>
      <protection/>
    </xf>
    <xf numFmtId="168" fontId="4" fillId="0" borderId="0" xfId="0" applyNumberFormat="1" applyFont="1" applyAlignment="1">
      <alignment/>
    </xf>
    <xf numFmtId="168" fontId="4" fillId="0" borderId="57" xfId="0" applyNumberFormat="1" applyFont="1" applyBorder="1" applyAlignment="1">
      <alignment/>
    </xf>
    <xf numFmtId="168" fontId="4" fillId="0" borderId="58" xfId="0" applyNumberFormat="1" applyFont="1" applyBorder="1" applyAlignment="1">
      <alignment/>
    </xf>
    <xf numFmtId="168" fontId="4" fillId="0" borderId="59" xfId="0" applyNumberFormat="1" applyFont="1" applyBorder="1" applyAlignment="1">
      <alignment/>
    </xf>
    <xf numFmtId="168" fontId="7" fillId="0" borderId="26" xfId="42" applyNumberFormat="1" applyFont="1" applyBorder="1" applyAlignment="1">
      <alignment/>
    </xf>
    <xf numFmtId="0" fontId="11" fillId="0" borderId="60" xfId="61" applyFont="1" applyBorder="1">
      <alignment/>
      <protection/>
    </xf>
    <xf numFmtId="168" fontId="4" fillId="0" borderId="52" xfId="0" applyNumberFormat="1" applyFont="1" applyBorder="1" applyAlignment="1">
      <alignment/>
    </xf>
    <xf numFmtId="168" fontId="4" fillId="0" borderId="32" xfId="0" applyNumberFormat="1" applyFont="1" applyBorder="1" applyAlignment="1">
      <alignment/>
    </xf>
    <xf numFmtId="168" fontId="4" fillId="0" borderId="61" xfId="0" applyNumberFormat="1" applyFont="1" applyBorder="1" applyAlignment="1">
      <alignment/>
    </xf>
    <xf numFmtId="168" fontId="4" fillId="0" borderId="43" xfId="0" applyNumberFormat="1" applyFont="1" applyBorder="1" applyAlignment="1">
      <alignment/>
    </xf>
    <xf numFmtId="168" fontId="4" fillId="0" borderId="28" xfId="0" applyNumberFormat="1" applyFont="1" applyBorder="1" applyAlignment="1">
      <alignment/>
    </xf>
    <xf numFmtId="168" fontId="4" fillId="0" borderId="48" xfId="0" applyNumberFormat="1" applyFont="1" applyBorder="1" applyAlignment="1">
      <alignment/>
    </xf>
    <xf numFmtId="168" fontId="4" fillId="0" borderId="62" xfId="0" applyNumberFormat="1" applyFont="1" applyBorder="1" applyAlignment="1">
      <alignment/>
    </xf>
    <xf numFmtId="168" fontId="4" fillId="0" borderId="63" xfId="0" applyNumberFormat="1" applyFont="1" applyBorder="1" applyAlignment="1">
      <alignment/>
    </xf>
    <xf numFmtId="168" fontId="4" fillId="0" borderId="64" xfId="0" applyNumberFormat="1" applyFont="1" applyBorder="1" applyAlignment="1">
      <alignment horizontal="right"/>
    </xf>
    <xf numFmtId="168" fontId="4" fillId="0" borderId="29" xfId="42" applyNumberFormat="1" applyFont="1" applyBorder="1" applyAlignment="1">
      <alignment/>
    </xf>
    <xf numFmtId="168" fontId="4" fillId="0" borderId="40" xfId="42" applyNumberFormat="1" applyFont="1" applyBorder="1" applyAlignment="1">
      <alignment/>
    </xf>
    <xf numFmtId="168" fontId="4" fillId="0" borderId="48" xfId="42" applyNumberFormat="1" applyFont="1" applyBorder="1" applyAlignment="1">
      <alignment/>
    </xf>
    <xf numFmtId="168" fontId="4" fillId="0" borderId="65" xfId="42" applyNumberFormat="1" applyFont="1" applyBorder="1" applyAlignment="1">
      <alignment/>
    </xf>
    <xf numFmtId="168" fontId="7" fillId="0" borderId="41" xfId="42" applyNumberFormat="1" applyFont="1" applyBorder="1" applyAlignment="1">
      <alignment/>
    </xf>
    <xf numFmtId="168" fontId="4" fillId="0" borderId="62" xfId="42" applyNumberFormat="1" applyFont="1" applyBorder="1" applyAlignment="1">
      <alignment/>
    </xf>
    <xf numFmtId="168" fontId="4" fillId="0" borderId="63" xfId="42" applyNumberFormat="1" applyFont="1" applyBorder="1" applyAlignment="1">
      <alignment/>
    </xf>
    <xf numFmtId="168" fontId="4" fillId="0" borderId="64" xfId="42" applyNumberFormat="1" applyFont="1" applyBorder="1" applyAlignment="1">
      <alignment/>
    </xf>
    <xf numFmtId="168" fontId="7" fillId="0" borderId="54" xfId="42" applyNumberFormat="1" applyFont="1" applyBorder="1" applyAlignment="1">
      <alignment/>
    </xf>
    <xf numFmtId="0" fontId="11" fillId="0" borderId="66" xfId="60" applyFont="1" applyBorder="1" applyAlignment="1">
      <alignment horizontal="left" wrapText="1"/>
      <protection/>
    </xf>
    <xf numFmtId="168" fontId="10" fillId="0" borderId="0" xfId="42" applyNumberFormat="1" applyFont="1" applyAlignment="1">
      <alignment/>
    </xf>
    <xf numFmtId="168" fontId="11" fillId="0" borderId="0" xfId="42" applyNumberFormat="1" applyFont="1" applyAlignment="1">
      <alignment/>
    </xf>
    <xf numFmtId="168" fontId="12" fillId="0" borderId="0" xfId="42" applyNumberFormat="1" applyFont="1" applyAlignment="1">
      <alignment/>
    </xf>
    <xf numFmtId="168" fontId="6" fillId="0" borderId="28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6" fillId="0" borderId="29" xfId="42" applyNumberFormat="1" applyFont="1" applyBorder="1" applyAlignment="1">
      <alignment/>
    </xf>
    <xf numFmtId="168" fontId="6" fillId="0" borderId="13" xfId="42" applyNumberFormat="1" applyFont="1" applyBorder="1" applyAlignment="1">
      <alignment horizontal="center"/>
    </xf>
    <xf numFmtId="168" fontId="6" fillId="0" borderId="12" xfId="42" applyNumberFormat="1" applyFont="1" applyBorder="1" applyAlignment="1">
      <alignment horizontal="center"/>
    </xf>
    <xf numFmtId="168" fontId="6" fillId="0" borderId="11" xfId="42" applyNumberFormat="1" applyFont="1" applyBorder="1" applyAlignment="1">
      <alignment horizontal="center"/>
    </xf>
    <xf numFmtId="168" fontId="12" fillId="0" borderId="0" xfId="42" applyNumberFormat="1" applyFont="1" applyBorder="1" applyAlignment="1">
      <alignment/>
    </xf>
    <xf numFmtId="168" fontId="12" fillId="0" borderId="0" xfId="42" applyNumberFormat="1" applyFont="1" applyAlignment="1">
      <alignment horizontal="right"/>
    </xf>
    <xf numFmtId="169" fontId="12" fillId="0" borderId="0" xfId="42" applyNumberFormat="1" applyFont="1" applyAlignment="1">
      <alignment/>
    </xf>
    <xf numFmtId="168" fontId="12" fillId="0" borderId="67" xfId="42" applyNumberFormat="1" applyFont="1" applyBorder="1" applyAlignment="1">
      <alignment/>
    </xf>
    <xf numFmtId="168" fontId="12" fillId="0" borderId="68" xfId="42" applyNumberFormat="1" applyFont="1" applyBorder="1" applyAlignment="1">
      <alignment/>
    </xf>
    <xf numFmtId="168" fontId="6" fillId="0" borderId="29" xfId="42" applyNumberFormat="1" applyFont="1" applyBorder="1" applyAlignment="1">
      <alignment/>
    </xf>
    <xf numFmtId="168" fontId="6" fillId="0" borderId="69" xfId="42" applyNumberFormat="1" applyFont="1" applyBorder="1" applyAlignment="1">
      <alignment/>
    </xf>
    <xf numFmtId="168" fontId="12" fillId="0" borderId="43" xfId="42" applyNumberFormat="1" applyFont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70" xfId="42" applyNumberFormat="1" applyFont="1" applyBorder="1" applyAlignment="1">
      <alignment/>
    </xf>
    <xf numFmtId="168" fontId="12" fillId="0" borderId="28" xfId="42" applyNumberFormat="1" applyFont="1" applyFill="1" applyBorder="1" applyAlignment="1">
      <alignment/>
    </xf>
    <xf numFmtId="168" fontId="12" fillId="0" borderId="42" xfId="42" applyNumberFormat="1" applyFont="1" applyFill="1" applyBorder="1" applyAlignment="1">
      <alignment/>
    </xf>
    <xf numFmtId="168" fontId="28" fillId="0" borderId="42" xfId="42" applyNumberFormat="1" applyFont="1" applyFill="1" applyBorder="1" applyAlignment="1">
      <alignment/>
    </xf>
    <xf numFmtId="168" fontId="28" fillId="0" borderId="28" xfId="42" applyNumberFormat="1" applyFont="1" applyFill="1" applyBorder="1" applyAlignment="1">
      <alignment/>
    </xf>
    <xf numFmtId="168" fontId="12" fillId="0" borderId="28" xfId="42" applyNumberFormat="1" applyFont="1" applyBorder="1" applyAlignment="1">
      <alignment/>
    </xf>
    <xf numFmtId="168" fontId="12" fillId="0" borderId="13" xfId="42" applyNumberFormat="1" applyFont="1" applyBorder="1" applyAlignment="1">
      <alignment/>
    </xf>
    <xf numFmtId="168" fontId="12" fillId="0" borderId="71" xfId="42" applyNumberFormat="1" applyFont="1" applyBorder="1" applyAlignment="1">
      <alignment/>
    </xf>
    <xf numFmtId="168" fontId="12" fillId="0" borderId="72" xfId="42" applyNumberFormat="1" applyFont="1" applyBorder="1" applyAlignment="1">
      <alignment/>
    </xf>
    <xf numFmtId="168" fontId="12" fillId="0" borderId="73" xfId="42" applyNumberFormat="1" applyFont="1" applyBorder="1" applyAlignment="1">
      <alignment/>
    </xf>
    <xf numFmtId="168" fontId="12" fillId="0" borderId="56" xfId="42" applyNumberFormat="1" applyFont="1" applyBorder="1" applyAlignment="1">
      <alignment horizontal="center"/>
    </xf>
    <xf numFmtId="168" fontId="12" fillId="0" borderId="20" xfId="42" applyNumberFormat="1" applyFont="1" applyBorder="1" applyAlignment="1">
      <alignment horizontal="center"/>
    </xf>
    <xf numFmtId="168" fontId="12" fillId="0" borderId="74" xfId="42" applyNumberFormat="1" applyFont="1" applyBorder="1" applyAlignment="1">
      <alignment horizontal="center"/>
    </xf>
    <xf numFmtId="168" fontId="12" fillId="0" borderId="12" xfId="42" applyNumberFormat="1" applyFont="1" applyBorder="1" applyAlignment="1">
      <alignment horizontal="center"/>
    </xf>
    <xf numFmtId="168" fontId="12" fillId="0" borderId="11" xfId="42" applyNumberFormat="1" applyFont="1" applyBorder="1" applyAlignment="1">
      <alignment/>
    </xf>
    <xf numFmtId="168" fontId="12" fillId="0" borderId="75" xfId="42" applyNumberFormat="1" applyFont="1" applyBorder="1" applyAlignment="1">
      <alignment/>
    </xf>
    <xf numFmtId="168" fontId="12" fillId="0" borderId="76" xfId="42" applyNumberFormat="1" applyFont="1" applyBorder="1" applyAlignment="1">
      <alignment/>
    </xf>
    <xf numFmtId="168" fontId="6" fillId="0" borderId="76" xfId="42" applyNumberFormat="1" applyFont="1" applyBorder="1" applyAlignment="1">
      <alignment/>
    </xf>
    <xf numFmtId="168" fontId="6" fillId="0" borderId="75" xfId="42" applyNumberFormat="1" applyFont="1" applyBorder="1" applyAlignment="1">
      <alignment/>
    </xf>
    <xf numFmtId="168" fontId="6" fillId="0" borderId="77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2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3" fontId="12" fillId="0" borderId="46" xfId="61" applyNumberFormat="1" applyFont="1" applyBorder="1" applyAlignment="1">
      <alignment horizontal="center" vertical="center"/>
      <protection/>
    </xf>
    <xf numFmtId="0" fontId="0" fillId="0" borderId="46" xfId="0" applyBorder="1" applyAlignment="1" quotePrefix="1">
      <alignment horizontal="left" wrapText="1"/>
    </xf>
    <xf numFmtId="3" fontId="12" fillId="0" borderId="54" xfId="61" applyNumberFormat="1" applyFont="1" applyBorder="1" applyAlignment="1">
      <alignment horizontal="center" vertical="center"/>
      <protection/>
    </xf>
    <xf numFmtId="0" fontId="0" fillId="0" borderId="26" xfId="0" applyBorder="1" applyAlignment="1" quotePrefix="1">
      <alignment horizontal="left" wrapText="1"/>
    </xf>
    <xf numFmtId="0" fontId="6" fillId="0" borderId="54" xfId="6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32" xfId="0" applyBorder="1" applyAlignment="1">
      <alignment/>
    </xf>
    <xf numFmtId="3" fontId="0" fillId="0" borderId="63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78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/>
    </xf>
    <xf numFmtId="3" fontId="34" fillId="0" borderId="29" xfId="0" applyNumberFormat="1" applyFont="1" applyBorder="1" applyAlignment="1">
      <alignment/>
    </xf>
    <xf numFmtId="179" fontId="34" fillId="0" borderId="29" xfId="0" applyNumberFormat="1" applyFont="1" applyBorder="1" applyAlignment="1">
      <alignment/>
    </xf>
    <xf numFmtId="0" fontId="34" fillId="0" borderId="29" xfId="0" applyFont="1" applyBorder="1" applyAlignment="1">
      <alignment horizontal="left"/>
    </xf>
    <xf numFmtId="179" fontId="0" fillId="0" borderId="29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0" fillId="0" borderId="0" xfId="0" applyFont="1" applyAlignment="1">
      <alignment horizontal="left" wrapText="1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0" fillId="0" borderId="0" xfId="58" applyFont="1" applyAlignment="1">
      <alignment horizontal="center"/>
      <protection/>
    </xf>
    <xf numFmtId="0" fontId="20" fillId="0" borderId="0" xfId="58" applyFont="1" applyAlignment="1">
      <alignment/>
      <protection/>
    </xf>
    <xf numFmtId="0" fontId="17" fillId="0" borderId="0" xfId="58" applyFont="1" applyAlignment="1">
      <alignment horizontal="center"/>
      <protection/>
    </xf>
    <xf numFmtId="0" fontId="17" fillId="0" borderId="0" xfId="58" applyFont="1" applyAlignme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34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3" fontId="32" fillId="0" borderId="0" xfId="0" applyNumberFormat="1" applyFont="1" applyAlignment="1">
      <alignment/>
    </xf>
    <xf numFmtId="0" fontId="14" fillId="0" borderId="0" xfId="0" applyFont="1" applyAlignment="1">
      <alignment/>
    </xf>
    <xf numFmtId="16" fontId="0" fillId="0" borderId="0" xfId="0" applyNumberFormat="1" applyAlignment="1" quotePrefix="1">
      <alignment horizontal="right"/>
    </xf>
    <xf numFmtId="0" fontId="14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14" fillId="0" borderId="0" xfId="60" applyFont="1" applyBorder="1" applyAlignment="1">
      <alignment horizontal="left" wrapText="1"/>
      <protection/>
    </xf>
    <xf numFmtId="3" fontId="32" fillId="0" borderId="0" xfId="0" applyNumberFormat="1" applyFont="1" applyAlignment="1">
      <alignment horizontal="right"/>
    </xf>
    <xf numFmtId="0" fontId="12" fillId="0" borderId="0" xfId="60" applyFont="1" applyBorder="1" applyAlignment="1">
      <alignment horizontal="left" wrapText="1"/>
      <protection/>
    </xf>
    <xf numFmtId="0" fontId="14" fillId="0" borderId="0" xfId="0" applyFont="1" applyAlignment="1">
      <alignment wrapText="1"/>
    </xf>
    <xf numFmtId="0" fontId="12" fillId="0" borderId="0" xfId="0" applyFont="1" applyAlignment="1" quotePrefix="1">
      <alignment horizontal="right"/>
    </xf>
    <xf numFmtId="16" fontId="12" fillId="0" borderId="0" xfId="0" applyNumberFormat="1" applyFont="1" applyAlignment="1" quotePrefix="1">
      <alignment horizontal="right"/>
    </xf>
    <xf numFmtId="3" fontId="12" fillId="0" borderId="35" xfId="0" applyNumberFormat="1" applyFont="1" applyBorder="1" applyAlignment="1">
      <alignment/>
    </xf>
    <xf numFmtId="14" fontId="12" fillId="0" borderId="0" xfId="0" applyNumberFormat="1" applyFont="1" applyAlignment="1" quotePrefix="1">
      <alignment horizontal="right"/>
    </xf>
    <xf numFmtId="0" fontId="34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3" fontId="34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14" fillId="0" borderId="0" xfId="0" applyFont="1" applyAlignment="1" quotePrefix="1">
      <alignment/>
    </xf>
    <xf numFmtId="168" fontId="6" fillId="0" borderId="0" xfId="42" applyNumberFormat="1" applyFont="1" applyBorder="1" applyAlignment="1">
      <alignment/>
    </xf>
    <xf numFmtId="0" fontId="6" fillId="0" borderId="0" xfId="58" applyFont="1" applyBorder="1" applyAlignment="1">
      <alignment/>
      <protection/>
    </xf>
    <xf numFmtId="0" fontId="6" fillId="0" borderId="0" xfId="58" applyFont="1" applyBorder="1" applyAlignment="1">
      <alignment horizontal="right"/>
      <protection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20" fillId="0" borderId="0" xfId="0" applyFont="1" applyAlignment="1">
      <alignment horizontal="left"/>
    </xf>
    <xf numFmtId="0" fontId="12" fillId="0" borderId="0" xfId="58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0" xfId="58" applyFont="1" applyAlignment="1">
      <alignment horizontal="center"/>
      <protection/>
    </xf>
    <xf numFmtId="0" fontId="6" fillId="0" borderId="30" xfId="58" applyFont="1" applyBorder="1" applyAlignment="1">
      <alignment horizontal="center" vertical="center"/>
      <protection/>
    </xf>
    <xf numFmtId="0" fontId="6" fillId="0" borderId="36" xfId="58" applyFont="1" applyBorder="1" applyAlignment="1">
      <alignment horizontal="center" vertical="center"/>
      <protection/>
    </xf>
    <xf numFmtId="0" fontId="6" fillId="0" borderId="51" xfId="58" applyFont="1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79" xfId="58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80" xfId="58" applyFont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2" fillId="0" borderId="0" xfId="0" applyFont="1" applyAlignment="1" quotePrefix="1">
      <alignment horizontal="left" wrapText="1"/>
    </xf>
    <xf numFmtId="0" fontId="12" fillId="0" borderId="0" xfId="58" applyFont="1" applyBorder="1" applyAlignment="1">
      <alignment horizontal="left" vertical="center"/>
      <protection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" wrapText="1"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7" fillId="0" borderId="0" xfId="58" applyFont="1" applyAlignment="1">
      <alignment horizontal="center"/>
      <protection/>
    </xf>
    <xf numFmtId="0" fontId="4" fillId="0" borderId="11" xfId="58" applyFont="1" applyBorder="1" applyAlignment="1">
      <alignment horizontal="center" vertical="center" textRotation="255"/>
      <protection/>
    </xf>
    <xf numFmtId="0" fontId="4" fillId="0" borderId="12" xfId="58" applyFont="1" applyBorder="1" applyAlignment="1">
      <alignment horizontal="center" vertical="center" textRotation="255"/>
      <protection/>
    </xf>
    <xf numFmtId="0" fontId="4" fillId="0" borderId="13" xfId="58" applyFont="1" applyBorder="1" applyAlignment="1">
      <alignment horizontal="center" vertical="center" textRotation="255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22" fillId="0" borderId="11" xfId="58" applyFont="1" applyBorder="1" applyAlignment="1">
      <alignment horizontal="center" vertical="center" wrapText="1"/>
      <protection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13" xfId="58" applyFont="1" applyBorder="1" applyAlignment="1">
      <alignment horizontal="center" vertical="center" wrapText="1"/>
      <protection/>
    </xf>
    <xf numFmtId="168" fontId="22" fillId="0" borderId="45" xfId="42" applyNumberFormat="1" applyFont="1" applyBorder="1" applyAlignment="1">
      <alignment horizontal="center" vertical="center"/>
    </xf>
    <xf numFmtId="168" fontId="22" fillId="0" borderId="40" xfId="42" applyNumberFormat="1" applyFont="1" applyBorder="1" applyAlignment="1">
      <alignment horizontal="center" vertical="center"/>
    </xf>
    <xf numFmtId="168" fontId="22" fillId="0" borderId="30" xfId="42" applyNumberFormat="1" applyFont="1" applyBorder="1" applyAlignment="1">
      <alignment horizontal="center" vertical="center"/>
    </xf>
    <xf numFmtId="168" fontId="22" fillId="0" borderId="36" xfId="42" applyNumberFormat="1" applyFont="1" applyBorder="1" applyAlignment="1">
      <alignment horizontal="center" vertical="center"/>
    </xf>
    <xf numFmtId="168" fontId="22" fillId="0" borderId="51" xfId="42" applyNumberFormat="1" applyFont="1" applyBorder="1" applyAlignment="1">
      <alignment horizontal="center" vertical="center"/>
    </xf>
    <xf numFmtId="168" fontId="22" fillId="0" borderId="19" xfId="42" applyNumberFormat="1" applyFont="1" applyBorder="1" applyAlignment="1">
      <alignment horizontal="center" vertical="center"/>
    </xf>
    <xf numFmtId="168" fontId="22" fillId="0" borderId="10" xfId="42" applyNumberFormat="1" applyFont="1" applyBorder="1" applyAlignment="1">
      <alignment horizontal="center" vertical="center"/>
    </xf>
    <xf numFmtId="168" fontId="22" fillId="0" borderId="80" xfId="42" applyNumberFormat="1" applyFont="1" applyBorder="1" applyAlignment="1">
      <alignment horizontal="center" vertical="center"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0" fillId="0" borderId="0" xfId="61" applyFont="1" applyAlignment="1">
      <alignment horizontal="center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4" fillId="0" borderId="0" xfId="61" applyFont="1" applyAlignment="1">
      <alignment horizontal="left"/>
      <protection/>
    </xf>
    <xf numFmtId="0" fontId="26" fillId="0" borderId="11" xfId="58" applyFont="1" applyBorder="1" applyAlignment="1">
      <alignment horizontal="center" vertical="center" wrapText="1"/>
      <protection/>
    </xf>
    <xf numFmtId="0" fontId="26" fillId="0" borderId="12" xfId="58" applyFont="1" applyBorder="1" applyAlignment="1">
      <alignment horizontal="center" vertical="center" wrapText="1"/>
      <protection/>
    </xf>
    <xf numFmtId="0" fontId="26" fillId="0" borderId="13" xfId="58" applyFont="1" applyBorder="1" applyAlignment="1">
      <alignment horizontal="center" vertical="center" wrapText="1"/>
      <protection/>
    </xf>
    <xf numFmtId="0" fontId="11" fillId="0" borderId="10" xfId="61" applyFont="1" applyBorder="1" applyAlignment="1">
      <alignment horizontal="right"/>
      <protection/>
    </xf>
    <xf numFmtId="0" fontId="7" fillId="0" borderId="34" xfId="58" applyFont="1" applyBorder="1" applyAlignment="1">
      <alignment horizontal="center"/>
      <protection/>
    </xf>
    <xf numFmtId="0" fontId="7" fillId="0" borderId="40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/>
      <protection/>
    </xf>
    <xf numFmtId="0" fontId="11" fillId="0" borderId="34" xfId="58" applyFont="1" applyBorder="1" applyAlignment="1">
      <alignment horizontal="center"/>
      <protection/>
    </xf>
    <xf numFmtId="0" fontId="11" fillId="0" borderId="45" xfId="58" applyFont="1" applyBorder="1" applyAlignment="1">
      <alignment horizontal="center"/>
      <protection/>
    </xf>
    <xf numFmtId="0" fontId="11" fillId="0" borderId="40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/>
      <protection/>
    </xf>
    <xf numFmtId="0" fontId="11" fillId="0" borderId="45" xfId="58" applyFont="1" applyBorder="1" applyAlignment="1">
      <alignment horizontal="center" vertical="center"/>
      <protection/>
    </xf>
    <xf numFmtId="0" fontId="11" fillId="0" borderId="40" xfId="58" applyFont="1" applyBorder="1" applyAlignment="1">
      <alignment horizontal="center" vertical="center"/>
      <protection/>
    </xf>
    <xf numFmtId="0" fontId="7" fillId="0" borderId="17" xfId="58" applyFont="1" applyBorder="1" applyAlignment="1">
      <alignment horizontal="center"/>
      <protection/>
    </xf>
    <xf numFmtId="0" fontId="7" fillId="0" borderId="79" xfId="58" applyFont="1" applyBorder="1" applyAlignment="1">
      <alignment horizontal="center"/>
      <protection/>
    </xf>
    <xf numFmtId="0" fontId="7" fillId="0" borderId="19" xfId="58" applyFont="1" applyBorder="1" applyAlignment="1">
      <alignment horizontal="center"/>
      <protection/>
    </xf>
    <xf numFmtId="0" fontId="7" fillId="0" borderId="80" xfId="58" applyFont="1" applyBorder="1" applyAlignment="1">
      <alignment horizontal="center"/>
      <protection/>
    </xf>
    <xf numFmtId="0" fontId="11" fillId="0" borderId="34" xfId="58" applyFont="1" applyBorder="1" applyAlignment="1">
      <alignment horizontal="center" vertical="center" wrapText="1"/>
      <protection/>
    </xf>
    <xf numFmtId="0" fontId="11" fillId="0" borderId="45" xfId="58" applyFont="1" applyBorder="1" applyAlignment="1">
      <alignment horizontal="center" vertical="center" wrapText="1"/>
      <protection/>
    </xf>
    <xf numFmtId="0" fontId="11" fillId="0" borderId="40" xfId="58" applyFont="1" applyBorder="1" applyAlignment="1">
      <alignment horizontal="center" vertical="center" wrapText="1"/>
      <protection/>
    </xf>
    <xf numFmtId="44" fontId="11" fillId="0" borderId="34" xfId="65" applyFont="1" applyBorder="1" applyAlignment="1">
      <alignment horizontal="center" vertical="center"/>
    </xf>
    <xf numFmtId="44" fontId="11" fillId="0" borderId="45" xfId="65" applyFont="1" applyBorder="1" applyAlignment="1">
      <alignment horizontal="center" vertical="center"/>
    </xf>
    <xf numFmtId="44" fontId="11" fillId="0" borderId="40" xfId="65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1" xfId="60" applyFont="1" applyBorder="1" applyAlignment="1">
      <alignment horizontal="center" vertical="center"/>
      <protection/>
    </xf>
    <xf numFmtId="0" fontId="11" fillId="0" borderId="12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51" xfId="60" applyFont="1" applyBorder="1" applyAlignment="1">
      <alignment horizontal="center" vertical="center" wrapText="1"/>
      <protection/>
    </xf>
    <xf numFmtId="0" fontId="11" fillId="0" borderId="79" xfId="60" applyFont="1" applyBorder="1" applyAlignment="1">
      <alignment horizontal="center" vertical="center" wrapText="1"/>
      <protection/>
    </xf>
    <xf numFmtId="0" fontId="11" fillId="0" borderId="80" xfId="60" applyFont="1" applyBorder="1" applyAlignment="1">
      <alignment horizontal="center" vertical="center" wrapText="1"/>
      <protection/>
    </xf>
    <xf numFmtId="0" fontId="11" fillId="0" borderId="32" xfId="58" applyFont="1" applyBorder="1" applyAlignment="1">
      <alignment horizontal="center" vertical="center" textRotation="180"/>
      <protection/>
    </xf>
    <xf numFmtId="0" fontId="11" fillId="0" borderId="20" xfId="58" applyFont="1" applyBorder="1" applyAlignment="1">
      <alignment horizontal="center" vertical="center" textRotation="180"/>
      <protection/>
    </xf>
    <xf numFmtId="0" fontId="11" fillId="0" borderId="21" xfId="58" applyFont="1" applyBorder="1" applyAlignment="1">
      <alignment horizontal="center" vertical="center" textRotation="180"/>
      <protection/>
    </xf>
    <xf numFmtId="0" fontId="0" fillId="0" borderId="0" xfId="0" applyAlignment="1">
      <alignment/>
    </xf>
    <xf numFmtId="0" fontId="25" fillId="0" borderId="11" xfId="58" applyFont="1" applyBorder="1" applyAlignment="1">
      <alignment horizontal="center" textRotation="255"/>
      <protection/>
    </xf>
    <xf numFmtId="0" fontId="25" fillId="0" borderId="12" xfId="58" applyFont="1" applyBorder="1" applyAlignment="1">
      <alignment horizontal="center" textRotation="255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2" xfId="60" applyFont="1" applyBorder="1" applyAlignment="1">
      <alignment horizontal="center" vertical="center" wrapText="1"/>
      <protection/>
    </xf>
    <xf numFmtId="168" fontId="22" fillId="0" borderId="17" xfId="42" applyNumberFormat="1" applyFont="1" applyBorder="1" applyAlignment="1">
      <alignment horizontal="center" vertical="center"/>
    </xf>
    <xf numFmtId="168" fontId="22" fillId="0" borderId="0" xfId="42" applyNumberFormat="1" applyFont="1" applyBorder="1" applyAlignment="1">
      <alignment horizontal="center" vertical="center"/>
    </xf>
    <xf numFmtId="168" fontId="22" fillId="0" borderId="79" xfId="42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34" fillId="0" borderId="32" xfId="0" applyFont="1" applyBorder="1" applyAlignment="1">
      <alignment wrapText="1"/>
    </xf>
    <xf numFmtId="0" fontId="34" fillId="0" borderId="21" xfId="0" applyFont="1" applyBorder="1" applyAlignment="1">
      <alignment wrapText="1"/>
    </xf>
    <xf numFmtId="0" fontId="34" fillId="0" borderId="3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68" fontId="4" fillId="0" borderId="81" xfId="40" applyNumberFormat="1" applyFont="1" applyBorder="1" applyAlignment="1">
      <alignment horizontal="center" vertical="center"/>
    </xf>
    <xf numFmtId="168" fontId="4" fillId="0" borderId="82" xfId="40" applyNumberFormat="1" applyFont="1" applyBorder="1" applyAlignment="1">
      <alignment horizontal="center" vertical="center"/>
    </xf>
    <xf numFmtId="0" fontId="4" fillId="0" borderId="83" xfId="58" applyFont="1" applyBorder="1" applyAlignment="1">
      <alignment horizontal="center" vertical="center"/>
      <protection/>
    </xf>
    <xf numFmtId="0" fontId="4" fillId="0" borderId="82" xfId="58" applyFont="1" applyBorder="1" applyAlignment="1">
      <alignment horizontal="center" vertical="center"/>
      <protection/>
    </xf>
    <xf numFmtId="0" fontId="4" fillId="0" borderId="84" xfId="58" applyFont="1" applyBorder="1" applyAlignment="1">
      <alignment horizontal="center" vertical="center"/>
      <protection/>
    </xf>
    <xf numFmtId="168" fontId="4" fillId="0" borderId="76" xfId="40" applyNumberFormat="1" applyFont="1" applyBorder="1" applyAlignment="1">
      <alignment horizontal="center" vertical="center"/>
    </xf>
    <xf numFmtId="168" fontId="4" fillId="0" borderId="20" xfId="40" applyNumberFormat="1" applyFont="1" applyBorder="1" applyAlignment="1">
      <alignment horizontal="center" vertical="center"/>
    </xf>
    <xf numFmtId="0" fontId="4" fillId="0" borderId="85" xfId="58" applyFont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86" xfId="58" applyFont="1" applyBorder="1" applyAlignment="1">
      <alignment horizontal="center"/>
      <protection/>
    </xf>
    <xf numFmtId="0" fontId="4" fillId="0" borderId="87" xfId="58" applyFont="1" applyBorder="1" applyAlignment="1">
      <alignment horizontal="center"/>
      <protection/>
    </xf>
    <xf numFmtId="0" fontId="4" fillId="0" borderId="76" xfId="58" applyFont="1" applyBorder="1" applyAlignment="1">
      <alignment horizontal="left" vertical="center" wrapText="1"/>
      <protection/>
    </xf>
    <xf numFmtId="0" fontId="4" fillId="0" borderId="20" xfId="58" applyFont="1" applyBorder="1" applyAlignment="1">
      <alignment horizontal="left" vertical="center" wrapText="1"/>
      <protection/>
    </xf>
    <xf numFmtId="0" fontId="12" fillId="0" borderId="88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8" fontId="12" fillId="0" borderId="94" xfId="40" applyNumberFormat="1" applyFont="1" applyBorder="1" applyAlignment="1">
      <alignment horizontal="center" vertical="center"/>
    </xf>
    <xf numFmtId="168" fontId="12" fillId="0" borderId="95" xfId="40" applyNumberFormat="1" applyFont="1" applyBorder="1" applyAlignment="1">
      <alignment horizontal="center" vertical="center"/>
    </xf>
    <xf numFmtId="168" fontId="12" fillId="0" borderId="96" xfId="40" applyNumberFormat="1" applyFont="1" applyBorder="1" applyAlignment="1">
      <alignment horizontal="center" vertical="center"/>
    </xf>
    <xf numFmtId="168" fontId="12" fillId="0" borderId="97" xfId="40" applyNumberFormat="1" applyFont="1" applyBorder="1" applyAlignment="1">
      <alignment horizontal="center" vertical="center"/>
    </xf>
    <xf numFmtId="168" fontId="12" fillId="0" borderId="98" xfId="40" applyNumberFormat="1" applyFont="1" applyBorder="1" applyAlignment="1">
      <alignment horizontal="center" vertical="center"/>
    </xf>
    <xf numFmtId="168" fontId="12" fillId="0" borderId="99" xfId="40" applyNumberFormat="1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/>
    </xf>
    <xf numFmtId="0" fontId="12" fillId="0" borderId="10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2" fontId="12" fillId="0" borderId="94" xfId="0" applyNumberFormat="1" applyFont="1" applyBorder="1" applyAlignment="1">
      <alignment horizontal="center" vertical="center" wrapText="1"/>
    </xf>
    <xf numFmtId="2" fontId="12" fillId="0" borderId="95" xfId="0" applyNumberFormat="1" applyFont="1" applyBorder="1" applyAlignment="1">
      <alignment horizontal="center" vertical="center" wrapText="1"/>
    </xf>
    <xf numFmtId="2" fontId="12" fillId="0" borderId="96" xfId="0" applyNumberFormat="1" applyFont="1" applyBorder="1" applyAlignment="1">
      <alignment horizontal="center" vertical="center" wrapText="1"/>
    </xf>
    <xf numFmtId="168" fontId="12" fillId="0" borderId="101" xfId="4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72" xfId="0" applyFont="1" applyBorder="1" applyAlignment="1">
      <alignment horizontal="left" vertical="center" wrapText="1"/>
    </xf>
    <xf numFmtId="168" fontId="12" fillId="0" borderId="10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168" fontId="12" fillId="0" borderId="76" xfId="40" applyNumberFormat="1" applyFont="1" applyBorder="1" applyAlignment="1">
      <alignment horizontal="center" vertical="center"/>
    </xf>
    <xf numFmtId="168" fontId="12" fillId="0" borderId="20" xfId="40" applyNumberFormat="1" applyFont="1" applyBorder="1" applyAlignment="1">
      <alignment horizontal="center" vertical="center"/>
    </xf>
    <xf numFmtId="168" fontId="12" fillId="0" borderId="72" xfId="40" applyNumberFormat="1" applyFont="1" applyBorder="1" applyAlignment="1">
      <alignment horizontal="center" vertical="center"/>
    </xf>
    <xf numFmtId="168" fontId="17" fillId="0" borderId="104" xfId="40" applyNumberFormat="1" applyFont="1" applyBorder="1" applyAlignment="1">
      <alignment horizontal="center" vertical="center"/>
    </xf>
    <xf numFmtId="168" fontId="17" fillId="0" borderId="105" xfId="40" applyNumberFormat="1" applyFont="1" applyBorder="1" applyAlignment="1">
      <alignment horizontal="center" vertical="center"/>
    </xf>
    <xf numFmtId="168" fontId="17" fillId="0" borderId="106" xfId="4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2" fillId="0" borderId="107" xfId="0" applyFont="1" applyBorder="1" applyAlignment="1">
      <alignment horizontal="center"/>
    </xf>
    <xf numFmtId="0" fontId="12" fillId="0" borderId="87" xfId="0" applyFont="1" applyBorder="1" applyAlignment="1">
      <alignment horizontal="center"/>
    </xf>
    <xf numFmtId="0" fontId="12" fillId="0" borderId="108" xfId="0" applyFont="1" applyBorder="1" applyAlignment="1">
      <alignment horizontal="center"/>
    </xf>
    <xf numFmtId="0" fontId="12" fillId="0" borderId="10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10" xfId="0" applyFont="1" applyBorder="1" applyAlignment="1">
      <alignment horizontal="left" vertical="center"/>
    </xf>
    <xf numFmtId="0" fontId="12" fillId="0" borderId="111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left" vertical="center" wrapText="1"/>
    </xf>
    <xf numFmtId="0" fontId="4" fillId="0" borderId="11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32" xfId="40" applyNumberFormat="1" applyFont="1" applyBorder="1" applyAlignment="1">
      <alignment horizontal="center"/>
    </xf>
    <xf numFmtId="168" fontId="12" fillId="0" borderId="20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4" fillId="0" borderId="76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168" fontId="12" fillId="0" borderId="32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8" fontId="12" fillId="0" borderId="28" xfId="4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2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12" fillId="0" borderId="115" xfId="0" applyFont="1" applyBorder="1" applyAlignment="1">
      <alignment horizontal="center"/>
    </xf>
    <xf numFmtId="0" fontId="12" fillId="0" borderId="1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8" fontId="12" fillId="0" borderId="30" xfId="40" applyNumberFormat="1" applyFont="1" applyBorder="1" applyAlignment="1">
      <alignment horizontal="center"/>
    </xf>
    <xf numFmtId="168" fontId="12" fillId="0" borderId="51" xfId="40" applyNumberFormat="1" applyFont="1" applyBorder="1" applyAlignment="1">
      <alignment horizontal="center"/>
    </xf>
    <xf numFmtId="168" fontId="12" fillId="0" borderId="19" xfId="40" applyNumberFormat="1" applyFont="1" applyBorder="1" applyAlignment="1">
      <alignment horizontal="center"/>
    </xf>
    <xf numFmtId="168" fontId="12" fillId="0" borderId="80" xfId="40" applyNumberFormat="1" applyFont="1" applyBorder="1" applyAlignment="1">
      <alignment horizontal="center"/>
    </xf>
    <xf numFmtId="168" fontId="6" fillId="0" borderId="30" xfId="40" applyNumberFormat="1" applyFont="1" applyBorder="1" applyAlignment="1">
      <alignment horizontal="center"/>
    </xf>
    <xf numFmtId="168" fontId="6" fillId="0" borderId="51" xfId="40" applyNumberFormat="1" applyFont="1" applyBorder="1" applyAlignment="1">
      <alignment horizontal="center"/>
    </xf>
    <xf numFmtId="168" fontId="6" fillId="0" borderId="19" xfId="40" applyNumberFormat="1" applyFont="1" applyBorder="1" applyAlignment="1">
      <alignment horizontal="center"/>
    </xf>
    <xf numFmtId="168" fontId="6" fillId="0" borderId="80" xfId="40" applyNumberFormat="1" applyFont="1" applyBorder="1" applyAlignment="1">
      <alignment horizontal="center"/>
    </xf>
    <xf numFmtId="168" fontId="12" fillId="0" borderId="115" xfId="40" applyNumberFormat="1" applyFont="1" applyBorder="1" applyAlignment="1">
      <alignment horizontal="center"/>
    </xf>
    <xf numFmtId="168" fontId="12" fillId="0" borderId="116" xfId="4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1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6" fillId="0" borderId="34" xfId="57" applyFont="1" applyBorder="1" applyAlignment="1">
      <alignment horizontal="center"/>
      <protection/>
    </xf>
    <xf numFmtId="0" fontId="6" fillId="0" borderId="45" xfId="57" applyFont="1" applyBorder="1" applyAlignment="1">
      <alignment horizontal="center"/>
      <protection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8" fillId="0" borderId="11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9" xfId="0" applyBorder="1" applyAlignment="1">
      <alignment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KONEPC99" xfId="57"/>
    <cellStyle name="Normál_KTGV99" xfId="58"/>
    <cellStyle name="Normál_mérleg" xfId="59"/>
    <cellStyle name="Normál_PHKV99" xfId="60"/>
    <cellStyle name="Normál_SIKONC99" xfId="61"/>
    <cellStyle name="Összesen" xfId="62"/>
    <cellStyle name="Currency" xfId="63"/>
    <cellStyle name="Currency [0]" xfId="64"/>
    <cellStyle name="Pénznem 2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'2018.%20&#246;r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 (1)"/>
      <sheetName val="4.mell. - kiadás"/>
      <sheetName val="5.mell. - kiadás.köá."/>
      <sheetName val="6.mell - átadások"/>
      <sheetName val="7.mell. ellátott"/>
      <sheetName val="8.beruházások"/>
      <sheetName val="9.Felújítások"/>
      <sheetName val="10.mell. - közgazd.mérleg"/>
      <sheetName val="11.mell. -ei.felh.ütemt."/>
      <sheetName val="12.mell.tartalék"/>
    </sheetNames>
    <sheetDataSet>
      <sheetData sheetId="2">
        <row r="61">
          <cell r="H61">
            <v>36288977</v>
          </cell>
        </row>
        <row r="69">
          <cell r="H69">
            <v>2233054</v>
          </cell>
        </row>
        <row r="77">
          <cell r="H77">
            <v>53945486</v>
          </cell>
        </row>
        <row r="117">
          <cell r="H117">
            <v>15853474</v>
          </cell>
        </row>
      </sheetData>
      <sheetData sheetId="4">
        <row r="48">
          <cell r="E48">
            <v>23905873</v>
          </cell>
          <cell r="F48">
            <v>5342629</v>
          </cell>
          <cell r="G48">
            <v>30020334</v>
          </cell>
          <cell r="H48">
            <v>2861400</v>
          </cell>
          <cell r="I48">
            <v>43167533</v>
          </cell>
          <cell r="K48">
            <v>4330272</v>
          </cell>
          <cell r="L48">
            <v>66280196</v>
          </cell>
          <cell r="M48">
            <v>1200000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38:U63"/>
  <sheetViews>
    <sheetView tabSelected="1" zoomScalePageLayoutView="0" workbookViewId="0" topLeftCell="C22">
      <selection activeCell="O52" sqref="O52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39"/>
      <c r="J39" s="2"/>
      <c r="L39" s="506" t="s">
        <v>4</v>
      </c>
      <c r="M39" s="506"/>
      <c r="N39" s="506"/>
      <c r="O39" s="506"/>
      <c r="P39" s="506"/>
      <c r="Q39" s="506"/>
      <c r="R39" s="506"/>
      <c r="S39" s="506"/>
      <c r="T39" s="506"/>
      <c r="U39" s="39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38"/>
      <c r="J41" s="2"/>
      <c r="L41" s="506" t="s">
        <v>480</v>
      </c>
      <c r="M41" s="506"/>
      <c r="N41" s="506"/>
      <c r="O41" s="506"/>
      <c r="P41" s="506"/>
      <c r="Q41" s="506"/>
      <c r="R41" s="506"/>
      <c r="S41" s="506"/>
      <c r="T41" s="506"/>
      <c r="U41" s="39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38"/>
      <c r="J43" s="2"/>
      <c r="L43" s="506" t="s">
        <v>444</v>
      </c>
      <c r="M43" s="506"/>
      <c r="N43" s="506"/>
      <c r="O43" s="506"/>
      <c r="P43" s="506"/>
      <c r="Q43" s="506"/>
      <c r="R43" s="506"/>
      <c r="S43" s="506"/>
      <c r="T43" s="506"/>
      <c r="U43" s="39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507" t="s">
        <v>682</v>
      </c>
      <c r="M45" s="507"/>
      <c r="N45" s="507"/>
      <c r="O45" s="507"/>
      <c r="P45" s="507"/>
      <c r="Q45" s="507"/>
      <c r="R45" s="507"/>
      <c r="S45" s="507"/>
      <c r="T45" s="507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40"/>
      <c r="M46" s="231"/>
      <c r="N46" s="17"/>
      <c r="O46" s="138"/>
    </row>
    <row r="47" spans="1:10" ht="27.75">
      <c r="A47" s="40"/>
      <c r="B47" s="41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AF00" sheet="1" selectLockedCells="1" selectUnlockedCells="1"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C39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12.625" style="0" customWidth="1"/>
    <col min="2" max="2" width="68.625" style="0" customWidth="1"/>
    <col min="3" max="3" width="13.25390625" style="0" customWidth="1"/>
  </cols>
  <sheetData>
    <row r="1" spans="2:3" ht="12.75">
      <c r="B1" s="509" t="s">
        <v>575</v>
      </c>
      <c r="C1" s="509"/>
    </row>
    <row r="5" spans="1:3" ht="21" customHeight="1">
      <c r="A5" s="638"/>
      <c r="B5" s="638"/>
      <c r="C5" s="638"/>
    </row>
    <row r="6" spans="1:3" ht="12.75">
      <c r="A6" s="239"/>
      <c r="B6" s="463" t="s">
        <v>40</v>
      </c>
      <c r="C6" s="239"/>
    </row>
    <row r="7" spans="1:3" ht="12.75">
      <c r="A7" s="239"/>
      <c r="B7" s="463" t="s">
        <v>470</v>
      </c>
      <c r="C7" s="239"/>
    </row>
    <row r="8" spans="1:3" ht="12.75">
      <c r="A8" s="239"/>
      <c r="B8" s="463" t="s">
        <v>476</v>
      </c>
      <c r="C8" s="239"/>
    </row>
    <row r="9" spans="1:3" ht="13.5" thickBot="1">
      <c r="A9" s="239"/>
      <c r="B9" s="239"/>
      <c r="C9" s="239"/>
    </row>
    <row r="10" spans="1:3" ht="35.25" customHeight="1" thickBot="1">
      <c r="A10" s="493" t="s">
        <v>497</v>
      </c>
      <c r="B10" s="493" t="s">
        <v>0</v>
      </c>
      <c r="C10" s="492" t="s">
        <v>679</v>
      </c>
    </row>
    <row r="14" spans="1:3" ht="15.75">
      <c r="A14" s="473" t="s">
        <v>43</v>
      </c>
      <c r="B14" s="17" t="s">
        <v>538</v>
      </c>
      <c r="C14" s="20"/>
    </row>
    <row r="15" spans="1:3" ht="15.75">
      <c r="A15" s="473"/>
      <c r="B15" s="20"/>
      <c r="C15" s="20"/>
    </row>
    <row r="16" spans="1:3" ht="15.75">
      <c r="A16" s="488" t="s">
        <v>508</v>
      </c>
      <c r="B16" s="20" t="s">
        <v>537</v>
      </c>
      <c r="C16" s="20"/>
    </row>
    <row r="17" spans="1:3" ht="29.25" customHeight="1">
      <c r="A17" s="491" t="s">
        <v>509</v>
      </c>
      <c r="B17" s="85" t="s">
        <v>548</v>
      </c>
      <c r="C17" s="299">
        <v>7874016</v>
      </c>
    </row>
    <row r="18" spans="1:3" ht="15.75">
      <c r="A18" s="491" t="s">
        <v>510</v>
      </c>
      <c r="B18" s="20" t="s">
        <v>473</v>
      </c>
      <c r="C18" s="490">
        <v>2125984</v>
      </c>
    </row>
    <row r="19" spans="1:3" ht="15.75">
      <c r="A19" s="489" t="s">
        <v>678</v>
      </c>
      <c r="B19" s="17" t="s">
        <v>471</v>
      </c>
      <c r="C19" s="18">
        <v>10000000</v>
      </c>
    </row>
    <row r="20" spans="1:3" ht="15.75">
      <c r="A20" s="489"/>
      <c r="B20" s="17"/>
      <c r="C20" s="18"/>
    </row>
    <row r="21" spans="1:3" ht="15.75">
      <c r="A21" s="489" t="s">
        <v>677</v>
      </c>
      <c r="B21" s="20" t="s">
        <v>676</v>
      </c>
      <c r="C21" s="299">
        <v>11700312</v>
      </c>
    </row>
    <row r="22" spans="1:3" ht="15.75">
      <c r="A22" s="491" t="s">
        <v>675</v>
      </c>
      <c r="B22" s="20" t="s">
        <v>473</v>
      </c>
      <c r="C22" s="490">
        <v>3159084</v>
      </c>
    </row>
    <row r="23" spans="1:3" ht="15.75">
      <c r="A23" s="489" t="s">
        <v>674</v>
      </c>
      <c r="B23" s="17" t="s">
        <v>471</v>
      </c>
      <c r="C23" s="18">
        <f>C21+C22</f>
        <v>14859396</v>
      </c>
    </row>
    <row r="24" spans="1:3" ht="15.75">
      <c r="A24" s="489"/>
      <c r="B24" s="17"/>
      <c r="C24" s="18"/>
    </row>
    <row r="25" spans="1:3" ht="15.75">
      <c r="A25" s="489" t="s">
        <v>673</v>
      </c>
      <c r="B25" s="20" t="s">
        <v>672</v>
      </c>
      <c r="C25" s="299">
        <f>31496063+40000</f>
        <v>31536063</v>
      </c>
    </row>
    <row r="26" spans="1:3" ht="15.75">
      <c r="A26" s="491" t="s">
        <v>671</v>
      </c>
      <c r="B26" s="20" t="s">
        <v>473</v>
      </c>
      <c r="C26" s="490">
        <f>8503937+10800</f>
        <v>8514737</v>
      </c>
    </row>
    <row r="27" spans="1:3" ht="15.75">
      <c r="A27" s="489" t="s">
        <v>670</v>
      </c>
      <c r="B27" s="17" t="s">
        <v>471</v>
      </c>
      <c r="C27" s="18">
        <f>C25+C26</f>
        <v>40050800</v>
      </c>
    </row>
    <row r="28" spans="1:3" ht="15.75">
      <c r="A28" s="489"/>
      <c r="B28" s="17"/>
      <c r="C28" s="18"/>
    </row>
    <row r="29" spans="1:3" ht="15.75">
      <c r="A29" s="489" t="s">
        <v>701</v>
      </c>
      <c r="B29" s="20" t="s">
        <v>700</v>
      </c>
      <c r="C29" s="299">
        <v>984252</v>
      </c>
    </row>
    <row r="30" spans="1:3" ht="15.75">
      <c r="A30" s="491" t="s">
        <v>699</v>
      </c>
      <c r="B30" s="20" t="s">
        <v>473</v>
      </c>
      <c r="C30" s="479">
        <f>C29*0.27</f>
        <v>265748.04000000004</v>
      </c>
    </row>
    <row r="31" spans="1:3" ht="15.75">
      <c r="A31" s="489" t="s">
        <v>698</v>
      </c>
      <c r="B31" s="17" t="s">
        <v>471</v>
      </c>
      <c r="C31" s="18">
        <f>C29+C30</f>
        <v>1250000.04</v>
      </c>
    </row>
    <row r="32" spans="1:3" ht="15.75">
      <c r="A32" s="473"/>
      <c r="B32" s="17"/>
      <c r="C32" s="20"/>
    </row>
    <row r="33" spans="1:3" ht="15.75">
      <c r="A33" s="473" t="s">
        <v>27</v>
      </c>
      <c r="B33" s="17" t="s">
        <v>574</v>
      </c>
      <c r="C33" s="20"/>
    </row>
    <row r="34" spans="1:3" ht="15.75">
      <c r="A34" s="473"/>
      <c r="B34" s="17"/>
      <c r="C34" s="20"/>
    </row>
    <row r="35" spans="1:3" ht="15.75">
      <c r="A35" s="489" t="s">
        <v>546</v>
      </c>
      <c r="B35" s="20" t="s">
        <v>573</v>
      </c>
      <c r="C35" s="490">
        <v>120000</v>
      </c>
    </row>
    <row r="36" spans="1:3" ht="15.75">
      <c r="A36" s="489" t="s">
        <v>572</v>
      </c>
      <c r="B36" s="17" t="s">
        <v>2</v>
      </c>
      <c r="C36" s="18">
        <v>120000</v>
      </c>
    </row>
    <row r="37" spans="1:3" ht="15.75">
      <c r="A37" s="473"/>
      <c r="B37" s="20"/>
      <c r="C37" s="20"/>
    </row>
    <row r="38" spans="1:3" ht="15.75">
      <c r="A38" s="488" t="s">
        <v>44</v>
      </c>
      <c r="B38" s="17" t="s">
        <v>472</v>
      </c>
      <c r="C38" s="18">
        <f>C19+C23+C36+C27+C31</f>
        <v>66280196.04</v>
      </c>
    </row>
    <row r="39" spans="1:3" ht="15.75">
      <c r="A39" s="20"/>
      <c r="B39" s="20"/>
      <c r="C39" s="20"/>
    </row>
  </sheetData>
  <sheetProtection password="AF00" sheet="1"/>
  <mergeCells count="2">
    <mergeCell ref="A5:C5"/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F70"/>
  <sheetViews>
    <sheetView zoomScalePageLayoutView="0" workbookViewId="0" topLeftCell="A16">
      <selection activeCell="G14" sqref="G14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390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508" t="s">
        <v>576</v>
      </c>
      <c r="B1" s="508"/>
      <c r="C1" s="508"/>
    </row>
    <row r="2" spans="1:3" s="111" customFormat="1" ht="15.75">
      <c r="A2" s="513"/>
      <c r="B2" s="513"/>
      <c r="C2" s="513"/>
    </row>
    <row r="3" spans="1:3" s="102" customFormat="1" ht="15">
      <c r="A3" s="649"/>
      <c r="B3" s="649"/>
      <c r="C3" s="649"/>
    </row>
    <row r="4" spans="1:3" s="102" customFormat="1" ht="16.5" customHeight="1">
      <c r="A4" s="649"/>
      <c r="B4" s="607"/>
      <c r="C4" s="607"/>
    </row>
    <row r="5" spans="1:3" ht="15.75">
      <c r="A5" s="522" t="s">
        <v>581</v>
      </c>
      <c r="B5" s="522"/>
      <c r="C5" s="522"/>
    </row>
    <row r="6" spans="1:3" ht="15.75">
      <c r="A6" s="518" t="s">
        <v>290</v>
      </c>
      <c r="B6" s="518"/>
      <c r="C6" s="518"/>
    </row>
    <row r="7" spans="1:3" ht="15.75">
      <c r="A7" s="518" t="s">
        <v>233</v>
      </c>
      <c r="B7" s="518"/>
      <c r="C7" s="518"/>
    </row>
    <row r="8" spans="1:3" ht="15.75">
      <c r="A8" s="518" t="s">
        <v>476</v>
      </c>
      <c r="B8" s="518"/>
      <c r="C8" s="518"/>
    </row>
    <row r="9" ht="16.5" thickBot="1"/>
    <row r="10" spans="1:3" ht="15.75">
      <c r="A10" s="117" t="s">
        <v>41</v>
      </c>
      <c r="B10" s="112"/>
      <c r="C10" s="399" t="s">
        <v>19</v>
      </c>
    </row>
    <row r="11" spans="1:3" ht="15.75">
      <c r="A11" s="113"/>
      <c r="B11" s="114" t="s">
        <v>0</v>
      </c>
      <c r="C11" s="398" t="s">
        <v>10</v>
      </c>
    </row>
    <row r="12" spans="1:4" ht="18" customHeight="1" thickBot="1">
      <c r="A12" s="115" t="s">
        <v>42</v>
      </c>
      <c r="B12" s="118"/>
      <c r="C12" s="397" t="s">
        <v>1</v>
      </c>
      <c r="D12" s="270"/>
    </row>
    <row r="13" spans="2:4" ht="8.25" customHeight="1">
      <c r="B13" s="234"/>
      <c r="C13" s="235"/>
      <c r="D13" s="394"/>
    </row>
    <row r="14" spans="1:3" ht="20.25" customHeight="1">
      <c r="A14" s="651" t="s">
        <v>234</v>
      </c>
      <c r="B14" s="651"/>
      <c r="C14" s="651"/>
    </row>
    <row r="15" spans="1:3" ht="20.25" customHeight="1">
      <c r="A15" s="119" t="s">
        <v>43</v>
      </c>
      <c r="B15" s="120" t="s">
        <v>235</v>
      </c>
      <c r="C15" s="400"/>
    </row>
    <row r="16" spans="1:3" ht="20.25" customHeight="1">
      <c r="A16" s="119"/>
      <c r="B16" s="20" t="s">
        <v>236</v>
      </c>
      <c r="C16" s="400">
        <f>'[1]2.mell - bevétel'!H61</f>
        <v>36288977</v>
      </c>
    </row>
    <row r="17" spans="1:5" ht="20.25" customHeight="1">
      <c r="A17" s="119"/>
      <c r="B17" s="85" t="s">
        <v>237</v>
      </c>
      <c r="C17" s="400">
        <f>'[1]2.mell - bevétel'!H69</f>
        <v>2233054</v>
      </c>
      <c r="D17" s="83"/>
      <c r="E17" s="83"/>
    </row>
    <row r="18" spans="1:3" ht="20.25" customHeight="1">
      <c r="A18" s="119" t="s">
        <v>27</v>
      </c>
      <c r="B18" s="120" t="s">
        <v>238</v>
      </c>
      <c r="C18" s="400">
        <v>7813000</v>
      </c>
    </row>
    <row r="19" spans="1:3" ht="20.25" customHeight="1">
      <c r="A19" s="119" t="s">
        <v>44</v>
      </c>
      <c r="B19" s="120" t="s">
        <v>239</v>
      </c>
      <c r="C19" s="400">
        <f>'[1]2.mell - bevétel'!H117</f>
        <v>15853474</v>
      </c>
    </row>
    <row r="20" spans="1:3" ht="20.25" customHeight="1">
      <c r="A20" s="119" t="s">
        <v>103</v>
      </c>
      <c r="B20" s="121" t="s">
        <v>240</v>
      </c>
      <c r="C20" s="400"/>
    </row>
    <row r="21" spans="1:5" ht="36" customHeight="1">
      <c r="A21" s="119"/>
      <c r="B21" s="85" t="s">
        <v>241</v>
      </c>
      <c r="C21" s="400"/>
      <c r="D21" s="85"/>
      <c r="E21" s="85"/>
    </row>
    <row r="22" spans="1:3" ht="20.25" customHeight="1">
      <c r="A22" s="119"/>
      <c r="B22" s="20" t="s">
        <v>242</v>
      </c>
      <c r="C22" s="400"/>
    </row>
    <row r="23" spans="1:3" ht="30" customHeight="1">
      <c r="A23" s="284"/>
      <c r="B23" s="285" t="s">
        <v>243</v>
      </c>
      <c r="C23" s="391">
        <f>SUM(C16:C22)</f>
        <v>62188505</v>
      </c>
    </row>
    <row r="24" spans="1:3" ht="21" customHeight="1">
      <c r="A24" s="116" t="s">
        <v>104</v>
      </c>
      <c r="B24" s="120" t="s">
        <v>244</v>
      </c>
      <c r="C24" s="305">
        <f>'[1]4.mell. - kiadás'!E48</f>
        <v>23905873</v>
      </c>
    </row>
    <row r="25" spans="1:3" ht="21" customHeight="1">
      <c r="A25" s="116" t="s">
        <v>110</v>
      </c>
      <c r="B25" s="120" t="s">
        <v>245</v>
      </c>
      <c r="C25" s="305">
        <f>'[1]4.mell. - kiadás'!F48</f>
        <v>5342629</v>
      </c>
    </row>
    <row r="26" spans="1:3" ht="21" customHeight="1">
      <c r="A26" s="116" t="s">
        <v>246</v>
      </c>
      <c r="B26" s="124" t="s">
        <v>247</v>
      </c>
      <c r="C26" s="305">
        <f>'[1]4.mell. - kiadás'!G48</f>
        <v>30020334</v>
      </c>
    </row>
    <row r="27" spans="1:3" ht="21" customHeight="1">
      <c r="A27" s="116" t="s">
        <v>248</v>
      </c>
      <c r="B27" s="124" t="s">
        <v>249</v>
      </c>
      <c r="C27" s="305">
        <f>'[1]4.mell. - kiadás'!H48</f>
        <v>2861400</v>
      </c>
    </row>
    <row r="28" spans="1:3" ht="21" customHeight="1">
      <c r="A28" s="116" t="s">
        <v>250</v>
      </c>
      <c r="B28" s="124" t="s">
        <v>251</v>
      </c>
      <c r="C28" s="305"/>
    </row>
    <row r="29" spans="1:3" ht="32.25" customHeight="1">
      <c r="A29" s="116"/>
      <c r="B29" s="85" t="s">
        <v>252</v>
      </c>
      <c r="C29" s="401"/>
    </row>
    <row r="30" spans="1:3" ht="15.75">
      <c r="A30" s="116"/>
      <c r="B30" s="125" t="s">
        <v>703</v>
      </c>
      <c r="C30" s="401">
        <f>50000+600000</f>
        <v>650000</v>
      </c>
    </row>
    <row r="31" spans="1:3" ht="15.75">
      <c r="A31" s="116"/>
      <c r="B31" s="125" t="s">
        <v>253</v>
      </c>
      <c r="C31" s="401">
        <f>'[1]4.mell. - kiadás'!I48-4825255-37245921+936643-50000-600000+50800</f>
        <v>1433800</v>
      </c>
    </row>
    <row r="32" spans="1:5" ht="15.75">
      <c r="A32" s="116"/>
      <c r="B32" s="125" t="s">
        <v>254</v>
      </c>
      <c r="C32" s="390">
        <f>4825255+37245921-936643-50800</f>
        <v>41083733</v>
      </c>
      <c r="E32" s="86"/>
    </row>
    <row r="33" spans="1:6" ht="33.75" customHeight="1">
      <c r="A33" s="284"/>
      <c r="B33" s="285" t="s">
        <v>255</v>
      </c>
      <c r="C33" s="391">
        <f>SUM(C24:C32)</f>
        <v>105297769</v>
      </c>
      <c r="E33" s="86"/>
      <c r="F33" s="86"/>
    </row>
    <row r="34" spans="1:6" ht="33.75" customHeight="1">
      <c r="A34" s="505"/>
      <c r="B34" s="504"/>
      <c r="C34" s="503"/>
      <c r="E34" s="86"/>
      <c r="F34" s="86"/>
    </row>
    <row r="35" spans="1:6" ht="33.75" customHeight="1">
      <c r="A35" s="505"/>
      <c r="B35" s="504"/>
      <c r="C35" s="503"/>
      <c r="E35" s="86"/>
      <c r="F35" s="86"/>
    </row>
    <row r="36" spans="1:3" ht="15.75">
      <c r="A36" s="647">
        <v>2</v>
      </c>
      <c r="B36" s="647"/>
      <c r="C36" s="647"/>
    </row>
    <row r="37" spans="1:3" ht="16.5" thickBot="1">
      <c r="A37" s="232"/>
      <c r="B37" s="232"/>
      <c r="C37" s="232"/>
    </row>
    <row r="38" spans="1:3" ht="15.75">
      <c r="A38" s="117" t="s">
        <v>41</v>
      </c>
      <c r="B38" s="112"/>
      <c r="C38" s="399" t="s">
        <v>19</v>
      </c>
    </row>
    <row r="39" spans="1:3" ht="12.75" customHeight="1">
      <c r="A39" s="113"/>
      <c r="B39" s="114" t="s">
        <v>0</v>
      </c>
      <c r="C39" s="398"/>
    </row>
    <row r="40" spans="1:3" ht="21.75" customHeight="1" thickBot="1">
      <c r="A40" s="115" t="s">
        <v>42</v>
      </c>
      <c r="B40" s="118"/>
      <c r="C40" s="397" t="s">
        <v>10</v>
      </c>
    </row>
    <row r="41" spans="1:3" ht="12" customHeight="1">
      <c r="A41" s="130"/>
      <c r="B41" s="233"/>
      <c r="C41" s="394"/>
    </row>
    <row r="42" spans="1:3" ht="21" customHeight="1">
      <c r="A42" s="648" t="s">
        <v>256</v>
      </c>
      <c r="B42" s="648"/>
      <c r="C42" s="648"/>
    </row>
    <row r="43" spans="1:2" ht="21" customHeight="1">
      <c r="A43" s="116" t="s">
        <v>257</v>
      </c>
      <c r="B43" s="45" t="s">
        <v>258</v>
      </c>
    </row>
    <row r="44" spans="1:2" ht="21" customHeight="1">
      <c r="A44" s="116" t="s">
        <v>259</v>
      </c>
      <c r="B44" s="45" t="s">
        <v>260</v>
      </c>
    </row>
    <row r="45" spans="1:3" ht="21" customHeight="1">
      <c r="A45" s="116" t="s">
        <v>261</v>
      </c>
      <c r="B45" s="121" t="s">
        <v>262</v>
      </c>
      <c r="C45" s="390">
        <f>'[1]2.mell - bevétel'!H77</f>
        <v>53945486</v>
      </c>
    </row>
    <row r="46" spans="1:3" ht="31.5" customHeight="1">
      <c r="A46" s="116"/>
      <c r="B46" s="97" t="s">
        <v>263</v>
      </c>
      <c r="C46" s="390">
        <v>61800</v>
      </c>
    </row>
    <row r="47" spans="1:2" ht="21" customHeight="1">
      <c r="A47" s="116"/>
      <c r="B47" s="36" t="s">
        <v>264</v>
      </c>
    </row>
    <row r="48" spans="1:5" ht="30" customHeight="1">
      <c r="A48" s="284"/>
      <c r="B48" s="285" t="s">
        <v>265</v>
      </c>
      <c r="C48" s="391">
        <f>SUM(C43:C47)</f>
        <v>54007286</v>
      </c>
      <c r="E48" s="86"/>
    </row>
    <row r="49" spans="1:3" ht="21" customHeight="1">
      <c r="A49" s="116" t="s">
        <v>266</v>
      </c>
      <c r="B49" s="45" t="s">
        <v>267</v>
      </c>
      <c r="C49" s="390">
        <f>'[1]4.mell. - kiadás'!K48</f>
        <v>4330272</v>
      </c>
    </row>
    <row r="50" spans="1:3" ht="21" customHeight="1">
      <c r="A50" s="116" t="s">
        <v>268</v>
      </c>
      <c r="B50" s="45" t="s">
        <v>269</v>
      </c>
      <c r="C50" s="390">
        <f>'[1]4.mell. - kiadás'!L48</f>
        <v>66280196</v>
      </c>
    </row>
    <row r="51" spans="1:2" ht="21" customHeight="1">
      <c r="A51" s="116" t="s">
        <v>270</v>
      </c>
      <c r="B51" s="121" t="s">
        <v>271</v>
      </c>
    </row>
    <row r="52" spans="1:3" ht="21" customHeight="1">
      <c r="A52" s="116"/>
      <c r="B52" s="125" t="s">
        <v>272</v>
      </c>
      <c r="C52" s="390">
        <f>'[1]4.mell. - kiadás'!M48</f>
        <v>1200000</v>
      </c>
    </row>
    <row r="53" spans="1:2" ht="21" customHeight="1">
      <c r="A53" s="116"/>
      <c r="B53" s="125" t="s">
        <v>254</v>
      </c>
    </row>
    <row r="54" spans="1:6" s="9" customFormat="1" ht="27.75" customHeight="1" thickBot="1">
      <c r="A54" s="284"/>
      <c r="B54" s="285" t="s">
        <v>273</v>
      </c>
      <c r="C54" s="391">
        <f>SUM(C49:C53)</f>
        <v>71810468</v>
      </c>
      <c r="F54" s="126"/>
    </row>
    <row r="55" spans="1:3" s="9" customFormat="1" ht="24" customHeight="1" thickBot="1">
      <c r="A55" s="127"/>
      <c r="B55" s="128" t="s">
        <v>274</v>
      </c>
      <c r="C55" s="396">
        <f>C23+C48</f>
        <v>116195791</v>
      </c>
    </row>
    <row r="56" spans="1:6" s="9" customFormat="1" ht="22.5" customHeight="1" thickBot="1">
      <c r="A56" s="127"/>
      <c r="B56" s="128" t="s">
        <v>275</v>
      </c>
      <c r="C56" s="396">
        <f>C33+C54</f>
        <v>177108237</v>
      </c>
      <c r="F56" s="126"/>
    </row>
    <row r="57" spans="1:3" s="9" customFormat="1" ht="15.75">
      <c r="A57" s="129"/>
      <c r="B57" s="130"/>
      <c r="C57" s="395"/>
    </row>
    <row r="58" spans="1:3" s="131" customFormat="1" ht="9.75" customHeight="1">
      <c r="A58" s="236"/>
      <c r="B58" s="236"/>
      <c r="C58" s="236"/>
    </row>
    <row r="59" spans="1:3" s="131" customFormat="1" ht="9" customHeight="1">
      <c r="A59" s="130"/>
      <c r="B59" s="137"/>
      <c r="C59" s="394"/>
    </row>
    <row r="60" spans="1:3" ht="20.25" customHeight="1">
      <c r="A60" s="650" t="s">
        <v>276</v>
      </c>
      <c r="B60" s="650"/>
      <c r="C60" s="650"/>
    </row>
    <row r="61" spans="1:3" ht="6.75" customHeight="1">
      <c r="A61" s="132"/>
      <c r="B61" s="132"/>
      <c r="C61" s="132"/>
    </row>
    <row r="62" spans="1:3" ht="20.25" customHeight="1">
      <c r="A62" s="122" t="s">
        <v>277</v>
      </c>
      <c r="B62" s="133" t="s">
        <v>278</v>
      </c>
      <c r="C62" s="392">
        <f>23131431+64122+89764+120000+17000+195900+38415438</f>
        <v>62033655</v>
      </c>
    </row>
    <row r="63" spans="1:3" ht="20.25" customHeight="1">
      <c r="A63" s="122" t="s">
        <v>280</v>
      </c>
      <c r="B63" s="123" t="s">
        <v>702</v>
      </c>
      <c r="C63" s="392">
        <v>1417579</v>
      </c>
    </row>
    <row r="64" spans="1:3" ht="21" customHeight="1">
      <c r="A64" s="122"/>
      <c r="B64" s="285" t="s">
        <v>279</v>
      </c>
      <c r="C64" s="391">
        <f>SUM(C62:C63)</f>
        <v>63451234</v>
      </c>
    </row>
    <row r="65" spans="1:3" ht="21" customHeight="1">
      <c r="A65" s="119" t="s">
        <v>282</v>
      </c>
      <c r="B65" s="123" t="s">
        <v>467</v>
      </c>
      <c r="C65" s="393">
        <f>1121209+1417579</f>
        <v>2538788</v>
      </c>
    </row>
    <row r="66" spans="1:3" ht="15.75">
      <c r="A66" s="119" t="s">
        <v>353</v>
      </c>
      <c r="B66" s="133" t="s">
        <v>281</v>
      </c>
      <c r="C66" s="392"/>
    </row>
    <row r="67" spans="1:3" ht="15.75">
      <c r="A67" s="116" t="s">
        <v>355</v>
      </c>
      <c r="B67" s="133" t="s">
        <v>283</v>
      </c>
      <c r="C67" s="392"/>
    </row>
    <row r="68" spans="1:3" s="134" customFormat="1" ht="30" customHeight="1" thickBot="1">
      <c r="A68" s="122"/>
      <c r="B68" s="285" t="s">
        <v>284</v>
      </c>
      <c r="C68" s="391">
        <f>SUM(C65:C67)</f>
        <v>2538788</v>
      </c>
    </row>
    <row r="69" spans="1:5" s="134" customFormat="1" ht="37.5" customHeight="1" thickBot="1">
      <c r="A69" s="135"/>
      <c r="B69" s="286" t="s">
        <v>285</v>
      </c>
      <c r="C69" s="287">
        <f>C55+C64</f>
        <v>179647025</v>
      </c>
      <c r="E69" s="136"/>
    </row>
    <row r="70" spans="1:5" ht="34.5" customHeight="1" thickBot="1">
      <c r="A70" s="135"/>
      <c r="B70" s="286" t="s">
        <v>286</v>
      </c>
      <c r="C70" s="287">
        <f>C56+C68</f>
        <v>179647025</v>
      </c>
      <c r="E70" s="136"/>
    </row>
  </sheetData>
  <sheetProtection password="AF00" sheet="1"/>
  <mergeCells count="12">
    <mergeCell ref="A2:C2"/>
    <mergeCell ref="A4:C4"/>
    <mergeCell ref="A36:C36"/>
    <mergeCell ref="A42:C42"/>
    <mergeCell ref="A1:C1"/>
    <mergeCell ref="A3:C3"/>
    <mergeCell ref="A5:C5"/>
    <mergeCell ref="A60:C60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125" style="36" customWidth="1"/>
    <col min="2" max="2" width="43.625" style="36" customWidth="1"/>
    <col min="3" max="14" width="15.375" style="305" customWidth="1"/>
    <col min="15" max="15" width="16.875" style="305" customWidth="1"/>
    <col min="16" max="17" width="15.625" style="36" bestFit="1" customWidth="1"/>
    <col min="18" max="18" width="12.625" style="36" bestFit="1" customWidth="1"/>
    <col min="19" max="16384" width="9.125" style="36" customWidth="1"/>
  </cols>
  <sheetData>
    <row r="1" spans="1:15" ht="15.75">
      <c r="A1" s="541" t="s">
        <v>577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</row>
    <row r="2" spans="1:15" s="87" customFormat="1" ht="15.75">
      <c r="A2" s="542"/>
      <c r="B2" s="542"/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</row>
    <row r="4" spans="2:15" ht="15.75"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</row>
    <row r="5" spans="2:15" ht="15.75"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</row>
    <row r="6" spans="2:15" ht="15.75">
      <c r="B6" s="511" t="s">
        <v>40</v>
      </c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</row>
    <row r="7" spans="2:15" ht="15.75">
      <c r="B7" s="511" t="s">
        <v>319</v>
      </c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</row>
    <row r="8" spans="2:15" ht="15.75">
      <c r="B8" s="511" t="s">
        <v>476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</row>
    <row r="9" spans="3:15" ht="16.5" thickBot="1">
      <c r="C9" s="304"/>
      <c r="D9" s="304"/>
      <c r="E9" s="304"/>
      <c r="F9" s="431"/>
      <c r="G9" s="304"/>
      <c r="H9" s="304"/>
      <c r="I9" s="304"/>
      <c r="J9" s="304"/>
      <c r="O9" s="430" t="s">
        <v>477</v>
      </c>
    </row>
    <row r="10" spans="1:15" ht="15.75">
      <c r="A10" s="153" t="s">
        <v>41</v>
      </c>
      <c r="B10" s="154"/>
      <c r="C10" s="429"/>
      <c r="D10" s="428"/>
      <c r="E10" s="427"/>
      <c r="F10" s="426"/>
      <c r="G10" s="426"/>
      <c r="H10" s="426"/>
      <c r="I10" s="426"/>
      <c r="J10" s="426"/>
      <c r="K10" s="425"/>
      <c r="L10" s="425"/>
      <c r="M10" s="425"/>
      <c r="N10" s="424"/>
      <c r="O10" s="423"/>
    </row>
    <row r="11" spans="1:15" ht="15.75">
      <c r="A11" s="155"/>
      <c r="B11" s="156" t="s">
        <v>0</v>
      </c>
      <c r="C11" s="422" t="s">
        <v>320</v>
      </c>
      <c r="D11" s="421" t="s">
        <v>321</v>
      </c>
      <c r="E11" s="419" t="s">
        <v>322</v>
      </c>
      <c r="F11" s="420" t="s">
        <v>323</v>
      </c>
      <c r="G11" s="420" t="s">
        <v>324</v>
      </c>
      <c r="H11" s="420" t="s">
        <v>325</v>
      </c>
      <c r="I11" s="420" t="s">
        <v>326</v>
      </c>
      <c r="J11" s="420" t="s">
        <v>327</v>
      </c>
      <c r="K11" s="420" t="s">
        <v>328</v>
      </c>
      <c r="L11" s="420" t="s">
        <v>329</v>
      </c>
      <c r="M11" s="420" t="s">
        <v>330</v>
      </c>
      <c r="N11" s="419" t="s">
        <v>331</v>
      </c>
      <c r="O11" s="398" t="s">
        <v>311</v>
      </c>
    </row>
    <row r="12" spans="1:15" ht="16.5" thickBot="1">
      <c r="A12" s="157" t="s">
        <v>42</v>
      </c>
      <c r="B12" s="158"/>
      <c r="C12" s="415"/>
      <c r="D12" s="418"/>
      <c r="E12" s="416"/>
      <c r="F12" s="417"/>
      <c r="G12" s="417"/>
      <c r="H12" s="417"/>
      <c r="I12" s="417"/>
      <c r="J12" s="417"/>
      <c r="K12" s="417"/>
      <c r="L12" s="417"/>
      <c r="M12" s="417"/>
      <c r="N12" s="416"/>
      <c r="O12" s="415"/>
    </row>
    <row r="13" spans="1:15" ht="28.5" customHeight="1">
      <c r="A13" s="159"/>
      <c r="B13" s="160" t="s">
        <v>332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7"/>
    </row>
    <row r="14" spans="1:15" ht="28.5" customHeight="1">
      <c r="A14" s="159" t="s">
        <v>43</v>
      </c>
      <c r="B14" s="160" t="s">
        <v>333</v>
      </c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7"/>
    </row>
    <row r="15" spans="1:15" ht="28.5" customHeight="1">
      <c r="A15" s="159"/>
      <c r="B15" s="160" t="s">
        <v>334</v>
      </c>
      <c r="C15" s="408">
        <f>2243614+1121805</f>
        <v>3365419</v>
      </c>
      <c r="D15" s="408">
        <v>2243614</v>
      </c>
      <c r="E15" s="408">
        <v>2243614</v>
      </c>
      <c r="F15" s="408">
        <v>2243614</v>
      </c>
      <c r="G15" s="408">
        <v>2243614</v>
      </c>
      <c r="H15" s="408">
        <f>2243614+27846</f>
        <v>2271460</v>
      </c>
      <c r="I15" s="408">
        <f>2243614+1240320</f>
        <v>3483934</v>
      </c>
      <c r="J15" s="408">
        <f>2243614+1000000+3944762+28792+115989+806700+65080</f>
        <v>8204937</v>
      </c>
      <c r="K15" s="408">
        <f>2243614+326400+7198</f>
        <v>2577212</v>
      </c>
      <c r="L15" s="408">
        <f>2243614+7198+28998+268900+711200</f>
        <v>3259910</v>
      </c>
      <c r="M15" s="408">
        <v>2243614</v>
      </c>
      <c r="N15" s="408">
        <f>2243614-335579</f>
        <v>1908035</v>
      </c>
      <c r="O15" s="407">
        <f aca="true" t="shared" si="0" ref="O15:O28">SUM(C15:N15)</f>
        <v>36288977</v>
      </c>
    </row>
    <row r="16" spans="1:15" ht="28.5" customHeight="1">
      <c r="A16" s="159"/>
      <c r="B16" s="160" t="s">
        <v>335</v>
      </c>
      <c r="C16" s="408">
        <f>6252+179682</f>
        <v>185934</v>
      </c>
      <c r="D16" s="408">
        <f>8296+180996</f>
        <v>189292</v>
      </c>
      <c r="E16" s="408">
        <f>8296+180996</f>
        <v>189292</v>
      </c>
      <c r="F16" s="408">
        <f>5002+180996</f>
        <v>185998</v>
      </c>
      <c r="G16" s="408">
        <v>185999</v>
      </c>
      <c r="H16" s="408">
        <v>105251</v>
      </c>
      <c r="I16" s="408">
        <v>105215</v>
      </c>
      <c r="J16" s="408">
        <f>105251+66664+50000+290830+64999-4610+192746-64999</f>
        <v>700881</v>
      </c>
      <c r="K16" s="408">
        <v>180996</v>
      </c>
      <c r="L16" s="408">
        <v>180996</v>
      </c>
      <c r="M16" s="408">
        <v>23200</v>
      </c>
      <c r="N16" s="408"/>
      <c r="O16" s="407">
        <f t="shared" si="0"/>
        <v>2233054</v>
      </c>
    </row>
    <row r="17" spans="1:15" ht="15.75">
      <c r="A17" s="159" t="s">
        <v>44</v>
      </c>
      <c r="B17" s="160" t="s">
        <v>336</v>
      </c>
      <c r="C17" s="408">
        <f>(12+44+32+31)*1000</f>
        <v>119000</v>
      </c>
      <c r="D17" s="408">
        <f>(19+12+118+253+31)*1000</f>
        <v>433000</v>
      </c>
      <c r="E17" s="408">
        <f>(1127+11+620+382+31)*1000</f>
        <v>2171000</v>
      </c>
      <c r="F17" s="408">
        <f>(9+12+76+34+31+200)*1000</f>
        <v>362000</v>
      </c>
      <c r="G17" s="408">
        <f>(408+12+48+35+31-200)*1000</f>
        <v>334000</v>
      </c>
      <c r="H17" s="408">
        <f>(46+12+20+19+31)*1000</f>
        <v>128000</v>
      </c>
      <c r="I17" s="408">
        <f>(12+2+2+31)*1000</f>
        <v>47000</v>
      </c>
      <c r="J17" s="408">
        <f>(12+237+346+31)*1000</f>
        <v>626000</v>
      </c>
      <c r="K17" s="408">
        <f>(1188+11+601+335+31)*1000</f>
        <v>2166000</v>
      </c>
      <c r="L17" s="408">
        <f>(10+12+27+35+31)*1000</f>
        <v>115000</v>
      </c>
      <c r="M17" s="408">
        <f>(852+11+76+12+31)*1000</f>
        <v>982000</v>
      </c>
      <c r="N17" s="408">
        <f>(241+11+34+15+29)*1000</f>
        <v>330000</v>
      </c>
      <c r="O17" s="407">
        <f t="shared" si="0"/>
        <v>7813000</v>
      </c>
    </row>
    <row r="18" spans="1:18" ht="15.75">
      <c r="A18" s="159" t="s">
        <v>103</v>
      </c>
      <c r="B18" s="160" t="s">
        <v>337</v>
      </c>
      <c r="C18" s="408">
        <v>853000</v>
      </c>
      <c r="D18" s="408">
        <v>853000</v>
      </c>
      <c r="E18" s="408">
        <v>870000</v>
      </c>
      <c r="F18" s="408">
        <v>829000</v>
      </c>
      <c r="G18" s="408">
        <f>1292000+4825255</f>
        <v>6117255</v>
      </c>
      <c r="H18" s="408">
        <v>850000</v>
      </c>
      <c r="I18" s="408">
        <v>880000</v>
      </c>
      <c r="J18" s="408">
        <v>820000</v>
      </c>
      <c r="K18" s="408">
        <v>850000</v>
      </c>
      <c r="L18" s="408">
        <v>850000</v>
      </c>
      <c r="M18" s="408">
        <v>850000</v>
      </c>
      <c r="N18" s="408">
        <f>850000+31219+350000</f>
        <v>1231219</v>
      </c>
      <c r="O18" s="407">
        <f t="shared" si="0"/>
        <v>15853474</v>
      </c>
      <c r="Q18" s="171"/>
      <c r="R18" s="171"/>
    </row>
    <row r="19" spans="1:15" ht="15.75">
      <c r="A19" s="159" t="s">
        <v>104</v>
      </c>
      <c r="B19" s="161" t="s">
        <v>240</v>
      </c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2"/>
      <c r="O19" s="407">
        <f t="shared" si="0"/>
        <v>0</v>
      </c>
    </row>
    <row r="20" spans="1:15" ht="31.5">
      <c r="A20" s="159"/>
      <c r="B20" s="160" t="s">
        <v>338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1"/>
      <c r="O20" s="407">
        <f t="shared" si="0"/>
        <v>0</v>
      </c>
    </row>
    <row r="21" spans="1:15" ht="17.25" customHeight="1">
      <c r="A21" s="159"/>
      <c r="B21" s="160" t="s">
        <v>339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1"/>
      <c r="O21" s="407">
        <f t="shared" si="0"/>
        <v>0</v>
      </c>
    </row>
    <row r="22" spans="1:15" ht="36.75" customHeight="1">
      <c r="A22" s="494" t="s">
        <v>110</v>
      </c>
      <c r="B22" s="160" t="s">
        <v>681</v>
      </c>
      <c r="C22" s="410"/>
      <c r="D22" s="410"/>
      <c r="E22" s="410"/>
      <c r="F22" s="410"/>
      <c r="G22" s="410"/>
      <c r="H22" s="410"/>
      <c r="I22" s="410"/>
      <c r="J22" s="410"/>
      <c r="K22" s="410"/>
      <c r="L22" s="410">
        <f>12630487+64999</f>
        <v>12695486</v>
      </c>
      <c r="M22" s="410">
        <v>40000000</v>
      </c>
      <c r="N22" s="411">
        <v>1250000</v>
      </c>
      <c r="O22" s="407">
        <f t="shared" si="0"/>
        <v>53945486</v>
      </c>
    </row>
    <row r="23" spans="1:15" ht="17.25" customHeight="1">
      <c r="A23" s="159" t="s">
        <v>246</v>
      </c>
      <c r="B23" s="160" t="s">
        <v>680</v>
      </c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1"/>
      <c r="O23" s="407">
        <f t="shared" si="0"/>
        <v>0</v>
      </c>
    </row>
    <row r="24" spans="1:15" ht="30" customHeight="1">
      <c r="A24" s="159" t="s">
        <v>248</v>
      </c>
      <c r="B24" s="161" t="s">
        <v>340</v>
      </c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1"/>
      <c r="O24" s="407">
        <f t="shared" si="0"/>
        <v>0</v>
      </c>
    </row>
    <row r="25" spans="1:15" ht="47.25">
      <c r="A25" s="159"/>
      <c r="B25" s="170" t="s">
        <v>341</v>
      </c>
      <c r="C25" s="414">
        <v>5000</v>
      </c>
      <c r="D25" s="414">
        <v>6000</v>
      </c>
      <c r="E25" s="414">
        <v>5000</v>
      </c>
      <c r="F25" s="414">
        <v>5000</v>
      </c>
      <c r="G25" s="414">
        <v>5000</v>
      </c>
      <c r="H25" s="414">
        <v>5000</v>
      </c>
      <c r="I25" s="414">
        <v>5000</v>
      </c>
      <c r="J25" s="414">
        <v>5000</v>
      </c>
      <c r="K25" s="414">
        <v>5000</v>
      </c>
      <c r="L25" s="414">
        <v>5800</v>
      </c>
      <c r="M25" s="414">
        <v>5000</v>
      </c>
      <c r="N25" s="414">
        <v>5000</v>
      </c>
      <c r="O25" s="407">
        <f t="shared" si="0"/>
        <v>61800</v>
      </c>
    </row>
    <row r="26" spans="1:15" ht="15.75">
      <c r="A26" s="159"/>
      <c r="B26" s="160" t="s">
        <v>342</v>
      </c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1"/>
      <c r="O26" s="407">
        <f t="shared" si="0"/>
        <v>0</v>
      </c>
    </row>
    <row r="27" spans="1:15" ht="15.75">
      <c r="A27" s="159" t="s">
        <v>250</v>
      </c>
      <c r="B27" s="161" t="s">
        <v>343</v>
      </c>
      <c r="C27" s="410"/>
      <c r="D27" s="410">
        <v>23131431</v>
      </c>
      <c r="E27" s="410">
        <f>64122+89764+17000</f>
        <v>170886</v>
      </c>
      <c r="F27" s="410">
        <f>120000+195900</f>
        <v>315900</v>
      </c>
      <c r="G27" s="410">
        <v>38415438</v>
      </c>
      <c r="H27" s="410"/>
      <c r="I27" s="410"/>
      <c r="J27" s="410"/>
      <c r="K27" s="410"/>
      <c r="L27" s="410"/>
      <c r="M27" s="410"/>
      <c r="N27" s="411"/>
      <c r="O27" s="407">
        <f t="shared" si="0"/>
        <v>62033655</v>
      </c>
    </row>
    <row r="28" spans="1:15" ht="15.75">
      <c r="A28" s="162" t="s">
        <v>257</v>
      </c>
      <c r="B28" s="163" t="s">
        <v>704</v>
      </c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1">
        <v>1417579</v>
      </c>
      <c r="O28" s="407">
        <f t="shared" si="0"/>
        <v>1417579</v>
      </c>
    </row>
    <row r="29" spans="1:15" ht="16.5" thickBot="1">
      <c r="A29" s="162" t="s">
        <v>257</v>
      </c>
      <c r="B29" s="163" t="s">
        <v>344</v>
      </c>
      <c r="C29" s="410"/>
      <c r="D29" s="410">
        <f aca="true" t="shared" si="1" ref="D29:N29">C51</f>
        <v>29256</v>
      </c>
      <c r="E29" s="410">
        <f t="shared" si="1"/>
        <v>20287850</v>
      </c>
      <c r="F29" s="410">
        <f t="shared" si="1"/>
        <v>11015869</v>
      </c>
      <c r="G29" s="410">
        <f t="shared" si="1"/>
        <v>9758786</v>
      </c>
      <c r="H29" s="410">
        <f t="shared" si="1"/>
        <v>48835316</v>
      </c>
      <c r="I29" s="410">
        <f t="shared" si="1"/>
        <v>12980766</v>
      </c>
      <c r="J29" s="410">
        <f t="shared" si="1"/>
        <v>11671901</v>
      </c>
      <c r="K29" s="410">
        <f t="shared" si="1"/>
        <v>11621100</v>
      </c>
      <c r="L29" s="410">
        <f t="shared" si="1"/>
        <v>10418804</v>
      </c>
      <c r="M29" s="410">
        <f t="shared" si="1"/>
        <v>8147734</v>
      </c>
      <c r="N29" s="410">
        <f t="shared" si="1"/>
        <v>4202223</v>
      </c>
      <c r="O29" s="407"/>
    </row>
    <row r="30" spans="1:16" s="17" customFormat="1" ht="27.75" customHeight="1" thickBot="1">
      <c r="A30" s="164"/>
      <c r="B30" s="164" t="s">
        <v>345</v>
      </c>
      <c r="C30" s="406">
        <f aca="true" t="shared" si="2" ref="C30:N30">SUM(C15:C29)</f>
        <v>4528353</v>
      </c>
      <c r="D30" s="406">
        <f t="shared" si="2"/>
        <v>26885593</v>
      </c>
      <c r="E30" s="406">
        <f t="shared" si="2"/>
        <v>25937642</v>
      </c>
      <c r="F30" s="406">
        <f t="shared" si="2"/>
        <v>14957381</v>
      </c>
      <c r="G30" s="406">
        <f t="shared" si="2"/>
        <v>57060092</v>
      </c>
      <c r="H30" s="406">
        <f t="shared" si="2"/>
        <v>52195027</v>
      </c>
      <c r="I30" s="406">
        <f t="shared" si="2"/>
        <v>17501915</v>
      </c>
      <c r="J30" s="406">
        <f t="shared" si="2"/>
        <v>22028719</v>
      </c>
      <c r="K30" s="406">
        <f t="shared" si="2"/>
        <v>17400308</v>
      </c>
      <c r="L30" s="406">
        <f t="shared" si="2"/>
        <v>27525996</v>
      </c>
      <c r="M30" s="406">
        <f t="shared" si="2"/>
        <v>52251548</v>
      </c>
      <c r="N30" s="406">
        <f t="shared" si="2"/>
        <v>10344056</v>
      </c>
      <c r="O30" s="405">
        <f>SUM(O14:O29)</f>
        <v>179647025</v>
      </c>
      <c r="P30" s="92"/>
    </row>
    <row r="31" spans="1:15" ht="15.75">
      <c r="A31" s="165"/>
      <c r="B31" s="166" t="s">
        <v>346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9"/>
    </row>
    <row r="32" spans="1:17" ht="15.75">
      <c r="A32" s="159" t="s">
        <v>259</v>
      </c>
      <c r="B32" s="161" t="s">
        <v>187</v>
      </c>
      <c r="C32" s="408">
        <f>1635000+6242+158310</f>
        <v>1799552</v>
      </c>
      <c r="D32" s="408">
        <f>1635000+6241+163060+17000</f>
        <v>1821301</v>
      </c>
      <c r="E32" s="408">
        <f>1635000+6242+163060+74764</f>
        <v>1879066</v>
      </c>
      <c r="F32" s="408">
        <f>1635000+4100+163060</f>
        <v>1802160</v>
      </c>
      <c r="G32" s="408">
        <f>195900+1635000+5900</f>
        <v>1836800</v>
      </c>
      <c r="H32" s="408">
        <f>1635000+5900+163060</f>
        <v>1803960</v>
      </c>
      <c r="I32" s="408">
        <f>1635000+5900+86728</f>
        <v>1727628</v>
      </c>
      <c r="J32" s="408">
        <f>1635000+5900+180452+49998+86728+54642+2371+28785</f>
        <v>2043876</v>
      </c>
      <c r="K32" s="408">
        <f>1635000+86728+5900+157988</f>
        <v>1885616</v>
      </c>
      <c r="L32" s="408">
        <f>1635000+5900+322000+163060</f>
        <v>2125960</v>
      </c>
      <c r="M32" s="408">
        <f>1635000+92000+373000+398100+365008+24999+163000</f>
        <v>3051107</v>
      </c>
      <c r="N32" s="408">
        <f>1635000+1113+492734</f>
        <v>2128847</v>
      </c>
      <c r="O32" s="407">
        <f aca="true" t="shared" si="3" ref="O32:O49">SUM(C32:N32)</f>
        <v>23905873</v>
      </c>
      <c r="P32" s="171"/>
      <c r="Q32" s="171"/>
    </row>
    <row r="33" spans="1:17" ht="31.5">
      <c r="A33" s="159" t="s">
        <v>261</v>
      </c>
      <c r="B33" s="170" t="s">
        <v>347</v>
      </c>
      <c r="C33" s="408">
        <f>380800+1373+21372</f>
        <v>403545</v>
      </c>
      <c r="D33" s="408">
        <f>380800+1373+17938</f>
        <v>400111</v>
      </c>
      <c r="E33" s="408">
        <f>380800+1373+17934</f>
        <v>400107</v>
      </c>
      <c r="F33" s="408">
        <f>380800+902+17936+15000</f>
        <v>414638</v>
      </c>
      <c r="G33" s="408">
        <f>380800+1298+17936</f>
        <v>400034</v>
      </c>
      <c r="H33" s="408">
        <f>380800+1298+8968</f>
        <v>391066</v>
      </c>
      <c r="I33" s="408">
        <f>380800+1298+8968</f>
        <v>391066</v>
      </c>
      <c r="J33" s="408">
        <f>380800+280+777+185+267+83980+1298</f>
        <v>467587</v>
      </c>
      <c r="K33" s="408">
        <f>380800+1298+34758</f>
        <v>416856</v>
      </c>
      <c r="L33" s="408">
        <f>380800+70840+17936</f>
        <v>469576</v>
      </c>
      <c r="M33" s="408">
        <f>380800+31482+82060+97419+80302+8555</f>
        <v>680618</v>
      </c>
      <c r="N33" s="408">
        <f>380800+299+126326</f>
        <v>507425</v>
      </c>
      <c r="O33" s="407">
        <f t="shared" si="3"/>
        <v>5342629</v>
      </c>
      <c r="Q33" s="171"/>
    </row>
    <row r="34" spans="1:17" ht="15.75">
      <c r="A34" s="159" t="s">
        <v>266</v>
      </c>
      <c r="B34" s="161" t="s">
        <v>189</v>
      </c>
      <c r="C34" s="408">
        <f>2391000-270000</f>
        <v>2121000</v>
      </c>
      <c r="D34" s="408">
        <f>2391000+64122</f>
        <v>2455122</v>
      </c>
      <c r="E34" s="408">
        <v>2391000</v>
      </c>
      <c r="F34" s="408">
        <v>2391000</v>
      </c>
      <c r="G34" s="408">
        <f>2391000-600000</f>
        <v>1791000</v>
      </c>
      <c r="H34" s="408">
        <f>2391000+499999</f>
        <v>2890999</v>
      </c>
      <c r="I34" s="408">
        <f>2391000+120000</f>
        <v>2511000</v>
      </c>
      <c r="J34" s="408">
        <f>2391000+120000+37789+9563-778-186-268+64999</f>
        <v>2622119</v>
      </c>
      <c r="K34" s="408">
        <f>2391000+606235+317500+499999</f>
        <v>3814734</v>
      </c>
      <c r="L34" s="408">
        <f>2391000+290830-1416875</f>
        <v>1264955</v>
      </c>
      <c r="M34" s="408">
        <f>2395000+711200</f>
        <v>3106200</v>
      </c>
      <c r="N34" s="408">
        <f>2391000+205+270000</f>
        <v>2661205</v>
      </c>
      <c r="O34" s="407">
        <f t="shared" si="3"/>
        <v>30020334</v>
      </c>
      <c r="P34" s="171"/>
      <c r="Q34" s="171"/>
    </row>
    <row r="35" spans="1:15" ht="15.75">
      <c r="A35" s="159" t="s">
        <v>268</v>
      </c>
      <c r="B35" s="161" t="s">
        <v>190</v>
      </c>
      <c r="C35" s="408">
        <f>150000</f>
        <v>150000</v>
      </c>
      <c r="D35" s="408">
        <v>150000</v>
      </c>
      <c r="E35" s="408">
        <v>150000</v>
      </c>
      <c r="F35" s="408">
        <v>150000</v>
      </c>
      <c r="G35" s="408">
        <v>150000</v>
      </c>
      <c r="H35" s="408">
        <f>150000-80000</f>
        <v>70000</v>
      </c>
      <c r="I35" s="408">
        <f>150000-120000</f>
        <v>30000</v>
      </c>
      <c r="J35" s="408">
        <f>150000+350000</f>
        <v>500000</v>
      </c>
      <c r="K35" s="408">
        <f>150000</f>
        <v>150000</v>
      </c>
      <c r="L35" s="408">
        <v>150000</v>
      </c>
      <c r="M35" s="408">
        <f>150000+61400</f>
        <v>211400</v>
      </c>
      <c r="N35" s="408">
        <v>1000000</v>
      </c>
      <c r="O35" s="407">
        <f t="shared" si="3"/>
        <v>2861400</v>
      </c>
    </row>
    <row r="36" spans="1:15" ht="15.75">
      <c r="A36" s="159" t="s">
        <v>270</v>
      </c>
      <c r="B36" s="161" t="s">
        <v>348</v>
      </c>
      <c r="C36" s="408"/>
      <c r="D36" s="408"/>
      <c r="E36" s="408"/>
      <c r="F36" s="408"/>
      <c r="G36" s="408"/>
      <c r="H36" s="408"/>
      <c r="I36" s="408"/>
      <c r="J36" s="408">
        <v>25000</v>
      </c>
      <c r="K36" s="408"/>
      <c r="L36" s="408"/>
      <c r="M36" s="408"/>
      <c r="N36" s="408"/>
      <c r="O36" s="407">
        <f t="shared" si="3"/>
        <v>25000</v>
      </c>
    </row>
    <row r="37" spans="1:15" ht="15.75">
      <c r="A37" s="159"/>
      <c r="B37" s="161" t="s">
        <v>349</v>
      </c>
      <c r="C37" s="408">
        <v>25000</v>
      </c>
      <c r="D37" s="408"/>
      <c r="E37" s="408"/>
      <c r="F37" s="408"/>
      <c r="G37" s="408"/>
      <c r="H37" s="408">
        <v>600000</v>
      </c>
      <c r="I37" s="408"/>
      <c r="J37" s="408"/>
      <c r="K37" s="408"/>
      <c r="L37" s="408"/>
      <c r="M37" s="408"/>
      <c r="N37" s="408"/>
      <c r="O37" s="407">
        <f t="shared" si="3"/>
        <v>625000</v>
      </c>
    </row>
    <row r="38" spans="1:16" ht="15.75">
      <c r="A38" s="159"/>
      <c r="B38" s="161" t="s">
        <v>350</v>
      </c>
      <c r="C38" s="408"/>
      <c r="D38" s="408">
        <v>50000</v>
      </c>
      <c r="E38" s="408"/>
      <c r="F38" s="408">
        <v>40000</v>
      </c>
      <c r="G38" s="408">
        <v>209100</v>
      </c>
      <c r="H38" s="408">
        <f>675000-25000-25000</f>
        <v>625000</v>
      </c>
      <c r="I38" s="408">
        <f>40000+80000</f>
        <v>120000</v>
      </c>
      <c r="J38" s="408">
        <f>40000+190000</f>
        <v>230000</v>
      </c>
      <c r="K38" s="408">
        <f>40000+50000</f>
        <v>90000</v>
      </c>
      <c r="L38" s="408">
        <v>69730</v>
      </c>
      <c r="M38" s="408"/>
      <c r="N38" s="408"/>
      <c r="O38" s="407">
        <f t="shared" si="3"/>
        <v>1433830</v>
      </c>
      <c r="P38" s="171"/>
    </row>
    <row r="39" spans="1:15" ht="15.75">
      <c r="A39" s="159" t="s">
        <v>277</v>
      </c>
      <c r="B39" s="161" t="s">
        <v>193</v>
      </c>
      <c r="C39" s="408"/>
      <c r="D39" s="408"/>
      <c r="E39" s="408">
        <v>101600</v>
      </c>
      <c r="F39" s="408">
        <f>179959+51816+9144+13208+26670</f>
        <v>280797</v>
      </c>
      <c r="G39" s="408"/>
      <c r="H39" s="408"/>
      <c r="I39" s="408"/>
      <c r="J39" s="408">
        <v>1181000</v>
      </c>
      <c r="K39" s="408"/>
      <c r="L39" s="408">
        <v>387845</v>
      </c>
      <c r="M39" s="408">
        <v>1000000</v>
      </c>
      <c r="N39" s="408">
        <v>1379000</v>
      </c>
      <c r="O39" s="407">
        <f t="shared" si="3"/>
        <v>4330242</v>
      </c>
    </row>
    <row r="40" spans="1:15" ht="15.75">
      <c r="A40" s="159" t="s">
        <v>280</v>
      </c>
      <c r="B40" s="161" t="s">
        <v>77</v>
      </c>
      <c r="C40" s="408"/>
      <c r="D40" s="408"/>
      <c r="E40" s="408">
        <v>10000000</v>
      </c>
      <c r="F40" s="408">
        <v>120000</v>
      </c>
      <c r="G40" s="408"/>
      <c r="H40" s="408"/>
      <c r="I40" s="408"/>
      <c r="J40" s="408"/>
      <c r="K40" s="408"/>
      <c r="L40" s="408">
        <f>12630487+2228909+50800</f>
        <v>14910196</v>
      </c>
      <c r="M40" s="408">
        <v>40000000</v>
      </c>
      <c r="N40" s="408">
        <v>1250000</v>
      </c>
      <c r="O40" s="407">
        <f t="shared" si="3"/>
        <v>66280196</v>
      </c>
    </row>
    <row r="41" spans="1:15" ht="20.25" customHeight="1">
      <c r="A41" s="159" t="s">
        <v>282</v>
      </c>
      <c r="B41" s="161" t="s">
        <v>271</v>
      </c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7">
        <f t="shared" si="3"/>
        <v>0</v>
      </c>
    </row>
    <row r="42" spans="1:15" ht="20.25" customHeight="1">
      <c r="A42" s="159"/>
      <c r="B42" s="161" t="s">
        <v>349</v>
      </c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7">
        <f t="shared" si="3"/>
        <v>0</v>
      </c>
    </row>
    <row r="43" spans="1:15" ht="15.75">
      <c r="A43" s="159"/>
      <c r="B43" s="161" t="s">
        <v>350</v>
      </c>
      <c r="C43" s="408"/>
      <c r="D43" s="408">
        <v>600000</v>
      </c>
      <c r="E43" s="408"/>
      <c r="F43" s="408"/>
      <c r="G43" s="408"/>
      <c r="H43" s="408"/>
      <c r="I43" s="408"/>
      <c r="J43" s="408">
        <v>600000</v>
      </c>
      <c r="K43" s="408"/>
      <c r="L43" s="408"/>
      <c r="M43" s="408"/>
      <c r="N43" s="408"/>
      <c r="O43" s="407">
        <f t="shared" si="3"/>
        <v>1200000</v>
      </c>
    </row>
    <row r="44" spans="1:15" ht="15.75">
      <c r="A44" s="159" t="s">
        <v>353</v>
      </c>
      <c r="B44" s="161" t="s">
        <v>186</v>
      </c>
      <c r="C44" s="408"/>
      <c r="D44" s="408"/>
      <c r="E44" s="408"/>
      <c r="F44" s="408"/>
      <c r="G44" s="408"/>
      <c r="H44" s="408"/>
      <c r="I44" s="408"/>
      <c r="J44" s="408"/>
      <c r="K44" s="408"/>
      <c r="L44" s="408"/>
      <c r="M44" s="408"/>
      <c r="N44" s="408"/>
      <c r="O44" s="407">
        <f t="shared" si="3"/>
        <v>0</v>
      </c>
    </row>
    <row r="45" spans="1:15" ht="15.75">
      <c r="A45" s="159"/>
      <c r="B45" s="237" t="s">
        <v>469</v>
      </c>
      <c r="C45" s="408"/>
      <c r="D45" s="408">
        <v>1121209</v>
      </c>
      <c r="E45" s="408"/>
      <c r="F45" s="408"/>
      <c r="G45" s="408"/>
      <c r="H45" s="408"/>
      <c r="I45" s="408"/>
      <c r="J45" s="408"/>
      <c r="K45" s="408"/>
      <c r="L45" s="408"/>
      <c r="M45" s="408"/>
      <c r="N45" s="408">
        <v>1417579</v>
      </c>
      <c r="O45" s="407">
        <f t="shared" si="3"/>
        <v>2538788</v>
      </c>
    </row>
    <row r="46" spans="1:15" ht="15.75">
      <c r="A46" s="159"/>
      <c r="B46" s="161" t="s">
        <v>351</v>
      </c>
      <c r="C46" s="408"/>
      <c r="D46" s="408"/>
      <c r="E46" s="408"/>
      <c r="F46" s="408"/>
      <c r="G46" s="408"/>
      <c r="H46" s="408"/>
      <c r="I46" s="408"/>
      <c r="J46" s="408"/>
      <c r="K46" s="408"/>
      <c r="L46" s="408"/>
      <c r="M46" s="408"/>
      <c r="N46" s="408"/>
      <c r="O46" s="407">
        <f t="shared" si="3"/>
        <v>0</v>
      </c>
    </row>
    <row r="47" spans="1:15" ht="15.75">
      <c r="A47" s="159"/>
      <c r="B47" s="161" t="s">
        <v>352</v>
      </c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7">
        <f t="shared" si="3"/>
        <v>0</v>
      </c>
    </row>
    <row r="48" spans="1:16" ht="15.75">
      <c r="A48" s="159" t="s">
        <v>355</v>
      </c>
      <c r="B48" s="161" t="s">
        <v>354</v>
      </c>
      <c r="C48" s="408"/>
      <c r="D48" s="408"/>
      <c r="E48" s="408"/>
      <c r="F48" s="408"/>
      <c r="G48" s="408">
        <f>4825255-599568-387845</f>
        <v>3837842</v>
      </c>
      <c r="H48" s="408">
        <f>38415438-499999-2228909-40000-50000-317500-499999-392840-123482-455060-495519-478894</f>
        <v>32833236</v>
      </c>
      <c r="I48" s="408">
        <f>1240320-190000</f>
        <v>1050320</v>
      </c>
      <c r="J48" s="408">
        <f>3944762+115989+806700+65080-1181000-606235-120000-287259</f>
        <v>2738037</v>
      </c>
      <c r="K48" s="408">
        <f>326400+28998+268900</f>
        <v>624298</v>
      </c>
      <c r="L48" s="408"/>
      <c r="M48" s="408"/>
      <c r="N48" s="408"/>
      <c r="O48" s="407">
        <f t="shared" si="3"/>
        <v>41083733</v>
      </c>
      <c r="P48" s="171"/>
    </row>
    <row r="49" spans="1:15" ht="16.5" thickBot="1">
      <c r="A49" s="162" t="s">
        <v>490</v>
      </c>
      <c r="B49" s="163" t="s">
        <v>356</v>
      </c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7">
        <f t="shared" si="3"/>
        <v>0</v>
      </c>
    </row>
    <row r="50" spans="1:19" s="17" customFormat="1" ht="24" customHeight="1" thickBot="1">
      <c r="A50" s="164"/>
      <c r="B50" s="164" t="s">
        <v>357</v>
      </c>
      <c r="C50" s="406">
        <f aca="true" t="shared" si="4" ref="C50:O50">SUM(C32:C49)</f>
        <v>4499097</v>
      </c>
      <c r="D50" s="406">
        <f t="shared" si="4"/>
        <v>6597743</v>
      </c>
      <c r="E50" s="406">
        <f t="shared" si="4"/>
        <v>14921773</v>
      </c>
      <c r="F50" s="406">
        <f t="shared" si="4"/>
        <v>5198595</v>
      </c>
      <c r="G50" s="406">
        <f t="shared" si="4"/>
        <v>8224776</v>
      </c>
      <c r="H50" s="406">
        <f t="shared" si="4"/>
        <v>39214261</v>
      </c>
      <c r="I50" s="406">
        <f t="shared" si="4"/>
        <v>5830014</v>
      </c>
      <c r="J50" s="406">
        <f t="shared" si="4"/>
        <v>10407619</v>
      </c>
      <c r="K50" s="406">
        <f t="shared" si="4"/>
        <v>6981504</v>
      </c>
      <c r="L50" s="406">
        <f t="shared" si="4"/>
        <v>19378262</v>
      </c>
      <c r="M50" s="406">
        <f t="shared" si="4"/>
        <v>48049325</v>
      </c>
      <c r="N50" s="406">
        <f t="shared" si="4"/>
        <v>10344056</v>
      </c>
      <c r="O50" s="405">
        <f t="shared" si="4"/>
        <v>179647025</v>
      </c>
      <c r="S50" s="167"/>
    </row>
    <row r="51" spans="1:15" ht="26.25" customHeight="1" thickBot="1">
      <c r="A51" s="168"/>
      <c r="B51" s="169" t="s">
        <v>358</v>
      </c>
      <c r="C51" s="404">
        <f aca="true" t="shared" si="5" ref="C51:N51">C30-C50</f>
        <v>29256</v>
      </c>
      <c r="D51" s="404">
        <f t="shared" si="5"/>
        <v>20287850</v>
      </c>
      <c r="E51" s="404">
        <f t="shared" si="5"/>
        <v>11015869</v>
      </c>
      <c r="F51" s="404">
        <f t="shared" si="5"/>
        <v>9758786</v>
      </c>
      <c r="G51" s="404">
        <f t="shared" si="5"/>
        <v>48835316</v>
      </c>
      <c r="H51" s="404">
        <f t="shared" si="5"/>
        <v>12980766</v>
      </c>
      <c r="I51" s="404">
        <f t="shared" si="5"/>
        <v>11671901</v>
      </c>
      <c r="J51" s="404">
        <f t="shared" si="5"/>
        <v>11621100</v>
      </c>
      <c r="K51" s="404">
        <f t="shared" si="5"/>
        <v>10418804</v>
      </c>
      <c r="L51" s="404">
        <f t="shared" si="5"/>
        <v>8147734</v>
      </c>
      <c r="M51" s="404">
        <f t="shared" si="5"/>
        <v>4202223</v>
      </c>
      <c r="N51" s="404">
        <f t="shared" si="5"/>
        <v>0</v>
      </c>
      <c r="O51" s="403"/>
    </row>
    <row r="53" spans="3:15" ht="15.75"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</row>
    <row r="54" ht="15.75">
      <c r="O54" s="402"/>
    </row>
    <row r="55" ht="15.75">
      <c r="O55" s="402"/>
    </row>
    <row r="56" ht="15.75">
      <c r="O56" s="402"/>
    </row>
    <row r="57" ht="15.75">
      <c r="O57" s="402"/>
    </row>
  </sheetData>
  <sheetProtection password="AF00" sheet="1"/>
  <mergeCells count="7">
    <mergeCell ref="A1:O1"/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E2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75390625" style="24" customWidth="1"/>
    <col min="2" max="2" width="56.25390625" style="24" customWidth="1"/>
    <col min="3" max="3" width="17.875" style="24" customWidth="1"/>
    <col min="4" max="4" width="4.875" style="24" customWidth="1"/>
    <col min="5" max="16384" width="9.125" style="24" customWidth="1"/>
  </cols>
  <sheetData>
    <row r="1" spans="1:5" ht="15.75">
      <c r="A1" s="541" t="s">
        <v>633</v>
      </c>
      <c r="B1" s="541"/>
      <c r="C1" s="541"/>
      <c r="D1" s="87"/>
      <c r="E1" s="23"/>
    </row>
    <row r="2" spans="1:5" ht="15.75">
      <c r="A2" s="25"/>
      <c r="B2" s="25"/>
      <c r="C2" s="25"/>
      <c r="D2" s="26"/>
      <c r="E2" s="23"/>
    </row>
    <row r="3" spans="1:5" ht="12.75" customHeight="1">
      <c r="A3" s="26"/>
      <c r="B3" s="26"/>
      <c r="C3" s="26"/>
      <c r="D3" s="26"/>
      <c r="E3" s="23"/>
    </row>
    <row r="4" spans="1:5" ht="15.75">
      <c r="A4" s="652" t="s">
        <v>4</v>
      </c>
      <c r="B4" s="652"/>
      <c r="C4" s="652"/>
      <c r="D4" s="652"/>
      <c r="E4" s="23"/>
    </row>
    <row r="5" spans="1:5" ht="15.75">
      <c r="A5" s="652" t="s">
        <v>24</v>
      </c>
      <c r="B5" s="652"/>
      <c r="C5" s="652"/>
      <c r="D5" s="652"/>
      <c r="E5" s="23"/>
    </row>
    <row r="6" spans="1:5" ht="15.75">
      <c r="A6" s="652" t="s">
        <v>500</v>
      </c>
      <c r="B6" s="652"/>
      <c r="C6" s="652"/>
      <c r="D6" s="652"/>
      <c r="E6" s="23"/>
    </row>
    <row r="7" spans="1:5" ht="15.75">
      <c r="A7" s="25"/>
      <c r="B7" s="25"/>
      <c r="C7" s="25"/>
      <c r="D7" s="23"/>
      <c r="E7" s="23"/>
    </row>
    <row r="8" spans="1:5" ht="15.75">
      <c r="A8" s="25"/>
      <c r="B8" s="25"/>
      <c r="C8" s="25"/>
      <c r="D8" s="23"/>
      <c r="E8" s="23"/>
    </row>
    <row r="9" spans="1:5" ht="15.75">
      <c r="A9" s="25"/>
      <c r="B9" s="25"/>
      <c r="C9" s="25"/>
      <c r="D9" s="23"/>
      <c r="E9" s="23"/>
    </row>
    <row r="10" spans="1:5" ht="15.75">
      <c r="A10" s="25"/>
      <c r="B10" s="25"/>
      <c r="C10" s="25"/>
      <c r="D10" s="23"/>
      <c r="E10" s="23"/>
    </row>
    <row r="11" spans="1:5" ht="15.75">
      <c r="A11" s="25"/>
      <c r="B11" s="27" t="s">
        <v>12</v>
      </c>
      <c r="C11" s="25"/>
      <c r="D11" s="23"/>
      <c r="E11" s="23"/>
    </row>
    <row r="12" spans="1:5" ht="10.5" customHeight="1">
      <c r="A12" s="25"/>
      <c r="B12" s="27"/>
      <c r="C12" s="25"/>
      <c r="D12" s="23"/>
      <c r="E12" s="23"/>
    </row>
    <row r="13" spans="1:5" ht="12" customHeight="1">
      <c r="A13" s="25"/>
      <c r="B13" s="27"/>
      <c r="C13" s="28"/>
      <c r="D13" s="23"/>
      <c r="E13" s="23"/>
    </row>
    <row r="14" spans="1:3" s="32" customFormat="1" ht="15">
      <c r="A14" s="29"/>
      <c r="B14" s="30" t="s">
        <v>13</v>
      </c>
      <c r="C14" s="31"/>
    </row>
    <row r="15" spans="1:5" ht="19.5" customHeight="1">
      <c r="A15" s="33"/>
      <c r="B15" s="23" t="s">
        <v>14</v>
      </c>
      <c r="C15" s="34">
        <v>1845000</v>
      </c>
      <c r="D15" s="23" t="s">
        <v>1</v>
      </c>
      <c r="E15" s="23"/>
    </row>
    <row r="16" spans="1:5" ht="19.5" customHeight="1">
      <c r="A16" s="23"/>
      <c r="B16" s="26" t="s">
        <v>15</v>
      </c>
      <c r="C16" s="35">
        <f>SUM(C15)</f>
        <v>1845000</v>
      </c>
      <c r="D16" s="26" t="s">
        <v>1</v>
      </c>
      <c r="E16" s="23"/>
    </row>
    <row r="17" spans="1:5" ht="19.5" customHeight="1">
      <c r="A17" s="23"/>
      <c r="B17" s="26"/>
      <c r="C17" s="35"/>
      <c r="D17" s="26"/>
      <c r="E17" s="23"/>
    </row>
    <row r="18" spans="1:5" ht="19.5" customHeight="1">
      <c r="A18" s="23"/>
      <c r="B18" s="26"/>
      <c r="C18" s="35"/>
      <c r="D18" s="26"/>
      <c r="E18" s="23"/>
    </row>
    <row r="19" spans="1:5" ht="10.5" customHeight="1">
      <c r="A19" s="23"/>
      <c r="B19" s="26"/>
      <c r="C19" s="35"/>
      <c r="D19" s="26"/>
      <c r="E19" s="23"/>
    </row>
    <row r="20" spans="1:5" ht="15.75">
      <c r="A20" s="23"/>
      <c r="B20" s="75"/>
      <c r="C20" s="23"/>
      <c r="D20" s="23"/>
      <c r="E20" s="23"/>
    </row>
    <row r="21" spans="1:5" ht="15.75">
      <c r="A21" s="23"/>
      <c r="B21" s="23"/>
      <c r="C21" s="23"/>
      <c r="D21" s="23"/>
      <c r="E21" s="23"/>
    </row>
    <row r="22" spans="1:5" ht="15.75">
      <c r="A22" s="23"/>
      <c r="B22" s="23"/>
      <c r="C22" s="23"/>
      <c r="D22" s="23"/>
      <c r="E22" s="23"/>
    </row>
    <row r="23" spans="1:5" ht="15.75">
      <c r="A23" s="23"/>
      <c r="B23" s="23"/>
      <c r="C23" s="23"/>
      <c r="D23" s="23"/>
      <c r="E23" s="23"/>
    </row>
    <row r="24" spans="1:5" ht="15.75">
      <c r="A24" s="23"/>
      <c r="B24" s="23"/>
      <c r="C24" s="23"/>
      <c r="D24" s="23"/>
      <c r="E24" s="23"/>
    </row>
    <row r="25" spans="1:5" ht="15.75">
      <c r="A25" s="23"/>
      <c r="B25" s="23"/>
      <c r="C25" s="23"/>
      <c r="D25" s="23"/>
      <c r="E25" s="23"/>
    </row>
    <row r="26" spans="1:5" ht="15.75">
      <c r="A26" s="23"/>
      <c r="B26" s="23"/>
      <c r="C26" s="23"/>
      <c r="D26" s="23"/>
      <c r="E26" s="23"/>
    </row>
    <row r="27" spans="1:5" ht="15.75">
      <c r="A27" s="23"/>
      <c r="B27" s="23"/>
      <c r="C27" s="23"/>
      <c r="D27" s="23"/>
      <c r="E27" s="23"/>
    </row>
    <row r="28" spans="1:5" ht="15.75">
      <c r="A28" s="23"/>
      <c r="B28" s="23"/>
      <c r="C28" s="23"/>
      <c r="D28" s="23"/>
      <c r="E28" s="23"/>
    </row>
  </sheetData>
  <sheetProtection password="AF00" sheet="1" selectLockedCells="1" selectUnlockedCells="1"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1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5" width="11.875" style="1" customWidth="1"/>
    <col min="6" max="6" width="12.375" style="1" customWidth="1"/>
    <col min="7" max="16384" width="9.125" style="1" customWidth="1"/>
  </cols>
  <sheetData>
    <row r="1" spans="1:6" ht="15.75">
      <c r="A1" s="541" t="s">
        <v>634</v>
      </c>
      <c r="B1" s="541"/>
      <c r="C1" s="541"/>
      <c r="D1" s="541"/>
      <c r="E1" s="541"/>
      <c r="F1" s="541"/>
    </row>
    <row r="3" spans="1:6" ht="12.75">
      <c r="A3" s="512"/>
      <c r="B3" s="512"/>
      <c r="C3" s="512"/>
      <c r="D3" s="512"/>
      <c r="E3" s="512"/>
      <c r="F3" s="512"/>
    </row>
    <row r="4" spans="1:7" ht="14.25">
      <c r="A4" s="649"/>
      <c r="B4" s="649"/>
      <c r="C4" s="649"/>
      <c r="D4" s="649"/>
      <c r="E4" s="649"/>
      <c r="F4" s="649"/>
      <c r="G4" s="53"/>
    </row>
    <row r="5" spans="1:7" ht="14.25">
      <c r="A5" s="649" t="s">
        <v>291</v>
      </c>
      <c r="B5" s="649"/>
      <c r="C5" s="649"/>
      <c r="D5" s="649"/>
      <c r="E5" s="649"/>
      <c r="F5" s="649"/>
      <c r="G5" s="53"/>
    </row>
    <row r="6" spans="1:7" s="5" customFormat="1" ht="15.75">
      <c r="A6" s="518" t="s">
        <v>292</v>
      </c>
      <c r="B6" s="518"/>
      <c r="C6" s="518"/>
      <c r="D6" s="518"/>
      <c r="E6" s="518"/>
      <c r="F6" s="518"/>
      <c r="G6" s="44"/>
    </row>
    <row r="7" spans="1:7" s="5" customFormat="1" ht="15.75">
      <c r="A7" s="518" t="s">
        <v>549</v>
      </c>
      <c r="B7" s="518"/>
      <c r="C7" s="518"/>
      <c r="D7" s="518"/>
      <c r="E7" s="518"/>
      <c r="F7" s="518"/>
      <c r="G7" s="44"/>
    </row>
    <row r="8" spans="1:6" s="5" customFormat="1" ht="13.5" thickBot="1">
      <c r="A8" s="54"/>
      <c r="B8" s="54"/>
      <c r="C8" s="54"/>
      <c r="D8" s="54"/>
      <c r="E8" s="54"/>
      <c r="F8" s="55" t="s">
        <v>5</v>
      </c>
    </row>
    <row r="9" spans="1:6" s="58" customFormat="1" ht="22.5" customHeight="1" thickTop="1">
      <c r="A9" s="56" t="s">
        <v>41</v>
      </c>
      <c r="B9" s="57"/>
      <c r="C9" s="660" t="s">
        <v>62</v>
      </c>
      <c r="D9" s="660" t="s">
        <v>63</v>
      </c>
      <c r="E9" s="660" t="s">
        <v>64</v>
      </c>
      <c r="F9" s="655" t="s">
        <v>65</v>
      </c>
    </row>
    <row r="10" spans="1:6" s="58" customFormat="1" ht="12.75">
      <c r="A10" s="59"/>
      <c r="B10" s="60" t="s">
        <v>66</v>
      </c>
      <c r="C10" s="661"/>
      <c r="D10" s="661"/>
      <c r="E10" s="661"/>
      <c r="F10" s="656"/>
    </row>
    <row r="11" spans="1:6" s="58" customFormat="1" ht="13.5" thickBot="1">
      <c r="A11" s="61" t="s">
        <v>42</v>
      </c>
      <c r="B11" s="62"/>
      <c r="C11" s="662"/>
      <c r="D11" s="662"/>
      <c r="E11" s="662"/>
      <c r="F11" s="657"/>
    </row>
    <row r="12" spans="1:6" s="58" customFormat="1" ht="12.75">
      <c r="A12" s="663" t="s">
        <v>43</v>
      </c>
      <c r="B12" s="665" t="s">
        <v>67</v>
      </c>
      <c r="C12" s="658">
        <v>1887</v>
      </c>
      <c r="D12" s="658">
        <v>1887</v>
      </c>
      <c r="E12" s="658">
        <v>1887</v>
      </c>
      <c r="F12" s="653">
        <f>SUM(C12:E17)</f>
        <v>5661</v>
      </c>
    </row>
    <row r="13" spans="1:6" s="58" customFormat="1" ht="15" customHeight="1">
      <c r="A13" s="664"/>
      <c r="B13" s="666"/>
      <c r="C13" s="659"/>
      <c r="D13" s="659"/>
      <c r="E13" s="659"/>
      <c r="F13" s="654"/>
    </row>
    <row r="14" spans="1:6" s="58" customFormat="1" ht="15" customHeight="1">
      <c r="A14" s="664"/>
      <c r="B14" s="63" t="s">
        <v>68</v>
      </c>
      <c r="C14" s="659"/>
      <c r="D14" s="659"/>
      <c r="E14" s="659"/>
      <c r="F14" s="654"/>
    </row>
    <row r="15" spans="1:6" s="58" customFormat="1" ht="25.5">
      <c r="A15" s="664"/>
      <c r="B15" s="63" t="s">
        <v>293</v>
      </c>
      <c r="C15" s="659"/>
      <c r="D15" s="659"/>
      <c r="E15" s="659"/>
      <c r="F15" s="654"/>
    </row>
    <row r="16" spans="1:6" s="58" customFormat="1" ht="12.75">
      <c r="A16" s="664"/>
      <c r="B16" s="64" t="s">
        <v>69</v>
      </c>
      <c r="C16" s="659"/>
      <c r="D16" s="659"/>
      <c r="E16" s="659"/>
      <c r="F16" s="654"/>
    </row>
    <row r="17" spans="1:6" s="58" customFormat="1" ht="13.5" thickBot="1">
      <c r="A17" s="664"/>
      <c r="B17" s="65" t="s">
        <v>70</v>
      </c>
      <c r="C17" s="659"/>
      <c r="D17" s="659"/>
      <c r="E17" s="659"/>
      <c r="F17" s="654"/>
    </row>
    <row r="18" spans="1:7" s="71" customFormat="1" ht="40.5" customHeight="1" thickBot="1" thickTop="1">
      <c r="A18" s="66"/>
      <c r="B18" s="67" t="s">
        <v>71</v>
      </c>
      <c r="C18" s="68">
        <f>SUM(C12:C17)</f>
        <v>1887</v>
      </c>
      <c r="D18" s="68">
        <f>SUM(D12:D17)</f>
        <v>1887</v>
      </c>
      <c r="E18" s="68">
        <f>SUM(E12:E17)</f>
        <v>1887</v>
      </c>
      <c r="F18" s="69">
        <f>SUM(F12:F17)</f>
        <v>5661</v>
      </c>
      <c r="G18" s="70"/>
    </row>
    <row r="19" spans="1:5" s="71" customFormat="1" ht="27" customHeight="1">
      <c r="A19" s="72"/>
      <c r="B19" s="73"/>
      <c r="C19" s="74"/>
      <c r="D19" s="74"/>
      <c r="E19" s="74"/>
    </row>
  </sheetData>
  <sheetProtection password="AF00" sheet="1" selectLockedCells="1" selectUnlockedCells="1"/>
  <mergeCells count="16">
    <mergeCell ref="B12:B13"/>
    <mergeCell ref="A6:F6"/>
    <mergeCell ref="A7:F7"/>
    <mergeCell ref="A5:F5"/>
    <mergeCell ref="C9:C11"/>
    <mergeCell ref="E9:E11"/>
    <mergeCell ref="A1:F1"/>
    <mergeCell ref="F12:F17"/>
    <mergeCell ref="F9:F11"/>
    <mergeCell ref="C12:C17"/>
    <mergeCell ref="D12:D17"/>
    <mergeCell ref="D9:D11"/>
    <mergeCell ref="E12:E17"/>
    <mergeCell ref="A3:F3"/>
    <mergeCell ref="A4:F4"/>
    <mergeCell ref="A12:A17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2:P30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5.875" style="36" customWidth="1"/>
    <col min="2" max="2" width="37.375" style="36" customWidth="1"/>
    <col min="3" max="3" width="9.625" style="36" customWidth="1"/>
    <col min="4" max="15" width="15.75390625" style="36" customWidth="1"/>
    <col min="16" max="16" width="13.625" style="36" bestFit="1" customWidth="1"/>
    <col min="17" max="16384" width="9.125" style="36" customWidth="1"/>
  </cols>
  <sheetData>
    <row r="2" spans="1:15" ht="15.75">
      <c r="A2" s="708" t="s">
        <v>635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</row>
    <row r="3" spans="1:15" ht="15.75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</row>
    <row r="4" spans="2:15" ht="15.75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</row>
    <row r="6" spans="1:15" ht="15.75">
      <c r="A6" s="511" t="s">
        <v>40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</row>
    <row r="7" spans="1:15" ht="15.75">
      <c r="A7" s="511" t="s">
        <v>367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</row>
    <row r="8" spans="1:15" ht="15.75">
      <c r="A8" s="511" t="s">
        <v>501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</row>
    <row r="9" spans="1:15" ht="15.7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</row>
    <row r="10" spans="1:15" ht="15.7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1" ht="16.5" thickBot="1">
      <c r="O11" s="174" t="s">
        <v>502</v>
      </c>
    </row>
    <row r="12" spans="1:15" ht="32.25" customHeight="1" thickTop="1">
      <c r="A12" s="695" t="s">
        <v>368</v>
      </c>
      <c r="B12" s="684" t="s">
        <v>369</v>
      </c>
      <c r="C12" s="684" t="s">
        <v>370</v>
      </c>
      <c r="D12" s="687" t="s">
        <v>371</v>
      </c>
      <c r="E12" s="687"/>
      <c r="F12" s="688"/>
      <c r="G12" s="687" t="s">
        <v>372</v>
      </c>
      <c r="H12" s="687"/>
      <c r="I12" s="688"/>
      <c r="J12" s="687" t="s">
        <v>65</v>
      </c>
      <c r="K12" s="687"/>
      <c r="L12" s="688"/>
      <c r="M12" s="671" t="s">
        <v>373</v>
      </c>
      <c r="N12" s="672"/>
      <c r="O12" s="673"/>
    </row>
    <row r="13" spans="1:15" ht="16.5" thickBot="1">
      <c r="A13" s="685"/>
      <c r="B13" s="685"/>
      <c r="C13" s="685"/>
      <c r="D13" s="689"/>
      <c r="E13" s="689"/>
      <c r="F13" s="690"/>
      <c r="G13" s="689"/>
      <c r="H13" s="689"/>
      <c r="I13" s="690"/>
      <c r="J13" s="689"/>
      <c r="K13" s="689"/>
      <c r="L13" s="690"/>
      <c r="M13" s="674"/>
      <c r="N13" s="675"/>
      <c r="O13" s="670"/>
    </row>
    <row r="14" spans="1:15" ht="15.75">
      <c r="A14" s="685"/>
      <c r="B14" s="685"/>
      <c r="C14" s="685"/>
      <c r="D14" s="676" t="s">
        <v>377</v>
      </c>
      <c r="E14" s="676" t="s">
        <v>378</v>
      </c>
      <c r="F14" s="676" t="s">
        <v>536</v>
      </c>
      <c r="G14" s="676" t="s">
        <v>377</v>
      </c>
      <c r="H14" s="676" t="s">
        <v>378</v>
      </c>
      <c r="I14" s="676" t="s">
        <v>536</v>
      </c>
      <c r="J14" s="676" t="s">
        <v>377</v>
      </c>
      <c r="K14" s="676" t="s">
        <v>378</v>
      </c>
      <c r="L14" s="676" t="s">
        <v>536</v>
      </c>
      <c r="M14" s="676" t="s">
        <v>374</v>
      </c>
      <c r="N14" s="667" t="s">
        <v>372</v>
      </c>
      <c r="O14" s="669" t="s">
        <v>375</v>
      </c>
    </row>
    <row r="15" spans="1:15" ht="16.5" thickBot="1">
      <c r="A15" s="686"/>
      <c r="B15" s="686"/>
      <c r="C15" s="686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68"/>
      <c r="O15" s="670"/>
    </row>
    <row r="16" spans="1:16" ht="26.25" customHeight="1">
      <c r="A16" s="718" t="s">
        <v>43</v>
      </c>
      <c r="B16" s="696" t="s">
        <v>380</v>
      </c>
      <c r="C16" s="691"/>
      <c r="D16" s="678">
        <f>12559-9743</f>
        <v>2816</v>
      </c>
      <c r="E16" s="678"/>
      <c r="F16" s="678"/>
      <c r="G16" s="678"/>
      <c r="H16" s="678">
        <v>9743</v>
      </c>
      <c r="I16" s="678"/>
      <c r="J16" s="678">
        <f>D16+G16</f>
        <v>2816</v>
      </c>
      <c r="K16" s="678">
        <f>F16+H16</f>
        <v>9743</v>
      </c>
      <c r="L16" s="678"/>
      <c r="M16" s="705">
        <f>D16+F16</f>
        <v>2816</v>
      </c>
      <c r="N16" s="702">
        <f>G16+H16</f>
        <v>9743</v>
      </c>
      <c r="O16" s="681">
        <f>J16+K16</f>
        <v>12559</v>
      </c>
      <c r="P16" s="171"/>
    </row>
    <row r="17" spans="1:15" ht="26.25" customHeight="1">
      <c r="A17" s="710"/>
      <c r="B17" s="697"/>
      <c r="C17" s="692"/>
      <c r="D17" s="679"/>
      <c r="E17" s="679"/>
      <c r="F17" s="679"/>
      <c r="G17" s="679"/>
      <c r="H17" s="679"/>
      <c r="I17" s="679"/>
      <c r="J17" s="679"/>
      <c r="K17" s="679"/>
      <c r="L17" s="679"/>
      <c r="M17" s="706"/>
      <c r="N17" s="703"/>
      <c r="O17" s="682"/>
    </row>
    <row r="18" spans="1:15" s="175" customFormat="1" ht="26.25" customHeight="1" thickBot="1">
      <c r="A18" s="719"/>
      <c r="B18" s="698"/>
      <c r="C18" s="693"/>
      <c r="D18" s="694"/>
      <c r="E18" s="694"/>
      <c r="F18" s="694"/>
      <c r="G18" s="680"/>
      <c r="H18" s="680"/>
      <c r="I18" s="680"/>
      <c r="J18" s="680"/>
      <c r="K18" s="680"/>
      <c r="L18" s="680"/>
      <c r="M18" s="707"/>
      <c r="N18" s="704"/>
      <c r="O18" s="683"/>
    </row>
    <row r="19" spans="1:15" ht="26.25" customHeight="1" thickTop="1">
      <c r="A19" s="709"/>
      <c r="B19" s="712" t="s">
        <v>376</v>
      </c>
      <c r="C19" s="715"/>
      <c r="D19" s="699">
        <f>D16</f>
        <v>2816</v>
      </c>
      <c r="E19" s="699"/>
      <c r="F19" s="699">
        <f aca="true" t="shared" si="0" ref="F19:O19">F16</f>
        <v>0</v>
      </c>
      <c r="G19" s="699">
        <f t="shared" si="0"/>
        <v>0</v>
      </c>
      <c r="H19" s="699">
        <f>H16</f>
        <v>9743</v>
      </c>
      <c r="I19" s="699">
        <f>I16</f>
        <v>0</v>
      </c>
      <c r="J19" s="699">
        <f t="shared" si="0"/>
        <v>2816</v>
      </c>
      <c r="K19" s="699">
        <f>K16</f>
        <v>9743</v>
      </c>
      <c r="L19" s="699"/>
      <c r="M19" s="699">
        <f t="shared" si="0"/>
        <v>2816</v>
      </c>
      <c r="N19" s="699">
        <f t="shared" si="0"/>
        <v>9743</v>
      </c>
      <c r="O19" s="699">
        <f t="shared" si="0"/>
        <v>12559</v>
      </c>
    </row>
    <row r="20" spans="1:15" ht="26.25" customHeight="1">
      <c r="A20" s="710"/>
      <c r="B20" s="713"/>
      <c r="C20" s="716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</row>
    <row r="21" spans="1:15" s="175" customFormat="1" ht="26.25" customHeight="1" thickBot="1">
      <c r="A21" s="711"/>
      <c r="B21" s="714"/>
      <c r="C21" s="717"/>
      <c r="D21" s="701"/>
      <c r="E21" s="701"/>
      <c r="F21" s="701"/>
      <c r="G21" s="701"/>
      <c r="H21" s="701"/>
      <c r="I21" s="701"/>
      <c r="J21" s="701"/>
      <c r="K21" s="701"/>
      <c r="L21" s="701"/>
      <c r="M21" s="701"/>
      <c r="N21" s="701"/>
      <c r="O21" s="701"/>
    </row>
    <row r="22" spans="1:15" ht="26.25" customHeight="1" thickTop="1">
      <c r="A22" s="176"/>
      <c r="B22" s="176"/>
      <c r="C22" s="176"/>
      <c r="D22" s="177"/>
      <c r="E22" s="177"/>
      <c r="F22" s="177"/>
      <c r="G22" s="178"/>
      <c r="H22" s="178"/>
      <c r="I22" s="178"/>
      <c r="J22" s="178"/>
      <c r="K22" s="178"/>
      <c r="L22" s="178"/>
      <c r="M22" s="177"/>
      <c r="N22" s="178"/>
      <c r="O22" s="177"/>
    </row>
    <row r="23" spans="1:15" ht="26.25" customHeight="1">
      <c r="A23" s="176"/>
      <c r="B23" s="176"/>
      <c r="C23" s="176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</row>
    <row r="24" spans="1:15" ht="26.25" customHeight="1">
      <c r="A24" s="176"/>
      <c r="B24" s="176"/>
      <c r="C24" s="176"/>
      <c r="D24" s="177"/>
      <c r="E24" s="177"/>
      <c r="F24" s="177"/>
      <c r="G24" s="177"/>
      <c r="H24" s="177"/>
      <c r="I24" s="177"/>
      <c r="J24" s="178"/>
      <c r="K24" s="178"/>
      <c r="L24" s="178"/>
      <c r="M24" s="177"/>
      <c r="N24" s="177"/>
      <c r="O24" s="177"/>
    </row>
    <row r="25" spans="1:15" ht="26.25" customHeight="1">
      <c r="A25" s="176"/>
      <c r="B25" s="176"/>
      <c r="C25" s="176"/>
      <c r="D25" s="177"/>
      <c r="E25" s="177"/>
      <c r="F25" s="177"/>
      <c r="G25" s="178"/>
      <c r="H25" s="178"/>
      <c r="I25" s="178"/>
      <c r="J25" s="177"/>
      <c r="K25" s="177"/>
      <c r="L25" s="177"/>
      <c r="M25" s="177"/>
      <c r="N25" s="177"/>
      <c r="O25" s="177"/>
    </row>
    <row r="26" spans="1:15" ht="26.25" customHeight="1">
      <c r="A26" s="176"/>
      <c r="B26" s="176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</row>
    <row r="30" spans="7:9" ht="15.75">
      <c r="G30" s="171"/>
      <c r="H30" s="171"/>
      <c r="I30" s="171"/>
    </row>
  </sheetData>
  <sheetProtection password="AF00" sheet="1" selectLockedCells="1" selectUnlockedCells="1"/>
  <mergeCells count="54"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N14:N15"/>
    <mergeCell ref="O14:O15"/>
    <mergeCell ref="M12:O13"/>
    <mergeCell ref="M14:M15"/>
    <mergeCell ref="K16:K18"/>
    <mergeCell ref="O16:O18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O93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5" ht="19.5" customHeight="1">
      <c r="A1" s="708" t="s">
        <v>636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</row>
    <row r="2" spans="1:13" ht="12.75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4" spans="1:13" ht="20.25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</row>
    <row r="5" spans="1:13" s="36" customFormat="1" ht="15.75">
      <c r="A5" s="511" t="s">
        <v>40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</row>
    <row r="6" spans="1:13" s="36" customFormat="1" ht="15.75">
      <c r="A6" s="511" t="s">
        <v>381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</row>
    <row r="7" spans="1:13" s="36" customFormat="1" ht="15.75">
      <c r="A7" s="511" t="s">
        <v>476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</row>
    <row r="8" spans="1:13" ht="12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s="36" customFormat="1" ht="15.75">
      <c r="A9" s="180" t="s">
        <v>382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3" ht="12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ht="15.75">
      <c r="A11" s="181" t="s">
        <v>535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12" customHeight="1" thickBo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</row>
    <row r="13" spans="1:13" ht="16.5" thickBot="1">
      <c r="A13" s="750" t="s">
        <v>383</v>
      </c>
      <c r="B13" s="751"/>
      <c r="C13" s="751"/>
      <c r="D13" s="754" t="s">
        <v>384</v>
      </c>
      <c r="E13" s="755"/>
      <c r="F13" s="756"/>
      <c r="G13" s="754" t="s">
        <v>385</v>
      </c>
      <c r="H13" s="755"/>
      <c r="I13" s="756"/>
      <c r="J13" s="754" t="s">
        <v>386</v>
      </c>
      <c r="K13" s="755"/>
      <c r="L13" s="756"/>
      <c r="M13" s="722" t="s">
        <v>387</v>
      </c>
    </row>
    <row r="14" spans="1:13" ht="15.75">
      <c r="A14" s="752"/>
      <c r="B14" s="753"/>
      <c r="C14" s="753"/>
      <c r="D14" s="182" t="s">
        <v>388</v>
      </c>
      <c r="E14" s="183" t="s">
        <v>389</v>
      </c>
      <c r="F14" s="184" t="s">
        <v>390</v>
      </c>
      <c r="G14" s="183" t="s">
        <v>391</v>
      </c>
      <c r="H14" s="183" t="s">
        <v>389</v>
      </c>
      <c r="I14" s="184" t="s">
        <v>392</v>
      </c>
      <c r="J14" s="183" t="s">
        <v>391</v>
      </c>
      <c r="K14" s="184" t="s">
        <v>389</v>
      </c>
      <c r="L14" s="183" t="s">
        <v>392</v>
      </c>
      <c r="M14" s="723"/>
    </row>
    <row r="15" spans="1:13" ht="16.5" thickBot="1">
      <c r="A15" s="752"/>
      <c r="B15" s="753"/>
      <c r="C15" s="753"/>
      <c r="D15" s="185" t="s">
        <v>393</v>
      </c>
      <c r="E15" s="186" t="s">
        <v>394</v>
      </c>
      <c r="F15" s="187" t="s">
        <v>6</v>
      </c>
      <c r="G15" s="188" t="s">
        <v>393</v>
      </c>
      <c r="H15" s="186" t="s">
        <v>394</v>
      </c>
      <c r="I15" s="187" t="s">
        <v>6</v>
      </c>
      <c r="J15" s="188" t="s">
        <v>393</v>
      </c>
      <c r="K15" s="187" t="s">
        <v>394</v>
      </c>
      <c r="L15" s="186" t="s">
        <v>6</v>
      </c>
      <c r="M15" s="724"/>
    </row>
    <row r="16" spans="1:13" ht="7.5" customHeight="1">
      <c r="A16" s="725" t="s">
        <v>395</v>
      </c>
      <c r="B16" s="726"/>
      <c r="C16" s="727"/>
      <c r="D16" s="734"/>
      <c r="E16" s="737"/>
      <c r="F16" s="740"/>
      <c r="G16" s="743" t="s">
        <v>396</v>
      </c>
      <c r="H16" s="746"/>
      <c r="I16" s="758">
        <v>2208</v>
      </c>
      <c r="J16" s="737"/>
      <c r="K16" s="737"/>
      <c r="L16" s="737"/>
      <c r="M16" s="760">
        <f>I16</f>
        <v>2208</v>
      </c>
    </row>
    <row r="17" spans="1:13" ht="7.5" customHeight="1">
      <c r="A17" s="728"/>
      <c r="B17" s="729"/>
      <c r="C17" s="730"/>
      <c r="D17" s="735"/>
      <c r="E17" s="738"/>
      <c r="F17" s="741"/>
      <c r="G17" s="744"/>
      <c r="H17" s="747"/>
      <c r="I17" s="738"/>
      <c r="J17" s="738"/>
      <c r="K17" s="738"/>
      <c r="L17" s="738"/>
      <c r="M17" s="738"/>
    </row>
    <row r="18" spans="1:13" ht="15.75" customHeight="1" thickBot="1">
      <c r="A18" s="731"/>
      <c r="B18" s="732"/>
      <c r="C18" s="733"/>
      <c r="D18" s="736"/>
      <c r="E18" s="739"/>
      <c r="F18" s="742"/>
      <c r="G18" s="745"/>
      <c r="H18" s="748"/>
      <c r="I18" s="759"/>
      <c r="J18" s="739"/>
      <c r="K18" s="739"/>
      <c r="L18" s="739"/>
      <c r="M18" s="739"/>
    </row>
    <row r="19" spans="1:13" s="96" customFormat="1" ht="12.75" customHeight="1">
      <c r="A19" s="761" t="s">
        <v>2</v>
      </c>
      <c r="B19" s="762"/>
      <c r="C19" s="763"/>
      <c r="D19" s="720"/>
      <c r="E19" s="720"/>
      <c r="F19" s="767">
        <f>SUM(F16)</f>
        <v>0</v>
      </c>
      <c r="G19" s="720"/>
      <c r="H19" s="720"/>
      <c r="I19" s="720">
        <f>I16</f>
        <v>2208</v>
      </c>
      <c r="J19" s="720"/>
      <c r="K19" s="720"/>
      <c r="L19" s="720"/>
      <c r="M19" s="757">
        <f>M16</f>
        <v>2208</v>
      </c>
    </row>
    <row r="20" spans="1:13" s="96" customFormat="1" ht="13.5" customHeight="1" thickBot="1">
      <c r="A20" s="764"/>
      <c r="B20" s="765"/>
      <c r="C20" s="766"/>
      <c r="D20" s="721"/>
      <c r="E20" s="721"/>
      <c r="F20" s="768"/>
      <c r="G20" s="721"/>
      <c r="H20" s="721"/>
      <c r="I20" s="721"/>
      <c r="J20" s="721"/>
      <c r="K20" s="721"/>
      <c r="L20" s="721"/>
      <c r="M20" s="721"/>
    </row>
    <row r="21" spans="1:13" ht="12" customHeight="1">
      <c r="A21" s="179"/>
      <c r="B21" s="179"/>
      <c r="C21" s="179"/>
      <c r="D21" s="179"/>
      <c r="E21" s="179"/>
      <c r="F21" s="189"/>
      <c r="G21" s="179"/>
      <c r="H21" s="179"/>
      <c r="I21" s="179"/>
      <c r="J21" s="179"/>
      <c r="K21" s="179"/>
      <c r="L21" s="179"/>
      <c r="M21" s="179"/>
    </row>
    <row r="22" spans="1:6" s="181" customFormat="1" ht="12" customHeight="1">
      <c r="A22" s="181" t="s">
        <v>397</v>
      </c>
      <c r="F22" s="190"/>
    </row>
    <row r="23" spans="1:13" ht="17.25" customHeight="1">
      <c r="A23" s="191" t="s">
        <v>398</v>
      </c>
      <c r="B23" s="191"/>
      <c r="C23" s="191"/>
      <c r="D23" s="191"/>
      <c r="E23" s="191"/>
      <c r="F23" s="192"/>
      <c r="G23" s="193" t="s">
        <v>6</v>
      </c>
      <c r="H23" s="179"/>
      <c r="I23" s="179"/>
      <c r="J23" s="179"/>
      <c r="K23" s="179"/>
      <c r="L23" s="179"/>
      <c r="M23" s="179"/>
    </row>
    <row r="24" spans="1:13" ht="17.25" customHeight="1">
      <c r="A24" s="191" t="s">
        <v>399</v>
      </c>
      <c r="B24" s="191"/>
      <c r="C24" s="191"/>
      <c r="D24" s="191"/>
      <c r="E24" s="191"/>
      <c r="F24" s="192"/>
      <c r="G24" s="193" t="s">
        <v>6</v>
      </c>
      <c r="H24" s="179"/>
      <c r="I24" s="179"/>
      <c r="J24" s="179"/>
      <c r="K24" s="179"/>
      <c r="L24" s="179"/>
      <c r="M24" s="179"/>
    </row>
    <row r="25" spans="1:13" ht="15.75" customHeight="1">
      <c r="A25" s="191" t="s">
        <v>400</v>
      </c>
      <c r="B25" s="191"/>
      <c r="C25" s="191"/>
      <c r="D25" s="191"/>
      <c r="E25" s="191"/>
      <c r="F25" s="194">
        <v>324</v>
      </c>
      <c r="G25" s="195" t="s">
        <v>6</v>
      </c>
      <c r="H25" s="179"/>
      <c r="I25" s="179"/>
      <c r="J25" s="179"/>
      <c r="K25" s="179"/>
      <c r="L25" s="179"/>
      <c r="M25" s="179"/>
    </row>
    <row r="26" spans="1:13" ht="17.25" customHeight="1">
      <c r="A26" s="191" t="s">
        <v>401</v>
      </c>
      <c r="B26" s="191"/>
      <c r="C26" s="191"/>
      <c r="D26" s="191"/>
      <c r="E26" s="191"/>
      <c r="F26" s="196">
        <f>SUM(F23:F25)</f>
        <v>324</v>
      </c>
      <c r="G26" s="197" t="s">
        <v>6</v>
      </c>
      <c r="H26" s="179"/>
      <c r="I26" s="179"/>
      <c r="J26" s="179"/>
      <c r="K26" s="179"/>
      <c r="L26" s="179"/>
      <c r="M26" s="179"/>
    </row>
    <row r="27" spans="1:13" ht="13.5" customHeight="1">
      <c r="A27" s="191"/>
      <c r="B27" s="191"/>
      <c r="C27" s="191"/>
      <c r="D27" s="191"/>
      <c r="E27" s="191"/>
      <c r="F27" s="196"/>
      <c r="G27" s="197"/>
      <c r="H27" s="179"/>
      <c r="I27" s="179"/>
      <c r="J27" s="179"/>
      <c r="K27" s="179"/>
      <c r="L27" s="179"/>
      <c r="M27" s="179"/>
    </row>
    <row r="28" spans="1:13" ht="15.75">
      <c r="A28" s="181" t="s">
        <v>402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  <row r="29" spans="1:13" ht="13.5" customHeight="1">
      <c r="A29" s="191"/>
      <c r="B29" s="191"/>
      <c r="C29" s="191"/>
      <c r="D29" s="191"/>
      <c r="E29" s="191"/>
      <c r="F29" s="196"/>
      <c r="G29" s="197"/>
      <c r="H29" s="179"/>
      <c r="I29" s="179"/>
      <c r="J29" s="179"/>
      <c r="K29" s="179"/>
      <c r="L29" s="179"/>
      <c r="M29" s="179"/>
    </row>
    <row r="30" spans="1:13" ht="13.5" customHeight="1" thickBot="1">
      <c r="A30" s="191"/>
      <c r="B30" s="191"/>
      <c r="C30" s="191"/>
      <c r="D30" s="191"/>
      <c r="E30" s="191"/>
      <c r="F30" s="196"/>
      <c r="G30" s="197"/>
      <c r="H30" s="179"/>
      <c r="I30" s="179"/>
      <c r="J30" s="179"/>
      <c r="K30" s="179"/>
      <c r="L30" s="179"/>
      <c r="M30" s="179"/>
    </row>
    <row r="31" spans="1:13" ht="16.5" thickBot="1">
      <c r="A31" s="750" t="s">
        <v>383</v>
      </c>
      <c r="B31" s="751"/>
      <c r="C31" s="751"/>
      <c r="D31" s="754" t="s">
        <v>384</v>
      </c>
      <c r="E31" s="755"/>
      <c r="F31" s="756"/>
      <c r="G31" s="754" t="s">
        <v>385</v>
      </c>
      <c r="H31" s="755"/>
      <c r="I31" s="756"/>
      <c r="J31" s="754" t="s">
        <v>386</v>
      </c>
      <c r="K31" s="755"/>
      <c r="L31" s="756"/>
      <c r="M31" s="722" t="s">
        <v>387</v>
      </c>
    </row>
    <row r="32" spans="1:13" ht="15.75">
      <c r="A32" s="752"/>
      <c r="B32" s="753"/>
      <c r="C32" s="753"/>
      <c r="D32" s="182" t="s">
        <v>388</v>
      </c>
      <c r="E32" s="183" t="s">
        <v>389</v>
      </c>
      <c r="F32" s="184" t="s">
        <v>390</v>
      </c>
      <c r="G32" s="183" t="s">
        <v>391</v>
      </c>
      <c r="H32" s="183" t="s">
        <v>389</v>
      </c>
      <c r="I32" s="184" t="s">
        <v>392</v>
      </c>
      <c r="J32" s="183" t="s">
        <v>391</v>
      </c>
      <c r="K32" s="184" t="s">
        <v>389</v>
      </c>
      <c r="L32" s="183" t="s">
        <v>392</v>
      </c>
      <c r="M32" s="723"/>
    </row>
    <row r="33" spans="1:13" ht="16.5" thickBot="1">
      <c r="A33" s="752"/>
      <c r="B33" s="753"/>
      <c r="C33" s="753"/>
      <c r="D33" s="185" t="s">
        <v>393</v>
      </c>
      <c r="E33" s="186" t="s">
        <v>394</v>
      </c>
      <c r="F33" s="187" t="s">
        <v>6</v>
      </c>
      <c r="G33" s="188" t="s">
        <v>393</v>
      </c>
      <c r="H33" s="186" t="s">
        <v>394</v>
      </c>
      <c r="I33" s="187" t="s">
        <v>6</v>
      </c>
      <c r="J33" s="188" t="s">
        <v>393</v>
      </c>
      <c r="K33" s="187" t="s">
        <v>394</v>
      </c>
      <c r="L33" s="186" t="s">
        <v>6</v>
      </c>
      <c r="M33" s="724"/>
    </row>
    <row r="34" spans="1:13" ht="7.5" customHeight="1">
      <c r="A34" s="770" t="s">
        <v>403</v>
      </c>
      <c r="B34" s="771"/>
      <c r="C34" s="772"/>
      <c r="D34" s="734" t="s">
        <v>404</v>
      </c>
      <c r="E34" s="737"/>
      <c r="F34" s="740"/>
      <c r="G34" s="769"/>
      <c r="H34" s="769"/>
      <c r="I34" s="769"/>
      <c r="J34" s="737"/>
      <c r="K34" s="737"/>
      <c r="L34" s="737"/>
      <c r="M34" s="760">
        <f>L34+I34+F34</f>
        <v>0</v>
      </c>
    </row>
    <row r="35" spans="1:13" ht="7.5" customHeight="1">
      <c r="A35" s="773"/>
      <c r="B35" s="774"/>
      <c r="C35" s="775"/>
      <c r="D35" s="735"/>
      <c r="E35" s="738"/>
      <c r="F35" s="741"/>
      <c r="G35" s="769"/>
      <c r="H35" s="769"/>
      <c r="I35" s="769"/>
      <c r="J35" s="738"/>
      <c r="K35" s="738"/>
      <c r="L35" s="738"/>
      <c r="M35" s="738"/>
    </row>
    <row r="36" spans="1:13" ht="7.5" customHeight="1">
      <c r="A36" s="776"/>
      <c r="B36" s="777"/>
      <c r="C36" s="778"/>
      <c r="D36" s="736"/>
      <c r="E36" s="739"/>
      <c r="F36" s="742"/>
      <c r="G36" s="769"/>
      <c r="H36" s="769"/>
      <c r="I36" s="769"/>
      <c r="J36" s="739"/>
      <c r="K36" s="739"/>
      <c r="L36" s="739"/>
      <c r="M36" s="739"/>
    </row>
    <row r="37" spans="1:13" ht="7.5" customHeight="1">
      <c r="A37" s="808" t="s">
        <v>474</v>
      </c>
      <c r="B37" s="809"/>
      <c r="C37" s="810"/>
      <c r="D37" s="734" t="s">
        <v>475</v>
      </c>
      <c r="E37" s="737"/>
      <c r="F37" s="740">
        <v>71</v>
      </c>
      <c r="G37" s="737"/>
      <c r="H37" s="737"/>
      <c r="I37" s="737"/>
      <c r="J37" s="737"/>
      <c r="K37" s="737"/>
      <c r="L37" s="737"/>
      <c r="M37" s="760">
        <f>L37+I37+F37</f>
        <v>71</v>
      </c>
    </row>
    <row r="38" spans="1:13" ht="7.5" customHeight="1">
      <c r="A38" s="811"/>
      <c r="B38" s="812"/>
      <c r="C38" s="813"/>
      <c r="D38" s="817"/>
      <c r="E38" s="780"/>
      <c r="F38" s="780"/>
      <c r="G38" s="780"/>
      <c r="H38" s="780"/>
      <c r="I38" s="780"/>
      <c r="J38" s="780"/>
      <c r="K38" s="780"/>
      <c r="L38" s="780"/>
      <c r="M38" s="738"/>
    </row>
    <row r="39" spans="1:13" ht="7.5" customHeight="1">
      <c r="A39" s="814"/>
      <c r="B39" s="815"/>
      <c r="C39" s="816"/>
      <c r="D39" s="818"/>
      <c r="E39" s="781"/>
      <c r="F39" s="781"/>
      <c r="G39" s="781"/>
      <c r="H39" s="781"/>
      <c r="I39" s="781"/>
      <c r="J39" s="781"/>
      <c r="K39" s="781"/>
      <c r="L39" s="781"/>
      <c r="M39" s="739"/>
    </row>
    <row r="40" spans="1:13" ht="7.5" customHeight="1">
      <c r="A40" s="770" t="s">
        <v>405</v>
      </c>
      <c r="B40" s="771"/>
      <c r="C40" s="772"/>
      <c r="D40" s="734"/>
      <c r="E40" s="737"/>
      <c r="F40" s="740"/>
      <c r="G40" s="782" t="s">
        <v>406</v>
      </c>
      <c r="H40" s="769"/>
      <c r="I40" s="779">
        <v>226</v>
      </c>
      <c r="J40" s="737"/>
      <c r="K40" s="737"/>
      <c r="L40" s="737"/>
      <c r="M40" s="760">
        <f>L40+I40+F40</f>
        <v>226</v>
      </c>
    </row>
    <row r="41" spans="1:13" ht="7.5" customHeight="1">
      <c r="A41" s="773"/>
      <c r="B41" s="774"/>
      <c r="C41" s="775"/>
      <c r="D41" s="735"/>
      <c r="E41" s="738"/>
      <c r="F41" s="741"/>
      <c r="G41" s="782"/>
      <c r="H41" s="769"/>
      <c r="I41" s="779"/>
      <c r="J41" s="738"/>
      <c r="K41" s="738"/>
      <c r="L41" s="738"/>
      <c r="M41" s="738"/>
    </row>
    <row r="42" spans="1:13" ht="7.5" customHeight="1" thickBot="1">
      <c r="A42" s="776"/>
      <c r="B42" s="777"/>
      <c r="C42" s="778"/>
      <c r="D42" s="736"/>
      <c r="E42" s="739"/>
      <c r="F42" s="742"/>
      <c r="G42" s="782"/>
      <c r="H42" s="769"/>
      <c r="I42" s="779"/>
      <c r="J42" s="739"/>
      <c r="K42" s="739"/>
      <c r="L42" s="739"/>
      <c r="M42" s="739"/>
    </row>
    <row r="43" spans="1:13" s="96" customFormat="1" ht="12.75" customHeight="1">
      <c r="A43" s="761" t="s">
        <v>2</v>
      </c>
      <c r="B43" s="762"/>
      <c r="C43" s="763"/>
      <c r="D43" s="720"/>
      <c r="E43" s="720"/>
      <c r="F43" s="767">
        <f>SUM(F34:F42)</f>
        <v>71</v>
      </c>
      <c r="G43" s="720"/>
      <c r="H43" s="720"/>
      <c r="I43" s="757">
        <f>SUM(I40:I42)</f>
        <v>226</v>
      </c>
      <c r="J43" s="720"/>
      <c r="K43" s="720"/>
      <c r="L43" s="720"/>
      <c r="M43" s="757">
        <f>SUM(M34:M42)</f>
        <v>297</v>
      </c>
    </row>
    <row r="44" spans="1:13" s="96" customFormat="1" ht="13.5" customHeight="1" thickBot="1">
      <c r="A44" s="764"/>
      <c r="B44" s="765"/>
      <c r="C44" s="766"/>
      <c r="D44" s="721"/>
      <c r="E44" s="721"/>
      <c r="F44" s="768"/>
      <c r="G44" s="721"/>
      <c r="H44" s="721"/>
      <c r="I44" s="721"/>
      <c r="J44" s="721"/>
      <c r="K44" s="721"/>
      <c r="L44" s="721"/>
      <c r="M44" s="721"/>
    </row>
    <row r="45" spans="1:13" ht="13.5" customHeight="1">
      <c r="A45" s="191"/>
      <c r="B45" s="191"/>
      <c r="C45" s="191"/>
      <c r="D45" s="191"/>
      <c r="E45" s="191"/>
      <c r="F45" s="196"/>
      <c r="G45" s="197"/>
      <c r="H45" s="179"/>
      <c r="I45" s="179"/>
      <c r="J45" s="179"/>
      <c r="K45" s="179"/>
      <c r="L45" s="179"/>
      <c r="M45" s="179"/>
    </row>
    <row r="46" spans="1:13" ht="13.5" customHeight="1">
      <c r="A46" s="191"/>
      <c r="B46" s="191"/>
      <c r="C46" s="191"/>
      <c r="D46" s="191"/>
      <c r="E46" s="191"/>
      <c r="F46" s="196"/>
      <c r="G46" s="197"/>
      <c r="H46" s="179"/>
      <c r="I46" s="179"/>
      <c r="J46" s="179"/>
      <c r="K46" s="179"/>
      <c r="L46" s="179"/>
      <c r="M46" s="179"/>
    </row>
    <row r="47" spans="1:13" ht="13.5" customHeight="1">
      <c r="A47" s="191"/>
      <c r="B47" s="191"/>
      <c r="C47" s="191"/>
      <c r="D47" s="191"/>
      <c r="E47" s="191"/>
      <c r="F47" s="196"/>
      <c r="G47" s="197"/>
      <c r="H47" s="179"/>
      <c r="I47" s="179"/>
      <c r="J47" s="179"/>
      <c r="K47" s="179"/>
      <c r="L47" s="179"/>
      <c r="M47" s="179"/>
    </row>
    <row r="48" spans="1:13" ht="13.5" customHeight="1">
      <c r="A48" s="191"/>
      <c r="B48" s="191"/>
      <c r="C48" s="191"/>
      <c r="D48" s="191"/>
      <c r="E48" s="191"/>
      <c r="F48" s="196"/>
      <c r="G48" s="197"/>
      <c r="H48" s="179"/>
      <c r="I48" s="179"/>
      <c r="J48" s="179"/>
      <c r="K48" s="179"/>
      <c r="L48" s="179"/>
      <c r="M48" s="179"/>
    </row>
    <row r="49" spans="1:13" ht="13.5" customHeight="1">
      <c r="A49" s="191"/>
      <c r="B49" s="191"/>
      <c r="C49" s="191"/>
      <c r="D49" s="191"/>
      <c r="E49" s="191"/>
      <c r="F49" s="196"/>
      <c r="G49" s="197"/>
      <c r="H49" s="179"/>
      <c r="I49" s="179"/>
      <c r="J49" s="179"/>
      <c r="K49" s="179"/>
      <c r="L49" s="179"/>
      <c r="M49" s="179"/>
    </row>
    <row r="50" spans="1:13" ht="13.5" customHeight="1">
      <c r="A50" s="191"/>
      <c r="B50" s="191"/>
      <c r="C50" s="191"/>
      <c r="D50" s="191"/>
      <c r="E50" s="191"/>
      <c r="F50" s="196"/>
      <c r="G50" s="197"/>
      <c r="H50" s="179"/>
      <c r="I50" s="179"/>
      <c r="J50" s="179"/>
      <c r="K50" s="179"/>
      <c r="L50" s="179"/>
      <c r="M50" s="179"/>
    </row>
    <row r="51" spans="1:13" ht="13.5" customHeight="1">
      <c r="A51" s="191"/>
      <c r="B51" s="191"/>
      <c r="C51" s="191"/>
      <c r="D51" s="191"/>
      <c r="E51" s="191"/>
      <c r="F51" s="196"/>
      <c r="G51" s="197"/>
      <c r="H51" s="179"/>
      <c r="I51" s="179"/>
      <c r="J51" s="179"/>
      <c r="K51" s="179"/>
      <c r="L51" s="179"/>
      <c r="M51" s="179"/>
    </row>
    <row r="52" spans="1:13" ht="13.5" customHeight="1">
      <c r="A52" s="191"/>
      <c r="B52" s="191"/>
      <c r="C52" s="191"/>
      <c r="D52" s="191"/>
      <c r="E52" s="191"/>
      <c r="F52" s="196"/>
      <c r="G52" s="197"/>
      <c r="H52" s="179"/>
      <c r="I52" s="179"/>
      <c r="J52" s="179"/>
      <c r="K52" s="179"/>
      <c r="L52" s="179"/>
      <c r="M52" s="179"/>
    </row>
    <row r="53" spans="1:13" ht="13.5" customHeight="1">
      <c r="A53" s="191"/>
      <c r="B53" s="191"/>
      <c r="C53" s="191"/>
      <c r="D53" s="191"/>
      <c r="E53" s="191"/>
      <c r="F53" s="196"/>
      <c r="G53" s="197"/>
      <c r="H53" s="179"/>
      <c r="I53" s="179"/>
      <c r="J53" s="179"/>
      <c r="K53" s="179"/>
      <c r="L53" s="179"/>
      <c r="M53" s="179"/>
    </row>
    <row r="54" spans="1:13" ht="13.5" customHeight="1">
      <c r="A54" s="191"/>
      <c r="B54" s="191"/>
      <c r="C54" s="191"/>
      <c r="D54" s="191"/>
      <c r="E54" s="191"/>
      <c r="F54" s="196"/>
      <c r="G54" s="197"/>
      <c r="H54" s="179"/>
      <c r="I54" s="179"/>
      <c r="J54" s="179"/>
      <c r="K54" s="179"/>
      <c r="L54" s="179"/>
      <c r="M54" s="179"/>
    </row>
    <row r="55" spans="1:13" ht="13.5" customHeight="1">
      <c r="A55" s="191"/>
      <c r="B55" s="191"/>
      <c r="C55" s="191"/>
      <c r="D55" s="191"/>
      <c r="E55" s="191"/>
      <c r="F55" s="196"/>
      <c r="G55" s="197"/>
      <c r="H55" s="179"/>
      <c r="I55" s="179"/>
      <c r="J55" s="179"/>
      <c r="K55" s="179"/>
      <c r="L55" s="179"/>
      <c r="M55" s="179"/>
    </row>
    <row r="56" spans="1:13" ht="13.5" customHeight="1">
      <c r="A56" s="191"/>
      <c r="B56" s="191"/>
      <c r="C56" s="191"/>
      <c r="D56" s="191"/>
      <c r="E56" s="191"/>
      <c r="F56" s="196"/>
      <c r="G56" s="197"/>
      <c r="H56" s="179"/>
      <c r="I56" s="179"/>
      <c r="J56" s="179"/>
      <c r="K56" s="179"/>
      <c r="L56" s="179"/>
      <c r="M56" s="179"/>
    </row>
    <row r="57" spans="1:13" ht="15.75">
      <c r="A57" s="7" t="s">
        <v>407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2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</row>
    <row r="59" spans="1:13" ht="15.75">
      <c r="A59" s="7" t="s">
        <v>408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2" customHeight="1" thickBo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</row>
    <row r="61" spans="1:11" ht="12.75" customHeight="1">
      <c r="A61" s="750" t="s">
        <v>383</v>
      </c>
      <c r="B61" s="751"/>
      <c r="C61" s="751"/>
      <c r="D61" s="750" t="s">
        <v>409</v>
      </c>
      <c r="E61" s="722"/>
      <c r="F61" s="750" t="s">
        <v>410</v>
      </c>
      <c r="G61" s="722"/>
      <c r="H61" s="750" t="s">
        <v>411</v>
      </c>
      <c r="I61" s="722"/>
      <c r="J61" s="750" t="s">
        <v>412</v>
      </c>
      <c r="K61" s="722"/>
    </row>
    <row r="62" spans="1:11" ht="12.75" customHeight="1">
      <c r="A62" s="752"/>
      <c r="B62" s="753"/>
      <c r="C62" s="753"/>
      <c r="D62" s="752"/>
      <c r="E62" s="723"/>
      <c r="F62" s="752"/>
      <c r="G62" s="723"/>
      <c r="H62" s="752"/>
      <c r="I62" s="723"/>
      <c r="J62" s="752"/>
      <c r="K62" s="723"/>
    </row>
    <row r="63" spans="1:11" ht="13.5" customHeight="1" thickBot="1">
      <c r="A63" s="784"/>
      <c r="B63" s="787"/>
      <c r="C63" s="787"/>
      <c r="D63" s="784"/>
      <c r="E63" s="724"/>
      <c r="F63" s="784"/>
      <c r="G63" s="724"/>
      <c r="H63" s="784"/>
      <c r="I63" s="724"/>
      <c r="J63" s="784"/>
      <c r="K63" s="724"/>
    </row>
    <row r="64" spans="1:12" s="36" customFormat="1" ht="25.5" customHeight="1" thickBot="1">
      <c r="A64" s="738" t="s">
        <v>413</v>
      </c>
      <c r="B64" s="738"/>
      <c r="C64" s="738"/>
      <c r="D64" s="738" t="s">
        <v>414</v>
      </c>
      <c r="E64" s="738"/>
      <c r="F64" s="785" t="s">
        <v>414</v>
      </c>
      <c r="G64" s="786"/>
      <c r="H64" s="785" t="s">
        <v>414</v>
      </c>
      <c r="I64" s="786"/>
      <c r="J64" s="738" t="s">
        <v>414</v>
      </c>
      <c r="K64" s="738"/>
      <c r="L64" s="198"/>
    </row>
    <row r="65" spans="1:13" s="96" customFormat="1" ht="12.75" customHeight="1">
      <c r="A65" s="761" t="s">
        <v>2</v>
      </c>
      <c r="B65" s="762"/>
      <c r="C65" s="763"/>
      <c r="D65" s="761"/>
      <c r="E65" s="763"/>
      <c r="F65" s="761"/>
      <c r="G65" s="763"/>
      <c r="H65" s="761"/>
      <c r="I65" s="763"/>
      <c r="J65" s="761" t="s">
        <v>414</v>
      </c>
      <c r="K65" s="763"/>
      <c r="L65" s="783"/>
      <c r="M65" s="783"/>
    </row>
    <row r="66" spans="1:13" s="96" customFormat="1" ht="13.5" customHeight="1" thickBot="1">
      <c r="A66" s="764"/>
      <c r="B66" s="765"/>
      <c r="C66" s="766"/>
      <c r="D66" s="764"/>
      <c r="E66" s="766"/>
      <c r="F66" s="764"/>
      <c r="G66" s="766"/>
      <c r="H66" s="764"/>
      <c r="I66" s="766"/>
      <c r="J66" s="764"/>
      <c r="K66" s="766"/>
      <c r="L66" s="783"/>
      <c r="M66" s="783"/>
    </row>
    <row r="68" spans="1:13" ht="15.75">
      <c r="A68" s="7" t="s">
        <v>415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ht="13.5" thickBot="1"/>
    <row r="70" spans="1:11" ht="12.75" customHeight="1">
      <c r="A70" s="750" t="s">
        <v>383</v>
      </c>
      <c r="B70" s="751"/>
      <c r="C70" s="751"/>
      <c r="D70" s="750" t="s">
        <v>409</v>
      </c>
      <c r="E70" s="722"/>
      <c r="F70" s="750" t="s">
        <v>416</v>
      </c>
      <c r="G70" s="722"/>
      <c r="H70" s="750" t="s">
        <v>411</v>
      </c>
      <c r="I70" s="722"/>
      <c r="J70" s="750" t="s">
        <v>412</v>
      </c>
      <c r="K70" s="722"/>
    </row>
    <row r="71" spans="1:11" ht="12.75" customHeight="1">
      <c r="A71" s="752"/>
      <c r="B71" s="753"/>
      <c r="C71" s="753"/>
      <c r="D71" s="752"/>
      <c r="E71" s="723"/>
      <c r="F71" s="752"/>
      <c r="G71" s="723"/>
      <c r="H71" s="752"/>
      <c r="I71" s="723"/>
      <c r="J71" s="752"/>
      <c r="K71" s="723"/>
    </row>
    <row r="72" spans="1:11" ht="13.5" customHeight="1" thickBot="1">
      <c r="A72" s="784"/>
      <c r="B72" s="787"/>
      <c r="C72" s="787"/>
      <c r="D72" s="784"/>
      <c r="E72" s="724"/>
      <c r="F72" s="784"/>
      <c r="G72" s="724"/>
      <c r="H72" s="784"/>
      <c r="I72" s="724"/>
      <c r="J72" s="784"/>
      <c r="K72" s="724"/>
    </row>
    <row r="73" spans="1:12" s="36" customFormat="1" ht="25.5" customHeight="1" thickBot="1">
      <c r="A73" s="738" t="s">
        <v>417</v>
      </c>
      <c r="B73" s="738"/>
      <c r="C73" s="738"/>
      <c r="D73" s="738" t="s">
        <v>418</v>
      </c>
      <c r="E73" s="738"/>
      <c r="F73" s="805" t="s">
        <v>414</v>
      </c>
      <c r="G73" s="806"/>
      <c r="H73" s="805">
        <v>257</v>
      </c>
      <c r="I73" s="806"/>
      <c r="J73" s="741">
        <v>257</v>
      </c>
      <c r="K73" s="741"/>
      <c r="L73" s="198"/>
    </row>
    <row r="74" spans="1:13" ht="12.75" customHeight="1">
      <c r="A74" s="788" t="s">
        <v>2</v>
      </c>
      <c r="B74" s="789"/>
      <c r="C74" s="790"/>
      <c r="D74" s="794"/>
      <c r="E74" s="795"/>
      <c r="F74" s="797">
        <f>SUM(F73)</f>
        <v>0</v>
      </c>
      <c r="G74" s="798"/>
      <c r="H74" s="801">
        <f>SUM(H73)</f>
        <v>257</v>
      </c>
      <c r="I74" s="802"/>
      <c r="J74" s="801">
        <f>SUM(J73)</f>
        <v>257</v>
      </c>
      <c r="K74" s="802"/>
      <c r="L74" s="807"/>
      <c r="M74" s="807"/>
    </row>
    <row r="75" spans="1:13" ht="13.5" customHeight="1" thickBot="1">
      <c r="A75" s="791"/>
      <c r="B75" s="792"/>
      <c r="C75" s="793"/>
      <c r="D75" s="796"/>
      <c r="E75" s="690"/>
      <c r="F75" s="799"/>
      <c r="G75" s="800"/>
      <c r="H75" s="803"/>
      <c r="I75" s="804"/>
      <c r="J75" s="803"/>
      <c r="K75" s="804"/>
      <c r="L75" s="807"/>
      <c r="M75" s="807"/>
    </row>
    <row r="77" spans="1:13" ht="15.75">
      <c r="A77" s="7" t="s">
        <v>419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ht="13.5" thickBot="1"/>
    <row r="79" spans="1:11" ht="12.75" customHeight="1">
      <c r="A79" s="750" t="s">
        <v>383</v>
      </c>
      <c r="B79" s="751"/>
      <c r="C79" s="751"/>
      <c r="D79" s="750" t="s">
        <v>409</v>
      </c>
      <c r="E79" s="722"/>
      <c r="F79" s="750" t="s">
        <v>410</v>
      </c>
      <c r="G79" s="722"/>
      <c r="H79" s="750" t="s">
        <v>411</v>
      </c>
      <c r="I79" s="722"/>
      <c r="J79" s="750" t="s">
        <v>412</v>
      </c>
      <c r="K79" s="722"/>
    </row>
    <row r="80" spans="1:11" ht="12.75" customHeight="1">
      <c r="A80" s="752"/>
      <c r="B80" s="753"/>
      <c r="C80" s="753"/>
      <c r="D80" s="752"/>
      <c r="E80" s="723"/>
      <c r="F80" s="752"/>
      <c r="G80" s="723"/>
      <c r="H80" s="752"/>
      <c r="I80" s="723"/>
      <c r="J80" s="752"/>
      <c r="K80" s="723"/>
    </row>
    <row r="81" spans="1:11" ht="13.5" customHeight="1" thickBot="1">
      <c r="A81" s="784"/>
      <c r="B81" s="787"/>
      <c r="C81" s="787"/>
      <c r="D81" s="784"/>
      <c r="E81" s="724"/>
      <c r="F81" s="784"/>
      <c r="G81" s="724"/>
      <c r="H81" s="784"/>
      <c r="I81" s="724"/>
      <c r="J81" s="784"/>
      <c r="K81" s="724"/>
    </row>
    <row r="82" spans="1:12" s="36" customFormat="1" ht="25.5" customHeight="1" thickBot="1">
      <c r="A82" s="738" t="s">
        <v>417</v>
      </c>
      <c r="B82" s="738"/>
      <c r="C82" s="738"/>
      <c r="D82" s="738" t="s">
        <v>420</v>
      </c>
      <c r="E82" s="738"/>
      <c r="F82" s="785" t="s">
        <v>414</v>
      </c>
      <c r="G82" s="786"/>
      <c r="H82" s="785"/>
      <c r="I82" s="786"/>
      <c r="J82" s="738"/>
      <c r="K82" s="738"/>
      <c r="L82" s="198"/>
    </row>
    <row r="83" spans="1:13" ht="12.75" customHeight="1">
      <c r="A83" s="788" t="s">
        <v>2</v>
      </c>
      <c r="B83" s="789"/>
      <c r="C83" s="790"/>
      <c r="D83" s="794"/>
      <c r="E83" s="795"/>
      <c r="F83" s="794"/>
      <c r="G83" s="795"/>
      <c r="H83" s="761">
        <f>SUM(H82)</f>
        <v>0</v>
      </c>
      <c r="I83" s="763"/>
      <c r="J83" s="761">
        <f>SUM(J82)</f>
        <v>0</v>
      </c>
      <c r="K83" s="763"/>
      <c r="L83" s="807"/>
      <c r="M83" s="807"/>
    </row>
    <row r="84" spans="1:13" ht="13.5" customHeight="1" thickBot="1">
      <c r="A84" s="791"/>
      <c r="B84" s="792"/>
      <c r="C84" s="793"/>
      <c r="D84" s="796"/>
      <c r="E84" s="690"/>
      <c r="F84" s="796"/>
      <c r="G84" s="690"/>
      <c r="H84" s="764"/>
      <c r="I84" s="766"/>
      <c r="J84" s="764"/>
      <c r="K84" s="766"/>
      <c r="L84" s="807"/>
      <c r="M84" s="807"/>
    </row>
    <row r="86" spans="1:13" ht="15.75">
      <c r="A86" s="7" t="s">
        <v>421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ht="13.5" thickBot="1"/>
    <row r="88" spans="1:11" ht="12.75" customHeight="1">
      <c r="A88" s="750" t="s">
        <v>383</v>
      </c>
      <c r="B88" s="751"/>
      <c r="C88" s="751"/>
      <c r="D88" s="750" t="s">
        <v>409</v>
      </c>
      <c r="E88" s="722"/>
      <c r="F88" s="750" t="s">
        <v>410</v>
      </c>
      <c r="G88" s="722"/>
      <c r="H88" s="750" t="s">
        <v>411</v>
      </c>
      <c r="I88" s="722"/>
      <c r="J88" s="750" t="s">
        <v>412</v>
      </c>
      <c r="K88" s="722"/>
    </row>
    <row r="89" spans="1:11" ht="12.75" customHeight="1">
      <c r="A89" s="752"/>
      <c r="B89" s="753"/>
      <c r="C89" s="753"/>
      <c r="D89" s="752"/>
      <c r="E89" s="723"/>
      <c r="F89" s="752"/>
      <c r="G89" s="723"/>
      <c r="H89" s="752"/>
      <c r="I89" s="723"/>
      <c r="J89" s="752"/>
      <c r="K89" s="723"/>
    </row>
    <row r="90" spans="1:11" ht="13.5" customHeight="1" thickBot="1">
      <c r="A90" s="784"/>
      <c r="B90" s="787"/>
      <c r="C90" s="787"/>
      <c r="D90" s="784"/>
      <c r="E90" s="724"/>
      <c r="F90" s="784"/>
      <c r="G90" s="724"/>
      <c r="H90" s="784"/>
      <c r="I90" s="724"/>
      <c r="J90" s="784"/>
      <c r="K90" s="724"/>
    </row>
    <row r="91" spans="1:12" s="36" customFormat="1" ht="25.5" customHeight="1" thickBot="1">
      <c r="A91" s="738" t="s">
        <v>417</v>
      </c>
      <c r="B91" s="738"/>
      <c r="C91" s="738"/>
      <c r="D91" s="738"/>
      <c r="E91" s="738"/>
      <c r="F91" s="785" t="s">
        <v>414</v>
      </c>
      <c r="G91" s="786"/>
      <c r="H91" s="785"/>
      <c r="I91" s="786"/>
      <c r="J91" s="738"/>
      <c r="K91" s="738"/>
      <c r="L91" s="198"/>
    </row>
    <row r="92" spans="1:13" ht="12.75" customHeight="1">
      <c r="A92" s="788" t="s">
        <v>2</v>
      </c>
      <c r="B92" s="789"/>
      <c r="C92" s="790"/>
      <c r="D92" s="794"/>
      <c r="E92" s="795"/>
      <c r="F92" s="794"/>
      <c r="G92" s="795"/>
      <c r="H92" s="761">
        <f>SUM(H91)</f>
        <v>0</v>
      </c>
      <c r="I92" s="763"/>
      <c r="J92" s="761">
        <f>SUM(J91)</f>
        <v>0</v>
      </c>
      <c r="K92" s="763"/>
      <c r="L92" s="807"/>
      <c r="M92" s="807"/>
    </row>
    <row r="93" spans="1:13" ht="13.5" customHeight="1" thickBot="1">
      <c r="A93" s="791"/>
      <c r="B93" s="792"/>
      <c r="C93" s="793"/>
      <c r="D93" s="796"/>
      <c r="E93" s="690"/>
      <c r="F93" s="796"/>
      <c r="G93" s="690"/>
      <c r="H93" s="764"/>
      <c r="I93" s="766"/>
      <c r="J93" s="764"/>
      <c r="K93" s="766"/>
      <c r="L93" s="807"/>
      <c r="M93" s="807"/>
    </row>
  </sheetData>
  <sheetProtection password="AF00" sheet="1" selectLockedCells="1" selectUnlockedCells="1"/>
  <mergeCells count="150">
    <mergeCell ref="A82:C82"/>
    <mergeCell ref="D82:E82"/>
    <mergeCell ref="F82:G82"/>
    <mergeCell ref="A88:C90"/>
    <mergeCell ref="D88:E90"/>
    <mergeCell ref="F88:G90"/>
    <mergeCell ref="A83:C84"/>
    <mergeCell ref="D83:E84"/>
    <mergeCell ref="F83:G84"/>
    <mergeCell ref="K37:K39"/>
    <mergeCell ref="L37:L39"/>
    <mergeCell ref="M37:M39"/>
    <mergeCell ref="A37:C39"/>
    <mergeCell ref="D37:D39"/>
    <mergeCell ref="I34:I36"/>
    <mergeCell ref="J34:J36"/>
    <mergeCell ref="L34:L36"/>
    <mergeCell ref="G37:G39"/>
    <mergeCell ref="M34:M36"/>
    <mergeCell ref="A92:C93"/>
    <mergeCell ref="D92:E93"/>
    <mergeCell ref="F92:G93"/>
    <mergeCell ref="A91:C91"/>
    <mergeCell ref="D91:E91"/>
    <mergeCell ref="F91:G91"/>
    <mergeCell ref="L92:L93"/>
    <mergeCell ref="M92:M93"/>
    <mergeCell ref="J91:K91"/>
    <mergeCell ref="H91:I91"/>
    <mergeCell ref="H92:I93"/>
    <mergeCell ref="J92:K93"/>
    <mergeCell ref="H88:I90"/>
    <mergeCell ref="M83:M84"/>
    <mergeCell ref="J88:K90"/>
    <mergeCell ref="L83:L84"/>
    <mergeCell ref="J82:K82"/>
    <mergeCell ref="J83:K84"/>
    <mergeCell ref="H83:I84"/>
    <mergeCell ref="H82:I82"/>
    <mergeCell ref="L74:L75"/>
    <mergeCell ref="M74:M75"/>
    <mergeCell ref="A79:C81"/>
    <mergeCell ref="D79:E81"/>
    <mergeCell ref="F79:G81"/>
    <mergeCell ref="H79:I81"/>
    <mergeCell ref="J79:K81"/>
    <mergeCell ref="J73:K73"/>
    <mergeCell ref="A74:C75"/>
    <mergeCell ref="D74:E75"/>
    <mergeCell ref="F74:G75"/>
    <mergeCell ref="H74:I75"/>
    <mergeCell ref="J74:K75"/>
    <mergeCell ref="A73:C73"/>
    <mergeCell ref="D73:E73"/>
    <mergeCell ref="F73:G73"/>
    <mergeCell ref="H73:I73"/>
    <mergeCell ref="J70:K72"/>
    <mergeCell ref="A65:C66"/>
    <mergeCell ref="D65:E66"/>
    <mergeCell ref="F65:G66"/>
    <mergeCell ref="H65:I66"/>
    <mergeCell ref="A70:C72"/>
    <mergeCell ref="D70:E72"/>
    <mergeCell ref="F70:G72"/>
    <mergeCell ref="H70:I72"/>
    <mergeCell ref="A64:C64"/>
    <mergeCell ref="D64:E64"/>
    <mergeCell ref="F64:G64"/>
    <mergeCell ref="M65:M66"/>
    <mergeCell ref="A61:C63"/>
    <mergeCell ref="D61:E63"/>
    <mergeCell ref="F61:G63"/>
    <mergeCell ref="H61:I63"/>
    <mergeCell ref="H64:I64"/>
    <mergeCell ref="K40:K42"/>
    <mergeCell ref="L40:L42"/>
    <mergeCell ref="J65:K66"/>
    <mergeCell ref="L65:L66"/>
    <mergeCell ref="J61:K63"/>
    <mergeCell ref="M40:M42"/>
    <mergeCell ref="J64:K64"/>
    <mergeCell ref="H43:H44"/>
    <mergeCell ref="I43:I44"/>
    <mergeCell ref="J43:J44"/>
    <mergeCell ref="L43:L44"/>
    <mergeCell ref="M43:M44"/>
    <mergeCell ref="K43:K44"/>
    <mergeCell ref="G43:G44"/>
    <mergeCell ref="G40:G42"/>
    <mergeCell ref="A43:C44"/>
    <mergeCell ref="D43:D44"/>
    <mergeCell ref="E43:E44"/>
    <mergeCell ref="F43:F44"/>
    <mergeCell ref="F40:F42"/>
    <mergeCell ref="A40:C42"/>
    <mergeCell ref="D40:D42"/>
    <mergeCell ref="I40:I42"/>
    <mergeCell ref="J40:J42"/>
    <mergeCell ref="E34:E36"/>
    <mergeCell ref="E40:E42"/>
    <mergeCell ref="H40:H42"/>
    <mergeCell ref="I37:I39"/>
    <mergeCell ref="J37:J39"/>
    <mergeCell ref="H37:H39"/>
    <mergeCell ref="E37:E39"/>
    <mergeCell ref="F37:F39"/>
    <mergeCell ref="J31:L31"/>
    <mergeCell ref="M31:M33"/>
    <mergeCell ref="A34:C36"/>
    <mergeCell ref="D34:D36"/>
    <mergeCell ref="H34:H36"/>
    <mergeCell ref="K34:K36"/>
    <mergeCell ref="A19:C20"/>
    <mergeCell ref="D19:D20"/>
    <mergeCell ref="E19:E20"/>
    <mergeCell ref="F19:F20"/>
    <mergeCell ref="F34:F36"/>
    <mergeCell ref="G34:G36"/>
    <mergeCell ref="A31:C33"/>
    <mergeCell ref="D31:F31"/>
    <mergeCell ref="G31:I31"/>
    <mergeCell ref="H19:H20"/>
    <mergeCell ref="I19:I20"/>
    <mergeCell ref="M19:M20"/>
    <mergeCell ref="I16:I18"/>
    <mergeCell ref="J16:J18"/>
    <mergeCell ref="K16:K18"/>
    <mergeCell ref="L16:L18"/>
    <mergeCell ref="M16:M18"/>
    <mergeCell ref="J19:J20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G19:G20"/>
    <mergeCell ref="A1:O1"/>
    <mergeCell ref="M13:M15"/>
    <mergeCell ref="A16:C18"/>
    <mergeCell ref="D16:D18"/>
    <mergeCell ref="E16:E18"/>
    <mergeCell ref="F16:F18"/>
    <mergeCell ref="G16:G18"/>
    <mergeCell ref="H16:H18"/>
    <mergeCell ref="A4:M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G35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5.75390625" style="23" customWidth="1"/>
    <col min="2" max="2" width="65.75390625" style="23" customWidth="1"/>
    <col min="3" max="5" width="15.75390625" style="23" bestFit="1" customWidth="1"/>
    <col min="6" max="6" width="18.00390625" style="23" bestFit="1" customWidth="1"/>
    <col min="7" max="7" width="11.375" style="36" bestFit="1" customWidth="1"/>
    <col min="8" max="16384" width="9.125" style="36" customWidth="1"/>
  </cols>
  <sheetData>
    <row r="1" spans="1:6" ht="15.75">
      <c r="A1" s="541" t="s">
        <v>637</v>
      </c>
      <c r="B1" s="541"/>
      <c r="C1" s="541"/>
      <c r="D1" s="541"/>
      <c r="E1" s="541"/>
      <c r="F1" s="541"/>
    </row>
    <row r="2" spans="1:6" ht="21" customHeight="1">
      <c r="A2" s="652"/>
      <c r="B2" s="652"/>
      <c r="C2" s="652"/>
      <c r="D2" s="652"/>
      <c r="E2" s="652"/>
      <c r="F2" s="652"/>
    </row>
    <row r="3" spans="1:6" ht="15.75">
      <c r="A3" s="652" t="s">
        <v>422</v>
      </c>
      <c r="B3" s="652"/>
      <c r="C3" s="652"/>
      <c r="D3" s="652"/>
      <c r="E3" s="652"/>
      <c r="F3" s="652"/>
    </row>
    <row r="4" spans="1:6" ht="15.75">
      <c r="A4" s="652" t="s">
        <v>423</v>
      </c>
      <c r="B4" s="652"/>
      <c r="C4" s="652"/>
      <c r="D4" s="652"/>
      <c r="E4" s="652"/>
      <c r="F4" s="652"/>
    </row>
    <row r="5" spans="1:6" ht="15.75">
      <c r="A5" s="652" t="s">
        <v>503</v>
      </c>
      <c r="B5" s="652"/>
      <c r="C5" s="652"/>
      <c r="D5" s="652"/>
      <c r="E5" s="652"/>
      <c r="F5" s="652"/>
    </row>
    <row r="6" spans="1:6" ht="16.5" thickBot="1">
      <c r="A6" s="25"/>
      <c r="B6" s="25"/>
      <c r="C6" s="36"/>
      <c r="D6" s="200"/>
      <c r="E6" s="36"/>
      <c r="F6" s="200" t="s">
        <v>5</v>
      </c>
    </row>
    <row r="7" spans="1:6" ht="15.75">
      <c r="A7" s="201" t="s">
        <v>41</v>
      </c>
      <c r="B7" s="819" t="s">
        <v>424</v>
      </c>
      <c r="C7" s="822" t="s">
        <v>425</v>
      </c>
      <c r="D7" s="823"/>
      <c r="E7" s="823"/>
      <c r="F7" s="819" t="s">
        <v>311</v>
      </c>
    </row>
    <row r="8" spans="1:6" ht="16.5" thickBot="1">
      <c r="A8" s="202"/>
      <c r="B8" s="820"/>
      <c r="C8" s="824"/>
      <c r="D8" s="825"/>
      <c r="E8" s="825"/>
      <c r="F8" s="820"/>
    </row>
    <row r="9" spans="1:6" ht="16.5" thickBot="1">
      <c r="A9" s="202"/>
      <c r="B9" s="820"/>
      <c r="C9" s="203" t="s">
        <v>379</v>
      </c>
      <c r="D9" s="203" t="s">
        <v>460</v>
      </c>
      <c r="E9" s="203" t="s">
        <v>504</v>
      </c>
      <c r="F9" s="820"/>
    </row>
    <row r="10" spans="1:6" ht="16.5" thickBot="1">
      <c r="A10" s="204" t="s">
        <v>42</v>
      </c>
      <c r="B10" s="821"/>
      <c r="C10" s="826" t="s">
        <v>426</v>
      </c>
      <c r="D10" s="827"/>
      <c r="E10" s="827"/>
      <c r="F10" s="821"/>
    </row>
    <row r="11" spans="1:6" ht="15.75">
      <c r="A11" s="199" t="s">
        <v>43</v>
      </c>
      <c r="B11" s="229" t="s">
        <v>432</v>
      </c>
      <c r="C11" s="205">
        <v>7733</v>
      </c>
      <c r="D11" s="205">
        <v>7733</v>
      </c>
      <c r="E11" s="205">
        <v>7733</v>
      </c>
      <c r="F11" s="205">
        <f>SUM(C11:E11)</f>
        <v>23199</v>
      </c>
    </row>
    <row r="12" spans="1:6" ht="31.5">
      <c r="A12" s="199" t="s">
        <v>27</v>
      </c>
      <c r="B12" s="230" t="s">
        <v>433</v>
      </c>
      <c r="C12" s="206"/>
      <c r="D12" s="206"/>
      <c r="E12" s="206"/>
      <c r="F12" s="205">
        <f>SUM(C12:E12)</f>
        <v>0</v>
      </c>
    </row>
    <row r="13" spans="1:2" s="177" customFormat="1" ht="15.75">
      <c r="A13" s="199" t="s">
        <v>44</v>
      </c>
      <c r="B13" s="229" t="s">
        <v>434</v>
      </c>
    </row>
    <row r="14" spans="1:6" s="177" customFormat="1" ht="31.5">
      <c r="A14" s="199" t="s">
        <v>103</v>
      </c>
      <c r="B14" s="230" t="s">
        <v>435</v>
      </c>
      <c r="C14" s="207"/>
      <c r="D14" s="207"/>
      <c r="E14" s="207"/>
      <c r="F14" s="205">
        <f>SUM(C14:E14)</f>
        <v>0</v>
      </c>
    </row>
    <row r="15" spans="1:6" s="177" customFormat="1" ht="15.75">
      <c r="A15" s="199" t="s">
        <v>104</v>
      </c>
      <c r="B15" s="229" t="s">
        <v>427</v>
      </c>
      <c r="C15" s="207">
        <v>75</v>
      </c>
      <c r="D15" s="207">
        <v>75</v>
      </c>
      <c r="E15" s="207">
        <v>75</v>
      </c>
      <c r="F15" s="205">
        <f>SUM(C15:E15)</f>
        <v>225</v>
      </c>
    </row>
    <row r="16" spans="1:6" s="177" customFormat="1" ht="15.75">
      <c r="A16" s="199" t="s">
        <v>110</v>
      </c>
      <c r="B16" s="229" t="s">
        <v>436</v>
      </c>
      <c r="C16" s="208"/>
      <c r="D16" s="208"/>
      <c r="E16" s="208"/>
      <c r="F16" s="208"/>
    </row>
    <row r="17" spans="1:6" s="212" customFormat="1" ht="15.75">
      <c r="A17" s="209" t="s">
        <v>246</v>
      </c>
      <c r="B17" s="210" t="s">
        <v>428</v>
      </c>
      <c r="C17" s="211">
        <f>SUM(C11:C16)</f>
        <v>7808</v>
      </c>
      <c r="D17" s="211">
        <f>SUM(D11:D16)</f>
        <v>7808</v>
      </c>
      <c r="E17" s="211">
        <f>SUM(E11:E16)</f>
        <v>7808</v>
      </c>
      <c r="F17" s="211">
        <f>SUM(F11:F16)</f>
        <v>23424</v>
      </c>
    </row>
    <row r="18" spans="1:6" s="217" customFormat="1" ht="18.75">
      <c r="A18" s="213" t="s">
        <v>250</v>
      </c>
      <c r="B18" s="214" t="s">
        <v>429</v>
      </c>
      <c r="C18" s="215">
        <f>C17*0.5</f>
        <v>3904</v>
      </c>
      <c r="D18" s="215">
        <f>D17*0.5</f>
        <v>3904</v>
      </c>
      <c r="E18" s="215">
        <f>E17*0.5</f>
        <v>3904</v>
      </c>
      <c r="F18" s="216">
        <f>SUM(C18:E18)</f>
        <v>11712</v>
      </c>
    </row>
    <row r="19" spans="1:6" s="177" customFormat="1" ht="31.5">
      <c r="A19" s="218" t="s">
        <v>257</v>
      </c>
      <c r="B19" s="230" t="s">
        <v>437</v>
      </c>
      <c r="C19" s="207"/>
      <c r="D19" s="207"/>
      <c r="E19" s="207"/>
      <c r="F19" s="207">
        <f>SUM(C19:E19)</f>
        <v>0</v>
      </c>
    </row>
    <row r="20" spans="1:6" s="177" customFormat="1" ht="31.5">
      <c r="A20" s="218" t="s">
        <v>259</v>
      </c>
      <c r="B20" s="230" t="s">
        <v>438</v>
      </c>
      <c r="C20" s="207"/>
      <c r="D20" s="207"/>
      <c r="E20" s="207"/>
      <c r="F20" s="207">
        <f>SUM(C20:E20)</f>
        <v>0</v>
      </c>
    </row>
    <row r="21" spans="1:6" s="177" customFormat="1" ht="15.75">
      <c r="A21" s="218" t="s">
        <v>261</v>
      </c>
      <c r="B21" s="229" t="s">
        <v>439</v>
      </c>
      <c r="C21" s="207"/>
      <c r="D21" s="207"/>
      <c r="E21" s="207"/>
      <c r="F21" s="207"/>
    </row>
    <row r="22" spans="1:6" s="177" customFormat="1" ht="31.5">
      <c r="A22" s="218" t="s">
        <v>266</v>
      </c>
      <c r="B22" s="219" t="s">
        <v>440</v>
      </c>
      <c r="C22" s="207"/>
      <c r="D22" s="207"/>
      <c r="E22" s="207"/>
      <c r="F22" s="207"/>
    </row>
    <row r="23" spans="1:6" s="177" customFormat="1" ht="47.25">
      <c r="A23" s="218" t="s">
        <v>268</v>
      </c>
      <c r="B23" s="219" t="s">
        <v>441</v>
      </c>
      <c r="C23" s="207"/>
      <c r="D23" s="207"/>
      <c r="E23" s="207"/>
      <c r="F23" s="207"/>
    </row>
    <row r="24" spans="1:6" s="177" customFormat="1" ht="31.5">
      <c r="A24" s="218" t="s">
        <v>270</v>
      </c>
      <c r="B24" s="219" t="s">
        <v>442</v>
      </c>
      <c r="C24" s="207"/>
      <c r="D24" s="207"/>
      <c r="E24" s="207"/>
      <c r="F24" s="207"/>
    </row>
    <row r="25" spans="1:6" s="177" customFormat="1" ht="31.5">
      <c r="A25" s="218" t="s">
        <v>277</v>
      </c>
      <c r="B25" s="219" t="s">
        <v>443</v>
      </c>
      <c r="C25" s="220"/>
      <c r="D25" s="220"/>
      <c r="E25" s="220"/>
      <c r="F25" s="220"/>
    </row>
    <row r="26" spans="1:6" s="212" customFormat="1" ht="15.75">
      <c r="A26" s="209" t="s">
        <v>280</v>
      </c>
      <c r="B26" s="221" t="s">
        <v>430</v>
      </c>
      <c r="C26" s="222">
        <f>SUM(C19:C24)</f>
        <v>0</v>
      </c>
      <c r="D26" s="222">
        <f>SUM(D19:D24)</f>
        <v>0</v>
      </c>
      <c r="E26" s="222">
        <f>SUM(E19:E24)</f>
        <v>0</v>
      </c>
      <c r="F26" s="222">
        <f>SUM(F19:F24)</f>
        <v>0</v>
      </c>
    </row>
    <row r="27" spans="1:6" s="225" customFormat="1" ht="37.5">
      <c r="A27" s="213" t="s">
        <v>282</v>
      </c>
      <c r="B27" s="223" t="s">
        <v>431</v>
      </c>
      <c r="C27" s="224">
        <f>C18-C26</f>
        <v>3904</v>
      </c>
      <c r="D27" s="224">
        <f>D18-D26</f>
        <v>3904</v>
      </c>
      <c r="E27" s="224">
        <f>E18-E26</f>
        <v>3904</v>
      </c>
      <c r="F27" s="224">
        <f>SUM(C27:E27)</f>
        <v>11712</v>
      </c>
    </row>
    <row r="28" spans="1:6" s="177" customFormat="1" ht="15.75">
      <c r="A28" s="226"/>
      <c r="B28" s="227"/>
      <c r="C28" s="207"/>
      <c r="D28" s="207"/>
      <c r="E28" s="207"/>
      <c r="F28" s="207"/>
    </row>
    <row r="29" spans="1:7" s="177" customFormat="1" ht="15.75">
      <c r="A29" s="226"/>
      <c r="B29" s="227"/>
      <c r="C29" s="207"/>
      <c r="D29" s="207"/>
      <c r="E29" s="207"/>
      <c r="F29" s="207"/>
      <c r="G29" s="207"/>
    </row>
    <row r="30" spans="1:6" s="177" customFormat="1" ht="15.75">
      <c r="A30" s="227"/>
      <c r="B30" s="227"/>
      <c r="C30" s="207"/>
      <c r="D30" s="207"/>
      <c r="E30" s="207"/>
      <c r="F30" s="207"/>
    </row>
    <row r="31" spans="1:6" s="177" customFormat="1" ht="15.75">
      <c r="A31" s="227"/>
      <c r="B31" s="227"/>
      <c r="C31" s="207"/>
      <c r="D31" s="207"/>
      <c r="E31" s="207"/>
      <c r="F31" s="207"/>
    </row>
    <row r="32" spans="1:6" s="177" customFormat="1" ht="15.75">
      <c r="A32" s="227"/>
      <c r="B32" s="227"/>
      <c r="C32" s="207"/>
      <c r="D32" s="207"/>
      <c r="E32" s="207"/>
      <c r="F32" s="207"/>
    </row>
    <row r="33" spans="1:6" s="177" customFormat="1" ht="15.75">
      <c r="A33" s="227"/>
      <c r="B33" s="228"/>
      <c r="C33" s="207"/>
      <c r="D33" s="207"/>
      <c r="E33" s="207"/>
      <c r="F33" s="207"/>
    </row>
    <row r="34" spans="1:6" s="177" customFormat="1" ht="15.75">
      <c r="A34" s="227"/>
      <c r="B34" s="227"/>
      <c r="C34" s="207"/>
      <c r="D34" s="207"/>
      <c r="E34" s="207"/>
      <c r="F34" s="207"/>
    </row>
    <row r="35" spans="1:6" s="177" customFormat="1" ht="15.75">
      <c r="A35" s="227"/>
      <c r="B35" s="227"/>
      <c r="C35" s="207"/>
      <c r="D35" s="207"/>
      <c r="E35" s="207"/>
      <c r="F35" s="207"/>
    </row>
  </sheetData>
  <sheetProtection password="AF00" sheet="1" selectLockedCells="1" selectUnlockedCells="1"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B16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59.875" style="0" customWidth="1"/>
    <col min="2" max="2" width="25.125" style="0" customWidth="1"/>
  </cols>
  <sheetData>
    <row r="1" spans="1:2" ht="15.75">
      <c r="A1" s="541" t="s">
        <v>579</v>
      </c>
      <c r="B1" s="541"/>
    </row>
    <row r="2" spans="1:2" ht="15.75">
      <c r="A2" s="301"/>
      <c r="B2" s="301"/>
    </row>
    <row r="3" spans="1:2" ht="15.75">
      <c r="A3" s="542"/>
      <c r="B3" s="542"/>
    </row>
    <row r="4" spans="1:2" ht="15.75">
      <c r="A4" s="348"/>
      <c r="B4" s="348"/>
    </row>
    <row r="6" spans="1:2" ht="15">
      <c r="A6" s="617"/>
      <c r="B6" s="828"/>
    </row>
    <row r="7" spans="1:2" ht="15.75">
      <c r="A7" s="149" t="s">
        <v>314</v>
      </c>
      <c r="B7" s="149"/>
    </row>
    <row r="8" spans="1:2" ht="15.75">
      <c r="A8" s="522" t="s">
        <v>542</v>
      </c>
      <c r="B8" s="522"/>
    </row>
    <row r="9" spans="1:2" ht="15.75">
      <c r="A9" s="522" t="s">
        <v>476</v>
      </c>
      <c r="B9" s="522"/>
    </row>
    <row r="10" spans="1:2" ht="16.5" thickBot="1">
      <c r="A10" s="14"/>
      <c r="B10" s="14"/>
    </row>
    <row r="11" spans="1:2" ht="15.75">
      <c r="A11" s="150"/>
      <c r="B11" s="151" t="s">
        <v>10</v>
      </c>
    </row>
    <row r="12" spans="1:2" ht="15.75">
      <c r="A12" s="152" t="s">
        <v>316</v>
      </c>
      <c r="B12" s="152"/>
    </row>
    <row r="13" spans="1:2" ht="16.5" thickBot="1">
      <c r="A13" s="288"/>
      <c r="B13" s="152" t="s">
        <v>539</v>
      </c>
    </row>
    <row r="14" spans="1:2" ht="38.25" customHeight="1" thickBot="1">
      <c r="A14" s="436" t="s">
        <v>543</v>
      </c>
      <c r="B14" s="302">
        <f>B15+B16</f>
        <v>41083733</v>
      </c>
    </row>
    <row r="15" spans="1:2" ht="26.25" customHeight="1">
      <c r="A15" s="435" t="s">
        <v>578</v>
      </c>
      <c r="B15" s="434">
        <v>4825255</v>
      </c>
    </row>
    <row r="16" spans="1:2" ht="27.75" customHeight="1" thickBot="1">
      <c r="A16" s="433" t="s">
        <v>632</v>
      </c>
      <c r="B16" s="432">
        <f>38415438+5185082+115989+806700+65080-1181000-606235-120000-499999-190000-287259+326400+28998+268900-2228909-40000-317500-392840-123482-455060-495519-478864-499999-50000-324723-50800-592920-19000</f>
        <v>36258478</v>
      </c>
    </row>
  </sheetData>
  <sheetProtection password="AF00" sheet="1"/>
  <mergeCells count="5">
    <mergeCell ref="A1:B1"/>
    <mergeCell ref="A3:B3"/>
    <mergeCell ref="A8:B8"/>
    <mergeCell ref="A9:B9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5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2.25390625" style="0" customWidth="1"/>
    <col min="2" max="2" width="27.375" style="0" customWidth="1"/>
    <col min="3" max="3" width="13.75390625" style="0" customWidth="1"/>
    <col min="4" max="4" width="15.625" style="0" customWidth="1"/>
    <col min="5" max="5" width="12.75390625" style="0" customWidth="1"/>
    <col min="6" max="6" width="11.625" style="0" customWidth="1"/>
    <col min="7" max="7" width="12.25390625" style="0" customWidth="1"/>
    <col min="8" max="8" width="11.875" style="0" customWidth="1"/>
    <col min="9" max="9" width="13.00390625" style="0" customWidth="1"/>
    <col min="10" max="10" width="10.375" style="0" customWidth="1"/>
    <col min="11" max="11" width="11.125" style="0" customWidth="1"/>
    <col min="12" max="12" width="12.875" style="0" customWidth="1"/>
    <col min="13" max="13" width="14.625" style="0" customWidth="1"/>
    <col min="14" max="14" width="13.625" style="0" customWidth="1"/>
  </cols>
  <sheetData>
    <row r="1" spans="2:14" ht="12.75">
      <c r="B1" s="829" t="s">
        <v>705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3" spans="2:4" ht="12.75">
      <c r="B3" s="452"/>
      <c r="C3" s="452"/>
      <c r="D3" s="452"/>
    </row>
    <row r="4" spans="2:4" ht="12.75">
      <c r="B4" s="452"/>
      <c r="C4" s="452"/>
      <c r="D4" s="452"/>
    </row>
    <row r="5" spans="2:14" ht="18.75" customHeight="1"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</row>
    <row r="6" spans="2:14" ht="23.25" customHeight="1">
      <c r="B6" s="616" t="s">
        <v>598</v>
      </c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</row>
    <row r="7" spans="2:14" ht="18.75" customHeight="1">
      <c r="B7" s="616" t="s">
        <v>597</v>
      </c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</row>
    <row r="8" spans="2:14" ht="16.5" customHeight="1">
      <c r="B8" s="616" t="s">
        <v>476</v>
      </c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</row>
    <row r="10" ht="13.5" thickBot="1">
      <c r="N10" s="315" t="s">
        <v>596</v>
      </c>
    </row>
    <row r="11" spans="1:14" ht="21" customHeight="1" thickBot="1">
      <c r="A11" s="830" t="s">
        <v>595</v>
      </c>
      <c r="B11" s="833" t="s">
        <v>0</v>
      </c>
      <c r="C11" s="832" t="s">
        <v>594</v>
      </c>
      <c r="D11" s="833" t="s">
        <v>590</v>
      </c>
      <c r="E11" s="833"/>
      <c r="F11" s="833"/>
      <c r="G11" s="833"/>
      <c r="H11" s="833"/>
      <c r="I11" s="832" t="s">
        <v>586</v>
      </c>
      <c r="J11" s="832"/>
      <c r="K11" s="832"/>
      <c r="L11" s="832"/>
      <c r="M11" s="832" t="s">
        <v>593</v>
      </c>
      <c r="N11" s="832"/>
    </row>
    <row r="12" spans="1:14" ht="61.5" customHeight="1" thickBot="1">
      <c r="A12" s="831"/>
      <c r="B12" s="833"/>
      <c r="C12" s="832"/>
      <c r="D12" s="449" t="s">
        <v>592</v>
      </c>
      <c r="E12" s="449" t="s">
        <v>591</v>
      </c>
      <c r="F12" s="449" t="s">
        <v>590</v>
      </c>
      <c r="G12" s="449" t="s">
        <v>589</v>
      </c>
      <c r="H12" s="449" t="s">
        <v>588</v>
      </c>
      <c r="I12" s="449" t="s">
        <v>587</v>
      </c>
      <c r="J12" s="449" t="s">
        <v>586</v>
      </c>
      <c r="K12" s="450" t="s">
        <v>585</v>
      </c>
      <c r="L12" s="449" t="s">
        <v>584</v>
      </c>
      <c r="M12" s="449" t="s">
        <v>583</v>
      </c>
      <c r="N12" s="449" t="s">
        <v>582</v>
      </c>
    </row>
    <row r="13" spans="1:14" ht="18" customHeight="1" thickBot="1">
      <c r="A13" s="448" t="s">
        <v>43</v>
      </c>
      <c r="B13" s="447" t="s">
        <v>581</v>
      </c>
      <c r="C13" s="443">
        <f>H13+L13+M13+N13</f>
        <v>109285696</v>
      </c>
      <c r="D13" s="443">
        <f>28045173+46400+27846+722670+1000000+1240320+3944762+28792+115989+537800+268900+65080+501752+66664+50000+64999+290830</f>
        <v>37017977</v>
      </c>
      <c r="E13" s="443">
        <v>7813000</v>
      </c>
      <c r="F13" s="443">
        <f>15503474-2730485</f>
        <v>12772989</v>
      </c>
      <c r="G13" s="443"/>
      <c r="H13" s="443">
        <f>D13+E13+F13+G13</f>
        <v>57603966</v>
      </c>
      <c r="I13" s="443"/>
      <c r="J13" s="443">
        <v>61800</v>
      </c>
      <c r="K13" s="443"/>
      <c r="L13" s="443">
        <f>I13+J13+K13</f>
        <v>61800</v>
      </c>
      <c r="M13" s="443">
        <f>23131431+64122+89764+17000+195900+38415438+120000</f>
        <v>62033655</v>
      </c>
      <c r="N13" s="446">
        <f>-8667923-181500-392840-123482-455060-592920</f>
        <v>-10413725</v>
      </c>
    </row>
    <row r="14" spans="1:14" ht="21" customHeight="1" thickBot="1">
      <c r="A14" s="445" t="s">
        <v>27</v>
      </c>
      <c r="B14" s="442" t="s">
        <v>580</v>
      </c>
      <c r="C14" s="443">
        <f>H14+L14+M14+N14</f>
        <v>11144210</v>
      </c>
      <c r="D14" s="443"/>
      <c r="E14" s="444"/>
      <c r="F14" s="444">
        <f>730485</f>
        <v>730485</v>
      </c>
      <c r="G14" s="442"/>
      <c r="H14" s="443">
        <f>D14+E14+F14+G14</f>
        <v>730485</v>
      </c>
      <c r="I14" s="442"/>
      <c r="J14" s="442"/>
      <c r="K14" s="442"/>
      <c r="L14" s="442"/>
      <c r="M14" s="442"/>
      <c r="N14" s="441">
        <f>8667923+181500+392840+123482+455060+592920</f>
        <v>10413725</v>
      </c>
    </row>
    <row r="15" spans="1:37" s="437" customFormat="1" ht="24" customHeight="1" thickBot="1">
      <c r="A15" s="440" t="s">
        <v>44</v>
      </c>
      <c r="B15" s="440" t="s">
        <v>553</v>
      </c>
      <c r="C15" s="439">
        <f>H15+L15+M15+N15</f>
        <v>120429906</v>
      </c>
      <c r="D15" s="439">
        <f aca="true" t="shared" si="0" ref="D15:N15">D13++D14</f>
        <v>37017977</v>
      </c>
      <c r="E15" s="439">
        <f t="shared" si="0"/>
        <v>7813000</v>
      </c>
      <c r="F15" s="439">
        <f t="shared" si="0"/>
        <v>13503474</v>
      </c>
      <c r="G15" s="439">
        <f t="shared" si="0"/>
        <v>0</v>
      </c>
      <c r="H15" s="439">
        <f t="shared" si="0"/>
        <v>58334451</v>
      </c>
      <c r="I15" s="439">
        <f t="shared" si="0"/>
        <v>0</v>
      </c>
      <c r="J15" s="439">
        <f t="shared" si="0"/>
        <v>61800</v>
      </c>
      <c r="K15" s="439">
        <f t="shared" si="0"/>
        <v>0</v>
      </c>
      <c r="L15" s="439">
        <f t="shared" si="0"/>
        <v>61800</v>
      </c>
      <c r="M15" s="439">
        <f t="shared" si="0"/>
        <v>62033655</v>
      </c>
      <c r="N15" s="439">
        <f t="shared" si="0"/>
        <v>0</v>
      </c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</row>
  </sheetData>
  <sheetProtection password="AF00" sheet="1"/>
  <mergeCells count="11">
    <mergeCell ref="M11:N11"/>
    <mergeCell ref="B1:N1"/>
    <mergeCell ref="B5:N5"/>
    <mergeCell ref="A11:A12"/>
    <mergeCell ref="B6:N6"/>
    <mergeCell ref="B7:N7"/>
    <mergeCell ref="B8:N8"/>
    <mergeCell ref="C11:C12"/>
    <mergeCell ref="B11:B12"/>
    <mergeCell ref="D11:H11"/>
    <mergeCell ref="I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8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303" customWidth="1"/>
    <col min="4" max="4" width="4.875" style="4" customWidth="1"/>
    <col min="5" max="5" width="16.375" style="303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1:6" ht="15">
      <c r="A1" s="508" t="s">
        <v>551</v>
      </c>
      <c r="B1" s="509"/>
      <c r="C1" s="509"/>
      <c r="D1" s="509"/>
      <c r="E1" s="509"/>
      <c r="F1" s="509"/>
    </row>
    <row r="3" spans="1:6" ht="15">
      <c r="A3" s="513"/>
      <c r="B3" s="514"/>
      <c r="C3" s="514"/>
      <c r="D3" s="514"/>
      <c r="E3" s="514"/>
      <c r="F3" s="514"/>
    </row>
    <row r="4" spans="2:6" ht="15">
      <c r="B4" s="81"/>
      <c r="C4" s="81"/>
      <c r="D4" s="81"/>
      <c r="E4" s="81"/>
      <c r="F4" s="81"/>
    </row>
    <row r="5" spans="2:6" s="36" customFormat="1" ht="15.75">
      <c r="B5" s="512"/>
      <c r="C5" s="512"/>
      <c r="D5" s="512"/>
      <c r="E5" s="512"/>
      <c r="F5" s="512"/>
    </row>
    <row r="6" spans="2:6" s="36" customFormat="1" ht="15.75">
      <c r="B6" s="511" t="s">
        <v>40</v>
      </c>
      <c r="C6" s="511"/>
      <c r="D6" s="511"/>
      <c r="E6" s="511"/>
      <c r="F6" s="511"/>
    </row>
    <row r="7" spans="2:6" ht="15.75">
      <c r="B7" s="511" t="s">
        <v>159</v>
      </c>
      <c r="C7" s="511"/>
      <c r="D7" s="511"/>
      <c r="E7" s="511"/>
      <c r="F7" s="511"/>
    </row>
    <row r="8" spans="2:6" ht="12.75" customHeight="1">
      <c r="B8" s="510" t="s">
        <v>481</v>
      </c>
      <c r="C8" s="510"/>
      <c r="D8" s="510"/>
      <c r="E8" s="510"/>
      <c r="F8" s="510"/>
    </row>
    <row r="9" spans="2:6" s="1" customFormat="1" ht="15">
      <c r="B9" s="4"/>
      <c r="C9" s="303"/>
      <c r="D9" s="4"/>
      <c r="E9" s="307"/>
      <c r="F9" s="4"/>
    </row>
    <row r="10" spans="1:5" s="1" customFormat="1" ht="18.75">
      <c r="A10" s="272" t="s">
        <v>43</v>
      </c>
      <c r="B10" s="95" t="s">
        <v>160</v>
      </c>
      <c r="C10" s="306"/>
      <c r="E10" s="96"/>
    </row>
    <row r="11" spans="1:6" ht="15.75">
      <c r="A11" s="272" t="s">
        <v>508</v>
      </c>
      <c r="B11" s="7" t="s">
        <v>161</v>
      </c>
      <c r="C11" s="306"/>
      <c r="D11" s="1"/>
      <c r="E11" s="311">
        <f>C12+C13</f>
        <v>38522031</v>
      </c>
      <c r="F11" s="1" t="s">
        <v>482</v>
      </c>
    </row>
    <row r="12" spans="1:8" ht="15.75">
      <c r="A12" s="272" t="s">
        <v>509</v>
      </c>
      <c r="B12" s="97" t="s">
        <v>162</v>
      </c>
      <c r="C12" s="303">
        <f>'2.mell - bevétel '!H61</f>
        <v>36288977</v>
      </c>
      <c r="D12" s="4" t="s">
        <v>6</v>
      </c>
      <c r="E12" s="307"/>
      <c r="H12" s="76"/>
    </row>
    <row r="13" spans="1:6" s="1" customFormat="1" ht="33.75" customHeight="1">
      <c r="A13" s="272" t="s">
        <v>510</v>
      </c>
      <c r="B13" s="97" t="s">
        <v>163</v>
      </c>
      <c r="C13" s="303">
        <f>'2.mell - bevétel '!H69</f>
        <v>2233054</v>
      </c>
      <c r="D13" s="4" t="s">
        <v>6</v>
      </c>
      <c r="E13" s="307"/>
      <c r="F13" s="4"/>
    </row>
    <row r="14" spans="1:5" s="1" customFormat="1" ht="15.75">
      <c r="A14" s="272"/>
      <c r="B14" s="7"/>
      <c r="C14" s="306"/>
      <c r="E14" s="311"/>
    </row>
    <row r="15" spans="1:6" s="1" customFormat="1" ht="15.75">
      <c r="A15" s="272" t="s">
        <v>511</v>
      </c>
      <c r="B15" s="7" t="s">
        <v>164</v>
      </c>
      <c r="C15" s="306"/>
      <c r="E15" s="311">
        <f>'2.mell - bevétel '!H77</f>
        <v>53945486</v>
      </c>
      <c r="F15" s="1" t="s">
        <v>482</v>
      </c>
    </row>
    <row r="16" spans="1:6" s="1" customFormat="1" ht="15.75">
      <c r="A16" s="272" t="s">
        <v>512</v>
      </c>
      <c r="B16" s="7" t="s">
        <v>117</v>
      </c>
      <c r="C16" s="306"/>
      <c r="E16" s="311">
        <f>'2.mell - bevétel '!G94</f>
        <v>7813000</v>
      </c>
      <c r="F16" s="1" t="s">
        <v>482</v>
      </c>
    </row>
    <row r="17" spans="1:6" s="1" customFormat="1" ht="15.75">
      <c r="A17" s="272" t="s">
        <v>513</v>
      </c>
      <c r="B17" s="7" t="s">
        <v>56</v>
      </c>
      <c r="C17" s="306"/>
      <c r="E17" s="311">
        <f>'2.mell - bevétel '!H117</f>
        <v>15853474</v>
      </c>
      <c r="F17" s="1" t="s">
        <v>482</v>
      </c>
    </row>
    <row r="18" spans="1:6" s="1" customFormat="1" ht="15.75">
      <c r="A18" s="272" t="s">
        <v>514</v>
      </c>
      <c r="B18" s="7" t="s">
        <v>165</v>
      </c>
      <c r="C18" s="306"/>
      <c r="E18" s="311">
        <v>0</v>
      </c>
      <c r="F18" s="1" t="s">
        <v>482</v>
      </c>
    </row>
    <row r="19" spans="1:5" s="1" customFormat="1" ht="10.5" customHeight="1">
      <c r="A19" s="272"/>
      <c r="B19" s="8"/>
      <c r="C19" s="306"/>
      <c r="E19" s="311"/>
    </row>
    <row r="20" spans="1:6" s="1" customFormat="1" ht="15.75">
      <c r="A20" s="272" t="s">
        <v>515</v>
      </c>
      <c r="B20" s="7" t="s">
        <v>166</v>
      </c>
      <c r="E20" s="311">
        <f>C21+C22</f>
        <v>0</v>
      </c>
      <c r="F20" s="1" t="s">
        <v>482</v>
      </c>
    </row>
    <row r="21" spans="1:8" s="6" customFormat="1" ht="32.25">
      <c r="A21" s="273" t="s">
        <v>516</v>
      </c>
      <c r="B21" s="97" t="s">
        <v>167</v>
      </c>
      <c r="C21" s="310">
        <v>0</v>
      </c>
      <c r="D21" s="1" t="s">
        <v>6</v>
      </c>
      <c r="E21" s="311"/>
      <c r="F21" s="1"/>
      <c r="G21" s="1"/>
      <c r="H21" s="77"/>
    </row>
    <row r="22" spans="1:8" ht="18.75">
      <c r="A22" s="272"/>
      <c r="B22" s="36" t="s">
        <v>168</v>
      </c>
      <c r="C22" s="306">
        <v>0</v>
      </c>
      <c r="D22" s="1" t="s">
        <v>6</v>
      </c>
      <c r="E22" s="311"/>
      <c r="F22" s="1"/>
      <c r="G22" s="6"/>
      <c r="H22" s="78"/>
    </row>
    <row r="23" spans="1:8" s="1" customFormat="1" ht="15" customHeight="1">
      <c r="A23" s="272"/>
      <c r="B23" s="46"/>
      <c r="C23" s="303"/>
      <c r="D23" s="4"/>
      <c r="E23" s="312"/>
      <c r="F23" s="6"/>
      <c r="H23" s="79"/>
    </row>
    <row r="24" spans="1:6" s="1" customFormat="1" ht="15.75">
      <c r="A24" s="272" t="s">
        <v>517</v>
      </c>
      <c r="B24" s="7" t="s">
        <v>145</v>
      </c>
      <c r="C24" s="306"/>
      <c r="E24" s="311">
        <f>C25+C26</f>
        <v>61800</v>
      </c>
      <c r="F24" s="1" t="s">
        <v>482</v>
      </c>
    </row>
    <row r="25" spans="1:5" s="1" customFormat="1" ht="31.5">
      <c r="A25" s="272" t="s">
        <v>518</v>
      </c>
      <c r="B25" s="97" t="s">
        <v>169</v>
      </c>
      <c r="C25" s="306">
        <f>'2.mell - bevétel '!H122</f>
        <v>61800</v>
      </c>
      <c r="D25" s="1" t="s">
        <v>6</v>
      </c>
      <c r="E25" s="311"/>
    </row>
    <row r="26" spans="1:5" s="1" customFormat="1" ht="15.75">
      <c r="A26" s="272" t="s">
        <v>519</v>
      </c>
      <c r="B26" s="36" t="s">
        <v>170</v>
      </c>
      <c r="C26" s="306">
        <v>0</v>
      </c>
      <c r="D26" s="1" t="s">
        <v>6</v>
      </c>
      <c r="E26" s="311"/>
    </row>
    <row r="27" spans="1:6" s="1" customFormat="1" ht="15.75">
      <c r="A27" s="272" t="s">
        <v>27</v>
      </c>
      <c r="B27" s="7" t="s">
        <v>45</v>
      </c>
      <c r="E27" s="98">
        <f>SUM(E11:E26)</f>
        <v>116195791</v>
      </c>
      <c r="F27" s="1" t="s">
        <v>482</v>
      </c>
    </row>
    <row r="28" spans="1:5" s="1" customFormat="1" ht="15.75">
      <c r="A28" s="272"/>
      <c r="B28" s="36"/>
      <c r="E28" s="96"/>
    </row>
    <row r="29" spans="1:5" s="1" customFormat="1" ht="18.75">
      <c r="A29" s="272" t="s">
        <v>44</v>
      </c>
      <c r="B29" s="95" t="s">
        <v>171</v>
      </c>
      <c r="E29" s="96"/>
    </row>
    <row r="30" spans="1:6" s="1" customFormat="1" ht="15.75">
      <c r="A30" s="272" t="s">
        <v>520</v>
      </c>
      <c r="B30" s="9" t="s">
        <v>17</v>
      </c>
      <c r="C30" s="306"/>
      <c r="E30" s="311">
        <f>C32+C33+C34+C35+C36+C37</f>
        <v>105297769</v>
      </c>
      <c r="F30" s="1" t="s">
        <v>482</v>
      </c>
    </row>
    <row r="31" spans="1:5" s="1" customFormat="1" ht="15.75">
      <c r="A31" s="272"/>
      <c r="B31" s="8" t="s">
        <v>16</v>
      </c>
      <c r="C31" s="306"/>
      <c r="E31" s="311"/>
    </row>
    <row r="32" spans="1:5" s="1" customFormat="1" ht="15.75">
      <c r="A32" s="272" t="s">
        <v>521</v>
      </c>
      <c r="B32" s="36" t="s">
        <v>172</v>
      </c>
      <c r="C32" s="306">
        <f>'4.mell. - kiadás '!E48</f>
        <v>23905873</v>
      </c>
      <c r="D32" s="1" t="s">
        <v>482</v>
      </c>
      <c r="E32" s="311"/>
    </row>
    <row r="33" spans="1:5" s="1" customFormat="1" ht="15.75">
      <c r="A33" s="272" t="s">
        <v>522</v>
      </c>
      <c r="B33" s="36" t="s">
        <v>173</v>
      </c>
      <c r="C33" s="306">
        <f>'4.mell. - kiadás '!F48</f>
        <v>5342629</v>
      </c>
      <c r="D33" s="1" t="s">
        <v>482</v>
      </c>
      <c r="E33" s="311"/>
    </row>
    <row r="34" spans="1:5" s="1" customFormat="1" ht="15.75">
      <c r="A34" s="272" t="s">
        <v>523</v>
      </c>
      <c r="B34" s="36" t="s">
        <v>174</v>
      </c>
      <c r="C34" s="306">
        <f>'4.mell. - kiadás '!G48</f>
        <v>30020334</v>
      </c>
      <c r="D34" s="1" t="s">
        <v>482</v>
      </c>
      <c r="E34" s="311"/>
    </row>
    <row r="35" spans="1:5" s="1" customFormat="1" ht="15.75">
      <c r="A35" s="272" t="s">
        <v>524</v>
      </c>
      <c r="B35" s="99" t="s">
        <v>175</v>
      </c>
      <c r="C35" s="306">
        <f>'4.mell. - kiadás '!H42</f>
        <v>2861400</v>
      </c>
      <c r="D35" s="1" t="s">
        <v>482</v>
      </c>
      <c r="E35" s="311"/>
    </row>
    <row r="36" spans="1:5" s="1" customFormat="1" ht="15.75">
      <c r="A36" s="272" t="s">
        <v>531</v>
      </c>
      <c r="B36" s="36" t="s">
        <v>81</v>
      </c>
      <c r="C36" s="306">
        <f>'4.mell. - kiadás '!I42-C37</f>
        <v>2083800</v>
      </c>
      <c r="D36" s="1" t="s">
        <v>482</v>
      </c>
      <c r="E36" s="311"/>
    </row>
    <row r="37" spans="1:5" s="1" customFormat="1" ht="15.75">
      <c r="A37" s="272" t="s">
        <v>545</v>
      </c>
      <c r="B37" s="36" t="s">
        <v>544</v>
      </c>
      <c r="C37" s="310">
        <f>'17.mell.tartalék '!B14</f>
        <v>41083733</v>
      </c>
      <c r="D37" s="1" t="s">
        <v>1</v>
      </c>
      <c r="E37" s="311"/>
    </row>
    <row r="38" spans="1:6" s="1" customFormat="1" ht="15.75">
      <c r="A38" s="272" t="s">
        <v>525</v>
      </c>
      <c r="B38" s="9" t="s">
        <v>18</v>
      </c>
      <c r="C38" s="306"/>
      <c r="E38" s="309">
        <f>C40+C41+C42</f>
        <v>71810468</v>
      </c>
      <c r="F38" s="1" t="s">
        <v>482</v>
      </c>
    </row>
    <row r="39" spans="1:5" s="1" customFormat="1" ht="15.75">
      <c r="A39" s="272"/>
      <c r="B39" s="8" t="s">
        <v>16</v>
      </c>
      <c r="C39" s="306"/>
      <c r="E39" s="311"/>
    </row>
    <row r="40" spans="1:5" s="1" customFormat="1" ht="15.75">
      <c r="A40" s="272" t="s">
        <v>532</v>
      </c>
      <c r="B40" s="36" t="s">
        <v>176</v>
      </c>
      <c r="C40" s="310">
        <f>'4.mell. - kiadás '!K48</f>
        <v>4330272</v>
      </c>
      <c r="D40" s="1" t="s">
        <v>482</v>
      </c>
      <c r="E40" s="311"/>
    </row>
    <row r="41" spans="1:5" s="1" customFormat="1" ht="15.75">
      <c r="A41" s="272" t="s">
        <v>526</v>
      </c>
      <c r="B41" s="36" t="s">
        <v>177</v>
      </c>
      <c r="C41" s="310">
        <f>'4.mell. - kiadás '!L48</f>
        <v>66280196</v>
      </c>
      <c r="D41" s="1" t="s">
        <v>482</v>
      </c>
      <c r="E41" s="311"/>
    </row>
    <row r="42" spans="1:7" ht="15.75">
      <c r="A42" s="272" t="s">
        <v>527</v>
      </c>
      <c r="B42" s="36" t="s">
        <v>82</v>
      </c>
      <c r="C42" s="310">
        <f>'4.mell. - kiadás '!M48</f>
        <v>1200000</v>
      </c>
      <c r="D42" s="1" t="s">
        <v>482</v>
      </c>
      <c r="E42" s="311"/>
      <c r="F42" s="1"/>
      <c r="G42" s="1"/>
    </row>
    <row r="43" s="1" customFormat="1" ht="7.5" customHeight="1">
      <c r="E43" s="311"/>
    </row>
    <row r="44" spans="1:6" s="1" customFormat="1" ht="15.75">
      <c r="A44" s="272" t="s">
        <v>103</v>
      </c>
      <c r="B44" s="17" t="s">
        <v>178</v>
      </c>
      <c r="C44" s="310"/>
      <c r="E44" s="311">
        <f>C45+C46+C47</f>
        <v>2538788</v>
      </c>
      <c r="F44" s="1" t="s">
        <v>482</v>
      </c>
    </row>
    <row r="45" spans="1:5" s="1" customFormat="1" ht="15.75">
      <c r="A45" s="272" t="s">
        <v>528</v>
      </c>
      <c r="B45" s="36" t="s">
        <v>179</v>
      </c>
      <c r="C45" s="306"/>
      <c r="D45" s="1" t="s">
        <v>482</v>
      </c>
      <c r="E45" s="311"/>
    </row>
    <row r="46" spans="1:7" s="6" customFormat="1" ht="18.75">
      <c r="A46" s="274" t="s">
        <v>529</v>
      </c>
      <c r="B46" s="36" t="s">
        <v>180</v>
      </c>
      <c r="C46" s="306"/>
      <c r="D46" s="1" t="s">
        <v>482</v>
      </c>
      <c r="E46" s="311"/>
      <c r="F46" s="1"/>
      <c r="G46" s="4"/>
    </row>
    <row r="47" spans="1:7" ht="15.75">
      <c r="A47" s="272" t="s">
        <v>530</v>
      </c>
      <c r="B47" s="36" t="s">
        <v>468</v>
      </c>
      <c r="C47" s="310">
        <f>'4.mell. - kiadás '!O48</f>
        <v>2538788</v>
      </c>
      <c r="D47" s="1" t="s">
        <v>482</v>
      </c>
      <c r="E47" s="311"/>
      <c r="F47" s="1"/>
      <c r="G47" s="1"/>
    </row>
    <row r="48" spans="1:7" ht="15.75">
      <c r="A48" s="272" t="s">
        <v>104</v>
      </c>
      <c r="B48" s="7" t="s">
        <v>48</v>
      </c>
      <c r="C48" s="310"/>
      <c r="D48" s="1"/>
      <c r="E48" s="307">
        <f>SUM(E30:E47)</f>
        <v>179647025</v>
      </c>
      <c r="F48" s="4" t="s">
        <v>482</v>
      </c>
      <c r="G48" s="1"/>
    </row>
    <row r="49" spans="1:7" ht="15.75">
      <c r="A49" s="272"/>
      <c r="B49" s="36"/>
      <c r="C49" s="306"/>
      <c r="D49" s="1"/>
      <c r="E49" s="309"/>
      <c r="F49" s="1"/>
      <c r="G49" s="1"/>
    </row>
    <row r="50" spans="1:7" ht="18.75">
      <c r="A50" s="272" t="s">
        <v>110</v>
      </c>
      <c r="B50" s="7" t="s">
        <v>49</v>
      </c>
      <c r="C50" s="306"/>
      <c r="D50" s="1"/>
      <c r="E50" s="307">
        <f>E27-E48</f>
        <v>-63451234</v>
      </c>
      <c r="F50" s="4" t="s">
        <v>482</v>
      </c>
      <c r="G50" s="6"/>
    </row>
    <row r="51" spans="1:5" ht="15.75">
      <c r="A51" s="272"/>
      <c r="B51" s="36"/>
      <c r="C51" s="306"/>
      <c r="D51" s="1"/>
      <c r="E51" s="307"/>
    </row>
    <row r="52" spans="1:6" ht="32.25">
      <c r="A52" s="272" t="s">
        <v>246</v>
      </c>
      <c r="B52" s="90" t="s">
        <v>550</v>
      </c>
      <c r="C52" s="308"/>
      <c r="D52" s="6"/>
      <c r="E52" s="307">
        <f>'2.mell - bevétel '!H128</f>
        <v>50912446</v>
      </c>
      <c r="F52" s="4" t="s">
        <v>482</v>
      </c>
    </row>
    <row r="53" spans="1:5" ht="48">
      <c r="A53" s="272" t="s">
        <v>248</v>
      </c>
      <c r="B53" s="90" t="s">
        <v>507</v>
      </c>
      <c r="C53" s="308"/>
      <c r="D53" s="6"/>
      <c r="E53" s="307">
        <v>10000000</v>
      </c>
    </row>
    <row r="54" spans="1:7" s="1" customFormat="1" ht="15.75">
      <c r="A54" s="272" t="s">
        <v>250</v>
      </c>
      <c r="B54" s="20" t="s">
        <v>683</v>
      </c>
      <c r="C54" s="303"/>
      <c r="D54" s="4"/>
      <c r="E54" s="307">
        <f>'2.mell - bevétel '!H130+'2.mell - bevétel '!H131</f>
        <v>2538788</v>
      </c>
      <c r="F54" s="4"/>
      <c r="G54" s="4"/>
    </row>
    <row r="55" spans="1:6" ht="15.75">
      <c r="A55" s="275" t="s">
        <v>257</v>
      </c>
      <c r="B55" s="7" t="s">
        <v>534</v>
      </c>
      <c r="E55" s="307">
        <f>E50+E52+E53+E54</f>
        <v>0</v>
      </c>
      <c r="F55" s="4" t="s">
        <v>482</v>
      </c>
    </row>
    <row r="56" spans="2:5" s="1" customFormat="1" ht="10.5" customHeight="1">
      <c r="B56" s="5"/>
      <c r="C56" s="306"/>
      <c r="E56" s="305"/>
    </row>
    <row r="57" spans="2:6" ht="15.75">
      <c r="B57" s="5"/>
      <c r="C57" s="306"/>
      <c r="D57" s="1"/>
      <c r="E57" s="305"/>
      <c r="F57" s="7"/>
    </row>
    <row r="58" spans="2:6" ht="15.75">
      <c r="B58" s="7"/>
      <c r="E58" s="304"/>
      <c r="F58" s="7"/>
    </row>
  </sheetData>
  <sheetProtection password="AF00" sheet="1"/>
  <mergeCells count="6">
    <mergeCell ref="A1:F1"/>
    <mergeCell ref="B8:F8"/>
    <mergeCell ref="B6:F6"/>
    <mergeCell ref="B5:F5"/>
    <mergeCell ref="B7:F7"/>
    <mergeCell ref="A3:F3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2:G16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.00390625" style="0" customWidth="1"/>
    <col min="2" max="2" width="37.875" style="0" customWidth="1"/>
    <col min="3" max="3" width="15.375" style="0" customWidth="1"/>
    <col min="4" max="4" width="13.25390625" style="0" customWidth="1"/>
    <col min="5" max="5" width="15.375" style="0" customWidth="1"/>
    <col min="6" max="6" width="14.25390625" style="0" customWidth="1"/>
    <col min="7" max="7" width="18.875" style="0" customWidth="1"/>
  </cols>
  <sheetData>
    <row r="2" spans="3:7" ht="12.75">
      <c r="C2" s="509"/>
      <c r="D2" s="509"/>
      <c r="E2" s="509"/>
      <c r="F2" s="509"/>
      <c r="G2" s="509"/>
    </row>
    <row r="3" spans="2:7" ht="12.75">
      <c r="B3" s="829" t="s">
        <v>706</v>
      </c>
      <c r="C3" s="829"/>
      <c r="D3" s="829"/>
      <c r="E3" s="829"/>
      <c r="F3" s="829"/>
      <c r="G3" s="607"/>
    </row>
    <row r="5" spans="2:7" ht="12.75">
      <c r="B5" s="834"/>
      <c r="C5" s="834"/>
      <c r="D5" s="834"/>
      <c r="E5" s="834"/>
      <c r="F5" s="834"/>
      <c r="G5" s="315"/>
    </row>
    <row r="6" spans="2:6" ht="12.75">
      <c r="B6" s="313"/>
      <c r="C6" s="514"/>
      <c r="D6" s="514"/>
      <c r="E6" s="514"/>
      <c r="F6" s="313"/>
    </row>
    <row r="7" spans="3:5" ht="15" customHeight="1">
      <c r="C7" s="616"/>
      <c r="D7" s="616"/>
      <c r="E7" s="616"/>
    </row>
    <row r="8" spans="2:7" ht="18.75" customHeight="1">
      <c r="B8" s="638" t="s">
        <v>40</v>
      </c>
      <c r="C8" s="638"/>
      <c r="D8" s="638"/>
      <c r="E8" s="638"/>
      <c r="F8" s="638"/>
      <c r="G8" s="638"/>
    </row>
    <row r="9" spans="2:7" ht="19.5" customHeight="1">
      <c r="B9" s="616" t="s">
        <v>609</v>
      </c>
      <c r="C9" s="616"/>
      <c r="D9" s="616"/>
      <c r="E9" s="616"/>
      <c r="F9" s="616"/>
      <c r="G9" s="616"/>
    </row>
    <row r="10" spans="2:7" ht="18.75" customHeight="1">
      <c r="B10" s="616" t="s">
        <v>476</v>
      </c>
      <c r="C10" s="616"/>
      <c r="D10" s="616"/>
      <c r="E10" s="616"/>
      <c r="F10" s="616"/>
      <c r="G10" s="616"/>
    </row>
    <row r="12" ht="13.5" thickBot="1">
      <c r="G12" s="315" t="s">
        <v>608</v>
      </c>
    </row>
    <row r="13" spans="1:7" ht="92.25" customHeight="1" thickBot="1">
      <c r="A13" s="461" t="s">
        <v>497</v>
      </c>
      <c r="B13" s="460" t="s">
        <v>607</v>
      </c>
      <c r="C13" s="832" t="s">
        <v>606</v>
      </c>
      <c r="D13" s="832"/>
      <c r="E13" s="835" t="s">
        <v>605</v>
      </c>
      <c r="F13" s="835"/>
      <c r="G13" s="451" t="s">
        <v>604</v>
      </c>
    </row>
    <row r="14" spans="1:7" ht="24.75" customHeight="1" thickBot="1">
      <c r="A14" s="459"/>
      <c r="B14" s="458" t="s">
        <v>603</v>
      </c>
      <c r="C14" s="457" t="s">
        <v>601</v>
      </c>
      <c r="D14" s="449" t="s">
        <v>602</v>
      </c>
      <c r="E14" s="440" t="s">
        <v>601</v>
      </c>
      <c r="F14" s="449" t="s">
        <v>600</v>
      </c>
      <c r="G14" s="440"/>
    </row>
    <row r="15" spans="1:7" ht="23.25" customHeight="1" thickBot="1">
      <c r="A15" s="445" t="s">
        <v>43</v>
      </c>
      <c r="B15" s="442" t="s">
        <v>599</v>
      </c>
      <c r="C15" s="444">
        <f>830400+5185082+326400-343723</f>
        <v>5998159</v>
      </c>
      <c r="D15" s="456">
        <f>C15/G15*100</f>
        <v>57.598592242449264</v>
      </c>
      <c r="E15" s="444">
        <f>8667923-830400+181500-5185082-326400+392840+123482+455060+592920+343723</f>
        <v>4415566</v>
      </c>
      <c r="F15" s="456">
        <f>E15/G15*100</f>
        <v>42.40140775755073</v>
      </c>
      <c r="G15" s="441">
        <f>C15+E15</f>
        <v>10413725</v>
      </c>
    </row>
    <row r="16" spans="1:7" ht="26.25" customHeight="1" thickBot="1">
      <c r="A16" s="440" t="s">
        <v>27</v>
      </c>
      <c r="B16" s="455" t="s">
        <v>2</v>
      </c>
      <c r="C16" s="453">
        <f>C15</f>
        <v>5998159</v>
      </c>
      <c r="D16" s="454">
        <f>C16/G16*100</f>
        <v>57.598592242449264</v>
      </c>
      <c r="E16" s="453">
        <f>E15</f>
        <v>4415566</v>
      </c>
      <c r="F16" s="454">
        <f>E16/G16*100</f>
        <v>42.40140775755073</v>
      </c>
      <c r="G16" s="453">
        <f>G15</f>
        <v>10413725</v>
      </c>
    </row>
  </sheetData>
  <sheetProtection password="AF00" sheet="1"/>
  <mergeCells count="10">
    <mergeCell ref="C2:G2"/>
    <mergeCell ref="C6:E6"/>
    <mergeCell ref="C7:E7"/>
    <mergeCell ref="B5:F5"/>
    <mergeCell ref="B3:G3"/>
    <mergeCell ref="C13:D13"/>
    <mergeCell ref="E13:F13"/>
    <mergeCell ref="B8:G8"/>
    <mergeCell ref="B9:G9"/>
    <mergeCell ref="B10:G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69"/>
  <sheetViews>
    <sheetView zoomScalePageLayoutView="0" workbookViewId="0" topLeftCell="A112">
      <selection activeCell="Q22" sqref="Q22"/>
    </sheetView>
  </sheetViews>
  <sheetFormatPr defaultColWidth="9.00390625" defaultRowHeight="12.75"/>
  <cols>
    <col min="1" max="1" width="4.25390625" style="45" customWidth="1"/>
    <col min="2" max="5" width="3.125" style="43" customWidth="1"/>
    <col min="6" max="6" width="56.1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5.75">
      <c r="A2" s="300"/>
      <c r="B2" s="300"/>
      <c r="C2" s="300"/>
      <c r="D2" s="300"/>
      <c r="E2" s="300"/>
      <c r="F2" s="300"/>
      <c r="G2" s="300"/>
      <c r="H2" s="300"/>
      <c r="I2" s="300"/>
    </row>
    <row r="3" spans="1:9" ht="15.75">
      <c r="A3" s="508" t="s">
        <v>686</v>
      </c>
      <c r="B3" s="508"/>
      <c r="C3" s="508"/>
      <c r="D3" s="508"/>
      <c r="E3" s="508"/>
      <c r="F3" s="508"/>
      <c r="G3" s="508"/>
      <c r="H3" s="508"/>
      <c r="I3" s="508"/>
    </row>
    <row r="4" spans="1:9" ht="15.75">
      <c r="A4" s="513"/>
      <c r="B4" s="513"/>
      <c r="C4" s="513"/>
      <c r="D4" s="513"/>
      <c r="E4" s="513"/>
      <c r="F4" s="513"/>
      <c r="G4" s="513"/>
      <c r="H4" s="513"/>
      <c r="I4" s="513"/>
    </row>
    <row r="5" spans="1:9" ht="15.75">
      <c r="A5" s="314"/>
      <c r="B5" s="314"/>
      <c r="C5" s="314"/>
      <c r="D5" s="314"/>
      <c r="E5" s="314"/>
      <c r="F5" s="314"/>
      <c r="G5" s="314"/>
      <c r="H5" s="314"/>
      <c r="I5" s="314"/>
    </row>
    <row r="6" spans="1:9" s="9" customFormat="1" ht="15.75">
      <c r="A6" s="518" t="s">
        <v>581</v>
      </c>
      <c r="B6" s="518"/>
      <c r="C6" s="518"/>
      <c r="D6" s="518"/>
      <c r="E6" s="518"/>
      <c r="F6" s="518"/>
      <c r="G6" s="518"/>
      <c r="H6" s="518"/>
      <c r="I6" s="518"/>
    </row>
    <row r="7" spans="1:9" s="9" customFormat="1" ht="15.75">
      <c r="A7" s="518" t="s">
        <v>38</v>
      </c>
      <c r="B7" s="518"/>
      <c r="C7" s="518"/>
      <c r="D7" s="518"/>
      <c r="E7" s="518"/>
      <c r="F7" s="518"/>
      <c r="G7" s="518"/>
      <c r="H7" s="518"/>
      <c r="I7" s="518"/>
    </row>
    <row r="8" spans="1:9" ht="15.75">
      <c r="A8" s="518" t="s">
        <v>476</v>
      </c>
      <c r="B8" s="518"/>
      <c r="C8" s="518"/>
      <c r="D8" s="518"/>
      <c r="E8" s="518"/>
      <c r="F8" s="518"/>
      <c r="G8" s="518"/>
      <c r="H8" s="518"/>
      <c r="I8" s="518"/>
    </row>
    <row r="9" ht="15.75" hidden="1"/>
    <row r="10" spans="1:9" ht="15.75">
      <c r="A10" s="522"/>
      <c r="B10" s="522"/>
      <c r="C10" s="522"/>
      <c r="D10" s="522"/>
      <c r="E10" s="522"/>
      <c r="F10" s="522"/>
      <c r="G10" s="522"/>
      <c r="H10" s="522"/>
      <c r="I10" s="522"/>
    </row>
    <row r="11" spans="8:9" ht="16.5" thickBot="1">
      <c r="H11" s="47"/>
      <c r="I11" s="48" t="s">
        <v>477</v>
      </c>
    </row>
    <row r="12" spans="1:9" ht="15.75">
      <c r="A12" s="523" t="s">
        <v>21</v>
      </c>
      <c r="B12" s="524"/>
      <c r="C12" s="524"/>
      <c r="D12" s="524"/>
      <c r="E12" s="524"/>
      <c r="F12" s="525"/>
      <c r="G12" s="49" t="s">
        <v>19</v>
      </c>
      <c r="H12" s="49" t="s">
        <v>19</v>
      </c>
      <c r="I12" s="49" t="s">
        <v>20</v>
      </c>
    </row>
    <row r="13" spans="1:9" ht="15.75">
      <c r="A13" s="526"/>
      <c r="B13" s="527"/>
      <c r="C13" s="527"/>
      <c r="D13" s="527"/>
      <c r="E13" s="527"/>
      <c r="F13" s="528"/>
      <c r="G13" s="50" t="s">
        <v>10</v>
      </c>
      <c r="H13" s="50" t="s">
        <v>10</v>
      </c>
      <c r="I13" s="50"/>
    </row>
    <row r="14" spans="1:9" ht="16.5" thickBot="1">
      <c r="A14" s="529"/>
      <c r="B14" s="530"/>
      <c r="C14" s="530"/>
      <c r="D14" s="530"/>
      <c r="E14" s="530"/>
      <c r="F14" s="531"/>
      <c r="G14" s="51" t="s">
        <v>445</v>
      </c>
      <c r="H14" s="51" t="s">
        <v>476</v>
      </c>
      <c r="I14" s="51" t="s">
        <v>22</v>
      </c>
    </row>
    <row r="15" spans="1:9" ht="6.75" customHeight="1">
      <c r="A15" s="232"/>
      <c r="B15" s="232"/>
      <c r="C15" s="232"/>
      <c r="D15" s="232"/>
      <c r="E15" s="232"/>
      <c r="F15" s="232"/>
      <c r="G15" s="232"/>
      <c r="H15" s="232"/>
      <c r="I15" s="232"/>
    </row>
    <row r="16" spans="1:9" ht="15.75">
      <c r="A16" s="17" t="s">
        <v>50</v>
      </c>
      <c r="B16" s="515" t="s">
        <v>85</v>
      </c>
      <c r="C16" s="515"/>
      <c r="D16" s="515"/>
      <c r="E16" s="515"/>
      <c r="F16" s="515"/>
      <c r="G16" s="83"/>
      <c r="H16" s="326"/>
      <c r="I16" s="83"/>
    </row>
    <row r="17" spans="1:9" ht="15.75">
      <c r="A17" s="17"/>
      <c r="B17" s="17" t="s">
        <v>50</v>
      </c>
      <c r="C17" s="17" t="s">
        <v>86</v>
      </c>
      <c r="D17" s="17"/>
      <c r="E17" s="17"/>
      <c r="F17" s="17"/>
      <c r="G17" s="327"/>
      <c r="H17" s="327"/>
      <c r="I17" s="17"/>
    </row>
    <row r="18" spans="1:9" ht="18" customHeight="1">
      <c r="A18" s="17"/>
      <c r="B18" s="17"/>
      <c r="C18" s="17" t="s">
        <v>43</v>
      </c>
      <c r="D18" s="515" t="s">
        <v>87</v>
      </c>
      <c r="E18" s="515"/>
      <c r="F18" s="515"/>
      <c r="G18" s="326"/>
      <c r="H18" s="326"/>
      <c r="I18" s="83"/>
    </row>
    <row r="19" spans="1:9" ht="21.75" customHeight="1">
      <c r="A19" s="17"/>
      <c r="B19" s="17"/>
      <c r="C19" s="17"/>
      <c r="D19" s="17" t="s">
        <v>43</v>
      </c>
      <c r="E19" s="515" t="s">
        <v>88</v>
      </c>
      <c r="F19" s="515"/>
      <c r="G19" s="326"/>
      <c r="H19" s="326"/>
      <c r="I19" s="83"/>
    </row>
    <row r="20" spans="1:9" ht="15.75">
      <c r="A20" s="20"/>
      <c r="B20" s="20"/>
      <c r="C20" s="20"/>
      <c r="D20" s="20"/>
      <c r="E20" s="20" t="s">
        <v>57</v>
      </c>
      <c r="F20" s="20" t="s">
        <v>51</v>
      </c>
      <c r="G20" s="325"/>
      <c r="H20" s="325"/>
      <c r="I20" s="84"/>
    </row>
    <row r="21" spans="1:9" ht="20.25" customHeight="1">
      <c r="A21" s="20"/>
      <c r="B21" s="20"/>
      <c r="C21" s="20"/>
      <c r="D21" s="20"/>
      <c r="E21" s="20"/>
      <c r="F21" s="20" t="s">
        <v>89</v>
      </c>
      <c r="G21" s="325"/>
      <c r="I21" s="84"/>
    </row>
    <row r="22" spans="1:9" ht="31.5" customHeight="1">
      <c r="A22" s="20"/>
      <c r="B22" s="20"/>
      <c r="C22" s="20"/>
      <c r="D22" s="20"/>
      <c r="E22" s="20" t="s">
        <v>58</v>
      </c>
      <c r="F22" s="85" t="s">
        <v>52</v>
      </c>
      <c r="G22" s="324"/>
      <c r="I22" s="84"/>
    </row>
    <row r="23" spans="1:9" ht="36.75" customHeight="1">
      <c r="A23" s="20"/>
      <c r="B23" s="20"/>
      <c r="C23" s="20"/>
      <c r="D23" s="20"/>
      <c r="E23" s="20" t="s">
        <v>90</v>
      </c>
      <c r="F23" s="85" t="s">
        <v>91</v>
      </c>
      <c r="G23" s="245">
        <f>2553*1000</f>
        <v>2553000</v>
      </c>
      <c r="H23" s="245">
        <v>2553350</v>
      </c>
      <c r="I23" s="84">
        <f>H23/G23*100</f>
        <v>100.01370936153545</v>
      </c>
    </row>
    <row r="24" spans="1:9" ht="15.75">
      <c r="A24" s="20"/>
      <c r="B24" s="20"/>
      <c r="C24" s="20"/>
      <c r="D24" s="20"/>
      <c r="E24" s="20"/>
      <c r="F24" s="20" t="s">
        <v>89</v>
      </c>
      <c r="G24" s="245"/>
      <c r="H24" s="245"/>
      <c r="I24" s="84"/>
    </row>
    <row r="25" spans="1:9" ht="15.75">
      <c r="A25" s="20"/>
      <c r="B25" s="20"/>
      <c r="C25" s="20"/>
      <c r="D25" s="20"/>
      <c r="E25" s="20" t="s">
        <v>92</v>
      </c>
      <c r="F25" s="85" t="s">
        <v>93</v>
      </c>
      <c r="G25" s="245">
        <v>3648000</v>
      </c>
      <c r="H25" s="245">
        <v>3040000</v>
      </c>
      <c r="I25" s="84">
        <f>H25/G25*100</f>
        <v>83.33333333333334</v>
      </c>
    </row>
    <row r="26" spans="1:9" ht="15.75">
      <c r="A26" s="20"/>
      <c r="B26" s="20"/>
      <c r="C26" s="20"/>
      <c r="D26" s="20"/>
      <c r="E26" s="20"/>
      <c r="F26" s="20" t="s">
        <v>89</v>
      </c>
      <c r="G26" s="245"/>
      <c r="H26" s="245"/>
      <c r="I26" s="84"/>
    </row>
    <row r="27" spans="1:9" ht="23.25" customHeight="1">
      <c r="A27" s="20"/>
      <c r="B27" s="20"/>
      <c r="C27" s="20"/>
      <c r="D27" s="20"/>
      <c r="E27" s="20" t="s">
        <v>94</v>
      </c>
      <c r="F27" s="85" t="s">
        <v>95</v>
      </c>
      <c r="G27" s="245">
        <v>100000</v>
      </c>
      <c r="H27" s="245">
        <v>100000</v>
      </c>
      <c r="I27" s="84">
        <f>H27/G27*100</f>
        <v>100</v>
      </c>
    </row>
    <row r="28" spans="1:9" ht="15.75">
      <c r="A28" s="20"/>
      <c r="B28" s="20"/>
      <c r="C28" s="20"/>
      <c r="D28" s="20"/>
      <c r="E28" s="20"/>
      <c r="F28" s="20" t="s">
        <v>89</v>
      </c>
      <c r="G28" s="245"/>
      <c r="H28" s="245"/>
      <c r="I28" s="84"/>
    </row>
    <row r="29" spans="1:9" ht="15.75">
      <c r="A29" s="20"/>
      <c r="B29" s="20"/>
      <c r="C29" s="20"/>
      <c r="D29" s="20"/>
      <c r="E29" s="20" t="s">
        <v>96</v>
      </c>
      <c r="F29" s="85" t="s">
        <v>97</v>
      </c>
      <c r="G29" s="245">
        <v>7507000</v>
      </c>
      <c r="H29" s="245">
        <v>7506890</v>
      </c>
      <c r="I29" s="84">
        <f>H29/G29*100</f>
        <v>99.99853470094578</v>
      </c>
    </row>
    <row r="30" spans="1:9" s="37" customFormat="1" ht="15.75">
      <c r="A30" s="20"/>
      <c r="B30" s="20"/>
      <c r="C30" s="20"/>
      <c r="D30" s="20"/>
      <c r="E30" s="20"/>
      <c r="F30" s="20" t="s">
        <v>89</v>
      </c>
      <c r="G30" s="246"/>
      <c r="H30" s="246"/>
      <c r="I30" s="84"/>
    </row>
    <row r="31" spans="1:9" ht="15.75">
      <c r="A31" s="20"/>
      <c r="B31" s="20"/>
      <c r="C31" s="20"/>
      <c r="D31" s="20" t="s">
        <v>59</v>
      </c>
      <c r="E31" s="20" t="s">
        <v>98</v>
      </c>
      <c r="F31" s="20"/>
      <c r="G31" s="245">
        <v>5000000</v>
      </c>
      <c r="H31" s="245">
        <v>5000000</v>
      </c>
      <c r="I31" s="84">
        <f>H31/G31*100</f>
        <v>100</v>
      </c>
    </row>
    <row r="32" spans="1:9" ht="15.75">
      <c r="A32" s="20"/>
      <c r="B32" s="20"/>
      <c r="C32" s="20"/>
      <c r="D32" s="20"/>
      <c r="E32" s="20"/>
      <c r="F32" s="20" t="s">
        <v>89</v>
      </c>
      <c r="G32" s="245">
        <v>-267000</v>
      </c>
      <c r="H32" s="245"/>
      <c r="I32" s="84"/>
    </row>
    <row r="33" spans="1:9" ht="15.75">
      <c r="A33" s="20"/>
      <c r="B33" s="20"/>
      <c r="C33" s="20"/>
      <c r="D33" s="20"/>
      <c r="E33" s="20" t="s">
        <v>479</v>
      </c>
      <c r="F33" s="20"/>
      <c r="G33" s="245"/>
      <c r="H33" s="245">
        <v>3331195</v>
      </c>
      <c r="I33" s="84"/>
    </row>
    <row r="34" spans="1:9" ht="15.75">
      <c r="A34" s="20"/>
      <c r="B34" s="20"/>
      <c r="C34" s="20"/>
      <c r="D34" s="20" t="s">
        <v>60</v>
      </c>
      <c r="E34" s="20" t="s">
        <v>154</v>
      </c>
      <c r="F34" s="20"/>
      <c r="G34" s="245">
        <v>20000</v>
      </c>
      <c r="H34" s="245">
        <v>20400</v>
      </c>
      <c r="I34" s="84">
        <f>H34/G34*100</f>
        <v>102</v>
      </c>
    </row>
    <row r="35" spans="1:9" ht="15.75">
      <c r="A35" s="20"/>
      <c r="B35" s="20"/>
      <c r="C35" s="20"/>
      <c r="D35" s="20" t="s">
        <v>155</v>
      </c>
      <c r="E35" s="20" t="s">
        <v>111</v>
      </c>
      <c r="F35" s="20"/>
      <c r="G35" s="245">
        <v>207000</v>
      </c>
      <c r="H35" s="245">
        <v>286000</v>
      </c>
      <c r="I35" s="84">
        <f>H35/G35*100</f>
        <v>138.16425120772945</v>
      </c>
    </row>
    <row r="36" spans="1:9" ht="15.75">
      <c r="A36" s="20"/>
      <c r="B36" s="20"/>
      <c r="C36" s="20" t="s">
        <v>27</v>
      </c>
      <c r="D36" s="516" t="s">
        <v>99</v>
      </c>
      <c r="E36" s="516"/>
      <c r="F36" s="516"/>
      <c r="G36" s="245">
        <v>3000</v>
      </c>
      <c r="H36" s="245">
        <v>3000</v>
      </c>
      <c r="I36" s="84">
        <f>H36/G36*100</f>
        <v>100</v>
      </c>
    </row>
    <row r="37" spans="1:9" ht="15.75">
      <c r="A37" s="20"/>
      <c r="B37" s="20"/>
      <c r="C37" s="20" t="s">
        <v>104</v>
      </c>
      <c r="D37" s="20" t="s">
        <v>478</v>
      </c>
      <c r="E37" s="20"/>
      <c r="F37" s="20"/>
      <c r="G37" s="245">
        <v>34000</v>
      </c>
      <c r="H37" s="245">
        <v>11938</v>
      </c>
      <c r="I37" s="84">
        <f>H37/G37*100</f>
        <v>35.11176470588235</v>
      </c>
    </row>
    <row r="38" spans="1:9" ht="15.75">
      <c r="A38" s="20"/>
      <c r="B38" s="20"/>
      <c r="C38" s="20" t="s">
        <v>624</v>
      </c>
      <c r="D38" s="20" t="s">
        <v>623</v>
      </c>
      <c r="E38" s="20"/>
      <c r="F38" s="20"/>
      <c r="G38" s="245"/>
      <c r="H38" s="245">
        <v>1000000</v>
      </c>
      <c r="I38" s="84"/>
    </row>
    <row r="39" spans="1:9" ht="21" customHeight="1">
      <c r="A39" s="87"/>
      <c r="B39" s="87"/>
      <c r="C39" s="88"/>
      <c r="D39" s="517" t="s">
        <v>100</v>
      </c>
      <c r="E39" s="517"/>
      <c r="F39" s="517"/>
      <c r="G39" s="323">
        <f>SUM(G20:G37)</f>
        <v>18805000</v>
      </c>
      <c r="H39" s="323">
        <f>SUM(H20:H38)</f>
        <v>22852773</v>
      </c>
      <c r="I39" s="84">
        <f>H39/G39*100</f>
        <v>121.5249827173624</v>
      </c>
    </row>
    <row r="40" spans="1:9" ht="33" customHeight="1">
      <c r="A40" s="20"/>
      <c r="B40" s="20"/>
      <c r="C40" s="17" t="s">
        <v>44</v>
      </c>
      <c r="D40" s="515" t="s">
        <v>101</v>
      </c>
      <c r="E40" s="515"/>
      <c r="F40" s="515"/>
      <c r="G40" s="245"/>
      <c r="H40" s="245"/>
      <c r="I40" s="84"/>
    </row>
    <row r="41" spans="1:9" ht="15.75">
      <c r="A41" s="20"/>
      <c r="B41" s="20"/>
      <c r="C41" s="20"/>
      <c r="D41" s="20" t="s">
        <v>43</v>
      </c>
      <c r="E41" s="20" t="s">
        <v>156</v>
      </c>
      <c r="F41" s="20"/>
      <c r="G41" s="245"/>
      <c r="H41" s="245"/>
      <c r="I41" s="84"/>
    </row>
    <row r="42" spans="1:9" ht="30.75" customHeight="1">
      <c r="A42" s="20"/>
      <c r="B42" s="20"/>
      <c r="C42" s="20"/>
      <c r="D42" s="20" t="s">
        <v>27</v>
      </c>
      <c r="E42" s="516" t="s">
        <v>157</v>
      </c>
      <c r="F42" s="516"/>
      <c r="G42" s="245">
        <v>3855000</v>
      </c>
      <c r="H42" s="245">
        <v>4162000</v>
      </c>
      <c r="I42" s="84">
        <f>H42/G42*100</f>
        <v>107.96368352788586</v>
      </c>
    </row>
    <row r="43" spans="1:9" ht="15.75">
      <c r="A43" s="20"/>
      <c r="B43" s="20"/>
      <c r="C43" s="20"/>
      <c r="D43" s="20" t="s">
        <v>44</v>
      </c>
      <c r="E43" s="20" t="s">
        <v>102</v>
      </c>
      <c r="F43" s="20"/>
      <c r="G43" s="245">
        <v>830000</v>
      </c>
      <c r="H43" s="245">
        <v>830400</v>
      </c>
      <c r="I43" s="84">
        <f>H43/G43*100</f>
        <v>100.04819277108435</v>
      </c>
    </row>
    <row r="44" spans="1:9" ht="15.75">
      <c r="A44" s="20"/>
      <c r="B44" s="20"/>
      <c r="C44" s="20"/>
      <c r="D44" s="20" t="s">
        <v>104</v>
      </c>
      <c r="E44" s="20" t="s">
        <v>105</v>
      </c>
      <c r="F44" s="20"/>
      <c r="G44" s="245">
        <v>3824000</v>
      </c>
      <c r="H44" s="245">
        <f>1240320+3944762+326400-343723</f>
        <v>5167759</v>
      </c>
      <c r="I44" s="84">
        <f>H44/G44*100</f>
        <v>135.14014121338914</v>
      </c>
    </row>
    <row r="45" spans="1:9" ht="33.75" customHeight="1">
      <c r="A45" s="87"/>
      <c r="B45" s="87"/>
      <c r="C45" s="517" t="s">
        <v>106</v>
      </c>
      <c r="D45" s="517"/>
      <c r="E45" s="517"/>
      <c r="F45" s="517"/>
      <c r="G45" s="322">
        <f>SUM(G41:G44)</f>
        <v>8509000</v>
      </c>
      <c r="H45" s="322">
        <f>SUM(H41:H44)</f>
        <v>10160159</v>
      </c>
      <c r="I45" s="84">
        <f>H45/G45*100</f>
        <v>119.40485368433424</v>
      </c>
    </row>
    <row r="46" spans="1:9" ht="21.75" customHeight="1">
      <c r="A46" s="20"/>
      <c r="B46" s="20"/>
      <c r="C46" s="17" t="s">
        <v>103</v>
      </c>
      <c r="D46" s="515" t="s">
        <v>107</v>
      </c>
      <c r="E46" s="515"/>
      <c r="F46" s="515"/>
      <c r="G46" s="321"/>
      <c r="H46" s="245"/>
      <c r="I46" s="84"/>
    </row>
    <row r="47" spans="1:9" ht="15.75">
      <c r="A47" s="20"/>
      <c r="B47" s="20"/>
      <c r="C47" s="20"/>
      <c r="D47" s="20" t="s">
        <v>43</v>
      </c>
      <c r="E47" s="516" t="s">
        <v>55</v>
      </c>
      <c r="F47" s="516"/>
      <c r="G47" s="317"/>
      <c r="H47" s="245"/>
      <c r="I47" s="84"/>
    </row>
    <row r="48" spans="1:9" ht="31.5">
      <c r="A48" s="20"/>
      <c r="B48" s="20"/>
      <c r="C48" s="20"/>
      <c r="D48" s="20"/>
      <c r="E48" s="20" t="s">
        <v>60</v>
      </c>
      <c r="F48" s="85" t="s">
        <v>108</v>
      </c>
      <c r="G48" s="317">
        <v>1200000</v>
      </c>
      <c r="H48" s="245">
        <v>1200000</v>
      </c>
      <c r="I48" s="84">
        <f>H48/G48*100</f>
        <v>100</v>
      </c>
    </row>
    <row r="49" spans="1:9" ht="12" customHeight="1">
      <c r="A49" s="20"/>
      <c r="B49" s="20"/>
      <c r="C49" s="20"/>
      <c r="D49" s="20"/>
      <c r="E49" s="20"/>
      <c r="F49" s="20"/>
      <c r="G49" s="316"/>
      <c r="H49" s="245"/>
      <c r="I49" s="84"/>
    </row>
    <row r="50" spans="1:9" ht="30" customHeight="1">
      <c r="A50" s="87"/>
      <c r="B50" s="87"/>
      <c r="C50" s="517" t="s">
        <v>109</v>
      </c>
      <c r="D50" s="517"/>
      <c r="E50" s="517"/>
      <c r="F50" s="517"/>
      <c r="G50" s="322">
        <f>SUM(G48:G49)</f>
        <v>1200000</v>
      </c>
      <c r="H50" s="322">
        <f>SUM(H48:H49)</f>
        <v>1200000</v>
      </c>
      <c r="I50" s="84">
        <f>H50/G50*100</f>
        <v>100</v>
      </c>
    </row>
    <row r="51" spans="1:9" ht="18.75" customHeight="1">
      <c r="A51" s="87"/>
      <c r="B51" s="87"/>
      <c r="C51" s="462" t="s">
        <v>104</v>
      </c>
      <c r="D51" s="519" t="s">
        <v>622</v>
      </c>
      <c r="E51" s="514"/>
      <c r="F51" s="514"/>
      <c r="G51" s="322"/>
      <c r="H51" s="322"/>
      <c r="I51" s="84"/>
    </row>
    <row r="52" spans="1:10" ht="18.75" customHeight="1">
      <c r="A52" s="87"/>
      <c r="B52" s="87"/>
      <c r="C52" s="45"/>
      <c r="E52" s="43" t="s">
        <v>43</v>
      </c>
      <c r="F52" s="46" t="s">
        <v>621</v>
      </c>
      <c r="G52" s="43"/>
      <c r="H52" s="244">
        <f>27846+28792+14396+8144</f>
        <v>79178</v>
      </c>
      <c r="I52" s="244"/>
      <c r="J52" s="244"/>
    </row>
    <row r="53" spans="1:10" ht="18.75" customHeight="1">
      <c r="A53" s="87"/>
      <c r="B53" s="87"/>
      <c r="C53" s="45"/>
      <c r="E53" s="43" t="s">
        <v>27</v>
      </c>
      <c r="F53" s="43" t="s">
        <v>620</v>
      </c>
      <c r="G53" s="43"/>
      <c r="H53" s="244">
        <f>115989+28998</f>
        <v>144987</v>
      </c>
      <c r="I53" s="244"/>
      <c r="J53" s="244"/>
    </row>
    <row r="54" spans="1:10" ht="18" customHeight="1">
      <c r="A54" s="87"/>
      <c r="B54" s="87"/>
      <c r="C54" s="45"/>
      <c r="E54" s="43" t="s">
        <v>44</v>
      </c>
      <c r="F54" s="46" t="s">
        <v>619</v>
      </c>
      <c r="G54" s="43"/>
      <c r="H54" s="244">
        <f>806700+268900</f>
        <v>1075600</v>
      </c>
      <c r="I54" s="244"/>
      <c r="J54" s="244"/>
    </row>
    <row r="55" spans="1:10" ht="18" customHeight="1">
      <c r="A55" s="87"/>
      <c r="B55" s="87"/>
      <c r="C55" s="45"/>
      <c r="E55" s="43" t="s">
        <v>642</v>
      </c>
      <c r="F55" s="46" t="s">
        <v>641</v>
      </c>
      <c r="G55" s="43"/>
      <c r="H55" s="244">
        <v>711200</v>
      </c>
      <c r="I55" s="244"/>
      <c r="J55" s="244"/>
    </row>
    <row r="56" spans="1:10" ht="17.25" customHeight="1">
      <c r="A56" s="87"/>
      <c r="B56" s="87"/>
      <c r="C56" s="468" t="s">
        <v>618</v>
      </c>
      <c r="D56" s="465"/>
      <c r="E56" s="465"/>
      <c r="F56" s="465"/>
      <c r="G56" s="43"/>
      <c r="H56" s="244">
        <f>H52+H53+H54+H55</f>
        <v>2010965</v>
      </c>
      <c r="I56" s="244"/>
      <c r="J56" s="244"/>
    </row>
    <row r="57" spans="1:10" ht="17.25" customHeight="1">
      <c r="A57" s="87"/>
      <c r="B57" s="87"/>
      <c r="C57" s="466" t="s">
        <v>617</v>
      </c>
      <c r="D57" s="465"/>
      <c r="E57" s="465"/>
      <c r="F57" s="465"/>
      <c r="G57" s="43"/>
      <c r="H57" s="244"/>
      <c r="I57" s="244"/>
      <c r="J57" s="244"/>
    </row>
    <row r="58" spans="1:10" ht="17.25" customHeight="1">
      <c r="A58" s="87"/>
      <c r="B58" s="87"/>
      <c r="C58" s="466"/>
      <c r="D58" s="465"/>
      <c r="E58" s="470" t="s">
        <v>43</v>
      </c>
      <c r="F58" s="469" t="s">
        <v>616</v>
      </c>
      <c r="G58" s="43"/>
      <c r="H58" s="244">
        <v>65080</v>
      </c>
      <c r="I58" s="244"/>
      <c r="J58" s="244"/>
    </row>
    <row r="59" spans="1:9" ht="17.25" customHeight="1">
      <c r="A59" s="87"/>
      <c r="B59" s="87"/>
      <c r="C59" s="468" t="s">
        <v>615</v>
      </c>
      <c r="D59" s="467"/>
      <c r="E59" s="467"/>
      <c r="F59" s="467"/>
      <c r="G59" s="322"/>
      <c r="H59" s="322">
        <f>H58</f>
        <v>65080</v>
      </c>
      <c r="I59" s="84"/>
    </row>
    <row r="60" spans="1:9" ht="7.5" customHeight="1">
      <c r="A60" s="87"/>
      <c r="B60" s="87"/>
      <c r="C60" s="466"/>
      <c r="D60" s="465"/>
      <c r="E60" s="465"/>
      <c r="F60" s="465"/>
      <c r="G60" s="322"/>
      <c r="H60" s="322"/>
      <c r="I60" s="84"/>
    </row>
    <row r="61" spans="1:9" ht="15.75">
      <c r="A61" s="89"/>
      <c r="B61" s="515" t="s">
        <v>112</v>
      </c>
      <c r="C61" s="515"/>
      <c r="D61" s="515"/>
      <c r="E61" s="515"/>
      <c r="F61" s="515"/>
      <c r="G61" s="320">
        <f>G39+G45+G50</f>
        <v>28514000</v>
      </c>
      <c r="H61" s="320">
        <f>H39+H45+H50+H56+H59</f>
        <v>36288977</v>
      </c>
      <c r="I61" s="84">
        <f>H61/G61*100</f>
        <v>127.26722662551728</v>
      </c>
    </row>
    <row r="62" spans="1:9" ht="12" customHeight="1">
      <c r="A62" s="20"/>
      <c r="B62" s="20"/>
      <c r="C62" s="20"/>
      <c r="D62" s="20"/>
      <c r="E62" s="20"/>
      <c r="F62" s="20"/>
      <c r="G62" s="316"/>
      <c r="H62" s="245"/>
      <c r="I62" s="84"/>
    </row>
    <row r="63" spans="1:9" ht="29.25" customHeight="1">
      <c r="A63" s="89"/>
      <c r="B63" s="17" t="s">
        <v>53</v>
      </c>
      <c r="C63" s="515" t="s">
        <v>113</v>
      </c>
      <c r="D63" s="515"/>
      <c r="E63" s="515"/>
      <c r="F63" s="515"/>
      <c r="G63" s="321"/>
      <c r="H63" s="245"/>
      <c r="I63" s="84"/>
    </row>
    <row r="64" spans="1:9" ht="30" customHeight="1">
      <c r="A64" s="20"/>
      <c r="B64" s="20"/>
      <c r="C64" s="20" t="s">
        <v>43</v>
      </c>
      <c r="D64" s="520" t="s">
        <v>366</v>
      </c>
      <c r="E64" s="520"/>
      <c r="F64" s="520"/>
      <c r="G64" s="316">
        <v>46000</v>
      </c>
      <c r="H64" s="245">
        <v>46400</v>
      </c>
      <c r="I64" s="84">
        <f>H64/G64*100</f>
        <v>100.8695652173913</v>
      </c>
    </row>
    <row r="65" spans="1:9" ht="17.25" customHeight="1">
      <c r="A65" s="20"/>
      <c r="B65" s="20"/>
      <c r="C65" s="20" t="s">
        <v>27</v>
      </c>
      <c r="D65" s="20" t="s">
        <v>614</v>
      </c>
      <c r="E65" s="20"/>
      <c r="F65" s="20"/>
      <c r="G65" s="316"/>
      <c r="H65" s="245">
        <f>722670+501752+180996+180996</f>
        <v>1586414</v>
      </c>
      <c r="I65" s="84"/>
    </row>
    <row r="66" spans="1:9" ht="17.25" customHeight="1">
      <c r="A66" s="20"/>
      <c r="B66" s="20"/>
      <c r="C66" s="20" t="s">
        <v>44</v>
      </c>
      <c r="D66" s="20" t="s">
        <v>613</v>
      </c>
      <c r="E66" s="20"/>
      <c r="F66" s="20"/>
      <c r="G66" s="316"/>
      <c r="H66" s="245">
        <f>66664+192746</f>
        <v>259410</v>
      </c>
      <c r="I66" s="84"/>
    </row>
    <row r="67" spans="1:9" ht="17.25" customHeight="1">
      <c r="A67" s="20"/>
      <c r="B67" s="20"/>
      <c r="C67" s="20" t="s">
        <v>103</v>
      </c>
      <c r="D67" s="20" t="s">
        <v>612</v>
      </c>
      <c r="E67" s="20"/>
      <c r="F67" s="20"/>
      <c r="G67" s="316"/>
      <c r="H67" s="245">
        <v>50000</v>
      </c>
      <c r="I67" s="84"/>
    </row>
    <row r="68" spans="1:9" ht="34.5" customHeight="1">
      <c r="A68" s="20"/>
      <c r="B68" s="20"/>
      <c r="C68" s="464" t="s">
        <v>104</v>
      </c>
      <c r="D68" s="532" t="s">
        <v>611</v>
      </c>
      <c r="E68" s="533"/>
      <c r="F68" s="533"/>
      <c r="G68" s="316"/>
      <c r="H68" s="245">
        <v>290830</v>
      </c>
      <c r="I68" s="84"/>
    </row>
    <row r="69" spans="1:9" ht="15.75" customHeight="1">
      <c r="A69" s="89"/>
      <c r="B69" s="515" t="s">
        <v>114</v>
      </c>
      <c r="C69" s="515"/>
      <c r="D69" s="515"/>
      <c r="E69" s="515"/>
      <c r="F69" s="515"/>
      <c r="G69" s="320">
        <f>SUM(G64:G64)</f>
        <v>46000</v>
      </c>
      <c r="H69" s="320">
        <f>SUM(H64:H68)</f>
        <v>2233054</v>
      </c>
      <c r="I69" s="84">
        <f>H69/G69*100</f>
        <v>4854.465217391305</v>
      </c>
    </row>
    <row r="70" spans="1:9" ht="12" customHeight="1">
      <c r="A70" s="20"/>
      <c r="B70" s="20"/>
      <c r="C70" s="20"/>
      <c r="D70" s="20"/>
      <c r="E70" s="20"/>
      <c r="F70" s="20"/>
      <c r="G70" s="316"/>
      <c r="H70" s="245"/>
      <c r="I70" s="84"/>
    </row>
    <row r="71" spans="1:9" ht="36" customHeight="1">
      <c r="A71" s="515" t="s">
        <v>115</v>
      </c>
      <c r="B71" s="515"/>
      <c r="C71" s="515"/>
      <c r="D71" s="515"/>
      <c r="E71" s="515"/>
      <c r="F71" s="515"/>
      <c r="G71" s="247">
        <f>G69+G61</f>
        <v>28560000</v>
      </c>
      <c r="H71" s="247">
        <f>H69+H61</f>
        <v>38522031</v>
      </c>
      <c r="I71" s="84">
        <f>H71/G71*100</f>
        <v>134.88106092436976</v>
      </c>
    </row>
    <row r="72" spans="1:9" s="52" customFormat="1" ht="32.25" customHeight="1">
      <c r="A72" s="17" t="s">
        <v>53</v>
      </c>
      <c r="B72" s="515" t="s">
        <v>116</v>
      </c>
      <c r="C72" s="515"/>
      <c r="D72" s="515"/>
      <c r="E72" s="515"/>
      <c r="F72" s="515"/>
      <c r="G72" s="247"/>
      <c r="H72" s="321"/>
      <c r="I72" s="84"/>
    </row>
    <row r="73" spans="1:9" s="52" customFormat="1" ht="17.25" customHeight="1">
      <c r="A73" s="17"/>
      <c r="B73" s="82"/>
      <c r="C73" s="90" t="s">
        <v>43</v>
      </c>
      <c r="D73" s="516" t="s">
        <v>640</v>
      </c>
      <c r="E73" s="521"/>
      <c r="F73" s="521"/>
      <c r="G73" s="247"/>
      <c r="H73" s="317">
        <v>12630487</v>
      </c>
      <c r="I73" s="84"/>
    </row>
    <row r="74" spans="1:9" s="52" customFormat="1" ht="15.75" customHeight="1">
      <c r="A74" s="17"/>
      <c r="B74" s="82"/>
      <c r="C74" s="90" t="s">
        <v>27</v>
      </c>
      <c r="D74" s="516" t="s">
        <v>639</v>
      </c>
      <c r="E74" s="521"/>
      <c r="F74" s="521"/>
      <c r="G74" s="247"/>
      <c r="H74" s="317">
        <v>40000000</v>
      </c>
      <c r="I74" s="84"/>
    </row>
    <row r="75" spans="1:9" s="52" customFormat="1" ht="15.75" customHeight="1">
      <c r="A75" s="17"/>
      <c r="B75" s="82"/>
      <c r="C75" s="90" t="s">
        <v>44</v>
      </c>
      <c r="D75" s="537" t="s">
        <v>685</v>
      </c>
      <c r="E75" s="514"/>
      <c r="F75" s="514"/>
      <c r="G75" s="247"/>
      <c r="H75" s="317">
        <v>1250000</v>
      </c>
      <c r="I75" s="84"/>
    </row>
    <row r="76" spans="1:9" s="52" customFormat="1" ht="31.5" customHeight="1">
      <c r="A76" s="17"/>
      <c r="B76" s="82"/>
      <c r="C76" s="476" t="s">
        <v>103</v>
      </c>
      <c r="D76" s="532" t="s">
        <v>610</v>
      </c>
      <c r="E76" s="533"/>
      <c r="F76" s="533"/>
      <c r="G76" s="316"/>
      <c r="H76" s="245">
        <v>64999</v>
      </c>
      <c r="I76" s="84"/>
    </row>
    <row r="77" spans="1:9" s="52" customFormat="1" ht="30.75" customHeight="1">
      <c r="A77" s="515" t="s">
        <v>638</v>
      </c>
      <c r="B77" s="515"/>
      <c r="C77" s="515"/>
      <c r="D77" s="515"/>
      <c r="E77" s="515"/>
      <c r="F77" s="534"/>
      <c r="G77" s="247"/>
      <c r="H77" s="321">
        <f>H73+H74+H76+H75</f>
        <v>53945486</v>
      </c>
      <c r="I77" s="84"/>
    </row>
    <row r="78" spans="1:9" ht="13.5" customHeight="1">
      <c r="A78" s="82"/>
      <c r="B78" s="82"/>
      <c r="C78" s="82"/>
      <c r="D78" s="82"/>
      <c r="E78" s="82"/>
      <c r="F78" s="82"/>
      <c r="G78" s="320"/>
      <c r="H78" s="320"/>
      <c r="I78" s="84"/>
    </row>
    <row r="79" spans="1:9" ht="15.75">
      <c r="A79" s="17" t="s">
        <v>54</v>
      </c>
      <c r="B79" s="17" t="s">
        <v>117</v>
      </c>
      <c r="C79" s="17"/>
      <c r="D79" s="17"/>
      <c r="E79" s="17"/>
      <c r="F79" s="17"/>
      <c r="G79" s="248"/>
      <c r="H79" s="319"/>
      <c r="I79" s="84"/>
    </row>
    <row r="80" spans="1:9" ht="12" customHeight="1">
      <c r="A80" s="20"/>
      <c r="B80" s="20"/>
      <c r="C80" s="20"/>
      <c r="D80" s="20"/>
      <c r="E80" s="20"/>
      <c r="F80" s="20"/>
      <c r="G80" s="316"/>
      <c r="H80" s="316"/>
      <c r="I80" s="84"/>
    </row>
    <row r="81" spans="1:9" ht="15.75">
      <c r="A81" s="20"/>
      <c r="B81" s="20" t="s">
        <v>43</v>
      </c>
      <c r="C81" s="20" t="s">
        <v>118</v>
      </c>
      <c r="D81" s="20"/>
      <c r="E81" s="20"/>
      <c r="F81" s="20"/>
      <c r="G81" s="249"/>
      <c r="H81" s="316"/>
      <c r="I81" s="84"/>
    </row>
    <row r="82" spans="1:9" ht="15.75">
      <c r="A82" s="20"/>
      <c r="B82" s="20"/>
      <c r="C82" s="20" t="s">
        <v>43</v>
      </c>
      <c r="D82" s="20" t="s">
        <v>119</v>
      </c>
      <c r="E82" s="20"/>
      <c r="F82" s="20"/>
      <c r="G82" s="316">
        <v>1500000</v>
      </c>
      <c r="H82" s="245">
        <v>1500000</v>
      </c>
      <c r="I82" s="84">
        <f>H82/G82*100</f>
        <v>100</v>
      </c>
    </row>
    <row r="83" spans="1:9" ht="15.75">
      <c r="A83" s="17"/>
      <c r="B83" s="17" t="s">
        <v>27</v>
      </c>
      <c r="C83" s="17" t="s">
        <v>120</v>
      </c>
      <c r="D83" s="17"/>
      <c r="E83" s="17"/>
      <c r="F83" s="17"/>
      <c r="G83" s="319"/>
      <c r="H83" s="245"/>
      <c r="I83" s="84"/>
    </row>
    <row r="84" spans="1:9" s="9" customFormat="1" ht="15.75">
      <c r="A84" s="20"/>
      <c r="B84" s="20"/>
      <c r="C84" s="20" t="s">
        <v>43</v>
      </c>
      <c r="D84" s="20" t="s">
        <v>121</v>
      </c>
      <c r="E84" s="20"/>
      <c r="F84" s="20"/>
      <c r="G84" s="316">
        <v>3900000</v>
      </c>
      <c r="H84" s="250">
        <v>3900000</v>
      </c>
      <c r="I84" s="84">
        <f>H84/G84*100</f>
        <v>100</v>
      </c>
    </row>
    <row r="85" spans="1:9" ht="15.75">
      <c r="A85" s="17"/>
      <c r="B85" s="17" t="s">
        <v>44</v>
      </c>
      <c r="C85" s="17" t="s">
        <v>122</v>
      </c>
      <c r="D85" s="17"/>
      <c r="E85" s="17"/>
      <c r="F85" s="17"/>
      <c r="G85" s="319"/>
      <c r="H85" s="245"/>
      <c r="I85" s="84"/>
    </row>
    <row r="86" spans="1:9" ht="15.75">
      <c r="A86" s="20"/>
      <c r="B86" s="20"/>
      <c r="C86" s="20" t="s">
        <v>43</v>
      </c>
      <c r="D86" s="20" t="s">
        <v>123</v>
      </c>
      <c r="E86" s="20"/>
      <c r="F86" s="20"/>
      <c r="G86" s="316">
        <v>1913000</v>
      </c>
      <c r="H86" s="245">
        <v>1913000</v>
      </c>
      <c r="I86" s="84">
        <f>H86/G86*100</f>
        <v>100</v>
      </c>
    </row>
    <row r="87" spans="1:9" ht="15.75">
      <c r="A87" s="20"/>
      <c r="B87" s="17" t="s">
        <v>103</v>
      </c>
      <c r="C87" s="17" t="s">
        <v>124</v>
      </c>
      <c r="D87" s="20"/>
      <c r="E87" s="20"/>
      <c r="F87" s="20"/>
      <c r="G87" s="316"/>
      <c r="H87" s="245"/>
      <c r="I87" s="84"/>
    </row>
    <row r="88" spans="1:9" ht="15.75">
      <c r="A88" s="20"/>
      <c r="B88" s="20"/>
      <c r="C88" s="20" t="s">
        <v>43</v>
      </c>
      <c r="D88" s="20" t="s">
        <v>125</v>
      </c>
      <c r="E88" s="20"/>
      <c r="F88" s="20"/>
      <c r="G88" s="316">
        <v>140000</v>
      </c>
      <c r="H88" s="245">
        <v>140000</v>
      </c>
      <c r="I88" s="84">
        <f>H88/G88*100</f>
        <v>100</v>
      </c>
    </row>
    <row r="89" spans="1:9" ht="15.75">
      <c r="A89" s="20"/>
      <c r="B89" s="20"/>
      <c r="C89" s="20" t="s">
        <v>27</v>
      </c>
      <c r="D89" s="20" t="s">
        <v>84</v>
      </c>
      <c r="E89" s="20"/>
      <c r="F89" s="20"/>
      <c r="G89" s="316">
        <v>280000</v>
      </c>
      <c r="H89" s="245">
        <v>280000</v>
      </c>
      <c r="I89" s="84">
        <f>H89/G89*100</f>
        <v>100</v>
      </c>
    </row>
    <row r="90" spans="1:9" ht="15.75">
      <c r="A90" s="17"/>
      <c r="B90" s="17" t="s">
        <v>104</v>
      </c>
      <c r="C90" s="17" t="s">
        <v>126</v>
      </c>
      <c r="D90" s="17"/>
      <c r="E90" s="17"/>
      <c r="F90" s="17"/>
      <c r="G90" s="319"/>
      <c r="H90" s="245"/>
      <c r="I90" s="84"/>
    </row>
    <row r="91" spans="1:9" ht="15.75">
      <c r="A91" s="20"/>
      <c r="B91" s="20"/>
      <c r="C91" s="17" t="s">
        <v>43</v>
      </c>
      <c r="D91" s="20" t="s">
        <v>127</v>
      </c>
      <c r="E91" s="20"/>
      <c r="F91" s="20"/>
      <c r="G91" s="316">
        <v>5000</v>
      </c>
      <c r="H91" s="245">
        <v>5000</v>
      </c>
      <c r="I91" s="84">
        <f>H91/G91*100</f>
        <v>100</v>
      </c>
    </row>
    <row r="92" spans="1:9" ht="15.75" customHeight="1">
      <c r="A92" s="89"/>
      <c r="B92" s="89"/>
      <c r="C92" s="89" t="s">
        <v>44</v>
      </c>
      <c r="D92" s="91" t="s">
        <v>126</v>
      </c>
      <c r="E92" s="89"/>
      <c r="F92" s="89"/>
      <c r="G92" s="318"/>
      <c r="H92" s="245"/>
      <c r="I92" s="84"/>
    </row>
    <row r="93" spans="1:9" ht="15.75">
      <c r="A93" s="20"/>
      <c r="B93" s="20"/>
      <c r="C93" s="17" t="s">
        <v>103</v>
      </c>
      <c r="D93" s="20" t="s">
        <v>128</v>
      </c>
      <c r="E93" s="20"/>
      <c r="F93" s="20"/>
      <c r="G93" s="316">
        <v>75000</v>
      </c>
      <c r="H93" s="245">
        <v>75000</v>
      </c>
      <c r="I93" s="84">
        <f>H93/G93*100</f>
        <v>100</v>
      </c>
    </row>
    <row r="94" spans="1:9" s="9" customFormat="1" ht="15.75">
      <c r="A94" s="17" t="s">
        <v>72</v>
      </c>
      <c r="B94" s="89"/>
      <c r="C94" s="89"/>
      <c r="D94" s="89"/>
      <c r="E94" s="89"/>
      <c r="F94" s="89"/>
      <c r="G94" s="320">
        <f>G82+G84+G86+G88+G89+G91+G92+G93</f>
        <v>7813000</v>
      </c>
      <c r="H94" s="320">
        <f>H82+H84+H86+H88+H89+H91+H92+H93</f>
        <v>7813000</v>
      </c>
      <c r="I94" s="84">
        <f>H94/G94*100</f>
        <v>100</v>
      </c>
    </row>
    <row r="95" spans="1:9" ht="12.75" customHeight="1">
      <c r="A95" s="89"/>
      <c r="B95" s="89"/>
      <c r="C95" s="89"/>
      <c r="D95" s="89"/>
      <c r="E95" s="89"/>
      <c r="F95" s="89"/>
      <c r="G95" s="318"/>
      <c r="H95" s="318"/>
      <c r="I95" s="84"/>
    </row>
    <row r="96" spans="1:9" ht="15.75">
      <c r="A96" s="17" t="s">
        <v>129</v>
      </c>
      <c r="B96" s="17" t="s">
        <v>56</v>
      </c>
      <c r="C96" s="17"/>
      <c r="D96" s="17"/>
      <c r="E96" s="17"/>
      <c r="F96" s="17"/>
      <c r="G96" s="248"/>
      <c r="H96" s="319"/>
      <c r="I96" s="84"/>
    </row>
    <row r="97" spans="1:9" ht="15.75">
      <c r="A97" s="89"/>
      <c r="B97" s="89" t="s">
        <v>43</v>
      </c>
      <c r="C97" s="536" t="s">
        <v>130</v>
      </c>
      <c r="D97" s="536"/>
      <c r="E97" s="536"/>
      <c r="F97" s="536"/>
      <c r="G97" s="318"/>
      <c r="H97" s="318"/>
      <c r="I97" s="84"/>
    </row>
    <row r="98" spans="1:9" ht="15.75">
      <c r="A98" s="89"/>
      <c r="B98" s="89"/>
      <c r="C98" s="89" t="s">
        <v>43</v>
      </c>
      <c r="D98" s="91" t="s">
        <v>141</v>
      </c>
      <c r="E98" s="91"/>
      <c r="F98" s="91"/>
      <c r="G98" s="318">
        <v>187000</v>
      </c>
      <c r="H98" s="245">
        <f>186535+30990</f>
        <v>217525</v>
      </c>
      <c r="I98" s="84">
        <f>H98/G98*100</f>
        <v>116.32352941176471</v>
      </c>
    </row>
    <row r="99" spans="1:9" ht="15.75">
      <c r="A99" s="89"/>
      <c r="B99" s="89"/>
      <c r="C99" s="89" t="s">
        <v>27</v>
      </c>
      <c r="D99" s="91" t="s">
        <v>133</v>
      </c>
      <c r="E99" s="91"/>
      <c r="F99" s="91"/>
      <c r="G99" s="318"/>
      <c r="H99" s="245"/>
      <c r="I99" s="84"/>
    </row>
    <row r="100" spans="1:9" ht="15.75">
      <c r="A100" s="89"/>
      <c r="B100" s="89"/>
      <c r="C100" s="89"/>
      <c r="D100" s="91" t="s">
        <v>43</v>
      </c>
      <c r="E100" s="91" t="s">
        <v>134</v>
      </c>
      <c r="F100" s="91"/>
      <c r="G100" s="318">
        <v>20000</v>
      </c>
      <c r="H100" s="245">
        <v>20000</v>
      </c>
      <c r="I100" s="84">
        <f>H100/G100*100</f>
        <v>100</v>
      </c>
    </row>
    <row r="101" spans="1:9" ht="15.75">
      <c r="A101" s="89"/>
      <c r="B101" s="89"/>
      <c r="C101" s="89"/>
      <c r="D101" s="91" t="s">
        <v>27</v>
      </c>
      <c r="E101" s="91" t="s">
        <v>135</v>
      </c>
      <c r="F101" s="91"/>
      <c r="G101" s="318">
        <v>820000</v>
      </c>
      <c r="H101" s="245">
        <v>820000</v>
      </c>
      <c r="I101" s="84">
        <f>H101/G101*100</f>
        <v>100</v>
      </c>
    </row>
    <row r="102" spans="1:9" ht="15.75">
      <c r="A102" s="89"/>
      <c r="B102" s="89"/>
      <c r="C102" s="89"/>
      <c r="D102" s="91" t="s">
        <v>44</v>
      </c>
      <c r="E102" s="91" t="s">
        <v>136</v>
      </c>
      <c r="F102" s="91"/>
      <c r="G102" s="318">
        <v>2000</v>
      </c>
      <c r="H102" s="245">
        <v>2000</v>
      </c>
      <c r="I102" s="84">
        <f>H102/G102*100</f>
        <v>100</v>
      </c>
    </row>
    <row r="103" spans="1:9" ht="15.75">
      <c r="A103" s="89"/>
      <c r="B103" s="89"/>
      <c r="C103" s="89"/>
      <c r="D103" s="91" t="s">
        <v>103</v>
      </c>
      <c r="E103" s="91" t="s">
        <v>73</v>
      </c>
      <c r="F103" s="91"/>
      <c r="G103" s="318">
        <v>1000</v>
      </c>
      <c r="H103" s="245"/>
      <c r="I103" s="84">
        <f>H103/G103*100</f>
        <v>0</v>
      </c>
    </row>
    <row r="104" spans="1:9" ht="15.75">
      <c r="A104" s="89"/>
      <c r="B104" s="89"/>
      <c r="C104" s="89"/>
      <c r="D104" s="91" t="s">
        <v>104</v>
      </c>
      <c r="E104" s="91" t="s">
        <v>137</v>
      </c>
      <c r="F104" s="91"/>
      <c r="G104" s="318">
        <v>85000</v>
      </c>
      <c r="H104" s="245">
        <v>85179</v>
      </c>
      <c r="I104" s="84">
        <f>H104/G104*100</f>
        <v>100.21058823529413</v>
      </c>
    </row>
    <row r="105" spans="1:9" ht="15.75">
      <c r="A105" s="89"/>
      <c r="B105" s="89"/>
      <c r="C105" s="89" t="s">
        <v>44</v>
      </c>
      <c r="D105" s="91" t="s">
        <v>158</v>
      </c>
      <c r="E105" s="91"/>
      <c r="F105" s="91"/>
      <c r="G105" s="318"/>
      <c r="H105" s="245"/>
      <c r="I105" s="84"/>
    </row>
    <row r="106" spans="1:9" ht="15.75">
      <c r="A106" s="89"/>
      <c r="B106" s="89"/>
      <c r="D106" s="89" t="s">
        <v>43</v>
      </c>
      <c r="E106" s="91" t="s">
        <v>131</v>
      </c>
      <c r="F106" s="89"/>
      <c r="G106" s="318">
        <v>40000</v>
      </c>
      <c r="H106" s="245">
        <v>51800</v>
      </c>
      <c r="I106" s="84">
        <f>H106/G106*100</f>
        <v>129.5</v>
      </c>
    </row>
    <row r="107" spans="1:9" ht="15.75">
      <c r="A107" s="89"/>
      <c r="B107" s="89"/>
      <c r="D107" s="89" t="s">
        <v>27</v>
      </c>
      <c r="E107" s="91" t="s">
        <v>132</v>
      </c>
      <c r="F107" s="91"/>
      <c r="G107" s="318">
        <v>385000</v>
      </c>
      <c r="H107" s="245">
        <f>177600+8666</f>
        <v>186266</v>
      </c>
      <c r="I107" s="84">
        <f>H107/G107*100</f>
        <v>48.38077922077922</v>
      </c>
    </row>
    <row r="108" spans="4:9" ht="15.75">
      <c r="D108" s="43" t="s">
        <v>44</v>
      </c>
      <c r="E108" s="91" t="s">
        <v>74</v>
      </c>
      <c r="G108" s="318">
        <v>661000</v>
      </c>
      <c r="H108" s="245">
        <f>660744+200000+24792</f>
        <v>885536</v>
      </c>
      <c r="I108" s="84">
        <f>H108/G108*100</f>
        <v>133.96913767019666</v>
      </c>
    </row>
    <row r="109" spans="1:9" ht="15.75">
      <c r="A109" s="89"/>
      <c r="B109" s="89" t="s">
        <v>27</v>
      </c>
      <c r="C109" s="91" t="s">
        <v>138</v>
      </c>
      <c r="D109" s="91"/>
      <c r="E109" s="91"/>
      <c r="F109" s="91"/>
      <c r="G109" s="318"/>
      <c r="H109" s="245"/>
      <c r="I109" s="84"/>
    </row>
    <row r="110" spans="1:9" ht="15.75">
      <c r="A110" s="89"/>
      <c r="B110" s="89"/>
      <c r="C110" s="89" t="s">
        <v>43</v>
      </c>
      <c r="D110" s="91" t="s">
        <v>139</v>
      </c>
      <c r="E110" s="91"/>
      <c r="F110" s="91"/>
      <c r="G110" s="318">
        <v>4099000</v>
      </c>
      <c r="H110" s="245">
        <v>4099152</v>
      </c>
      <c r="I110" s="84">
        <f>H110/G110*100</f>
        <v>100.00370822151746</v>
      </c>
    </row>
    <row r="111" spans="1:9" ht="15.75">
      <c r="A111" s="89"/>
      <c r="B111" s="89" t="s">
        <v>44</v>
      </c>
      <c r="C111" s="91" t="s">
        <v>140</v>
      </c>
      <c r="D111" s="91"/>
      <c r="E111" s="91"/>
      <c r="F111" s="91"/>
      <c r="G111" s="318"/>
      <c r="H111" s="245"/>
      <c r="I111" s="84"/>
    </row>
    <row r="112" spans="1:9" ht="15.75">
      <c r="A112" s="89"/>
      <c r="B112" s="89"/>
      <c r="C112" s="89" t="s">
        <v>43</v>
      </c>
      <c r="D112" s="91" t="s">
        <v>83</v>
      </c>
      <c r="E112" s="91"/>
      <c r="F112" s="91"/>
      <c r="G112" s="318">
        <v>1249000</v>
      </c>
      <c r="H112" s="245">
        <f>1843937+85552</f>
        <v>1929489</v>
      </c>
      <c r="I112" s="84">
        <f>H112/G112*100</f>
        <v>154.48270616493193</v>
      </c>
    </row>
    <row r="113" spans="1:9" ht="15.75">
      <c r="A113" s="89"/>
      <c r="B113" s="89" t="s">
        <v>103</v>
      </c>
      <c r="C113" s="91" t="s">
        <v>142</v>
      </c>
      <c r="D113" s="89"/>
      <c r="E113" s="89"/>
      <c r="F113" s="89"/>
      <c r="G113" s="318">
        <f>(337+178+50+104+1107+11+29)*1000</f>
        <v>1816000</v>
      </c>
      <c r="H113" s="245">
        <f>28938+1106771+47952+50364+178401</f>
        <v>1412426</v>
      </c>
      <c r="I113" s="84">
        <f>H113/G113*100</f>
        <v>77.77676211453745</v>
      </c>
    </row>
    <row r="114" spans="1:9" ht="15.75">
      <c r="A114" s="89"/>
      <c r="B114" s="89" t="s">
        <v>104</v>
      </c>
      <c r="C114" s="91" t="s">
        <v>143</v>
      </c>
      <c r="D114" s="89"/>
      <c r="E114" s="89"/>
      <c r="F114" s="89"/>
      <c r="G114" s="318">
        <f>(115+1107+80+239)*1000</f>
        <v>1541000</v>
      </c>
      <c r="H114" s="245">
        <f>1106771+95489+114586</f>
        <v>1316846</v>
      </c>
      <c r="I114" s="84">
        <f>H114/G114*100</f>
        <v>85.45399091499026</v>
      </c>
    </row>
    <row r="115" spans="1:9" ht="24.75" customHeight="1">
      <c r="A115" s="89"/>
      <c r="B115" s="89" t="s">
        <v>110</v>
      </c>
      <c r="C115" s="91" t="s">
        <v>144</v>
      </c>
      <c r="D115" s="89"/>
      <c r="E115" s="89"/>
      <c r="F115" s="89"/>
      <c r="G115" s="318">
        <v>2000</v>
      </c>
      <c r="H115" s="245">
        <v>2000</v>
      </c>
      <c r="I115" s="84">
        <f>H115/G115*100</f>
        <v>100</v>
      </c>
    </row>
    <row r="116" spans="1:9" ht="19.5" customHeight="1">
      <c r="A116" s="89"/>
      <c r="B116" s="268" t="s">
        <v>246</v>
      </c>
      <c r="C116" s="536" t="s">
        <v>489</v>
      </c>
      <c r="D116" s="536"/>
      <c r="E116" s="536"/>
      <c r="F116" s="536"/>
      <c r="G116" s="318"/>
      <c r="H116" s="245">
        <v>4825255</v>
      </c>
      <c r="I116" s="84"/>
    </row>
    <row r="117" spans="1:11" ht="15.75">
      <c r="A117" s="17" t="s">
        <v>23</v>
      </c>
      <c r="B117" s="89"/>
      <c r="C117" s="89"/>
      <c r="D117" s="89"/>
      <c r="E117" s="89"/>
      <c r="F117" s="89"/>
      <c r="G117" s="320">
        <f>SUM(G97:G116)</f>
        <v>10908000</v>
      </c>
      <c r="H117" s="320">
        <f>SUM(H97:H116)</f>
        <v>15853474</v>
      </c>
      <c r="I117" s="84">
        <f>H117/G117*100</f>
        <v>145.33804547121377</v>
      </c>
      <c r="K117" s="244"/>
    </row>
    <row r="118" spans="1:9" ht="15.75">
      <c r="A118" s="17" t="s">
        <v>61</v>
      </c>
      <c r="B118" s="17" t="s">
        <v>145</v>
      </c>
      <c r="C118" s="17"/>
      <c r="D118" s="17"/>
      <c r="E118" s="17"/>
      <c r="F118" s="17"/>
      <c r="G118" s="319"/>
      <c r="H118" s="245"/>
      <c r="I118" s="84"/>
    </row>
    <row r="119" spans="1:9" ht="38.25" customHeight="1">
      <c r="A119" s="20"/>
      <c r="B119" s="20" t="s">
        <v>43</v>
      </c>
      <c r="C119" s="516" t="s">
        <v>146</v>
      </c>
      <c r="D119" s="516"/>
      <c r="E119" s="516"/>
      <c r="F119" s="516"/>
      <c r="G119" s="317"/>
      <c r="H119" s="245"/>
      <c r="I119" s="84"/>
    </row>
    <row r="120" spans="1:9" ht="32.25" customHeight="1">
      <c r="A120" s="20"/>
      <c r="B120" s="20"/>
      <c r="C120" s="90" t="s">
        <v>43</v>
      </c>
      <c r="D120" s="516" t="s">
        <v>147</v>
      </c>
      <c r="E120" s="516"/>
      <c r="F120" s="516"/>
      <c r="G120" s="317">
        <v>62000</v>
      </c>
      <c r="H120" s="245">
        <v>61800</v>
      </c>
      <c r="I120" s="84">
        <f>H120/G120*100</f>
        <v>99.67741935483872</v>
      </c>
    </row>
    <row r="121" spans="1:9" ht="12" customHeight="1">
      <c r="A121" s="89"/>
      <c r="B121" s="89"/>
      <c r="C121" s="89"/>
      <c r="D121" s="20"/>
      <c r="E121" s="89"/>
      <c r="F121" s="89"/>
      <c r="G121" s="318"/>
      <c r="H121" s="245"/>
      <c r="I121" s="84"/>
    </row>
    <row r="122" spans="1:9" ht="15.75">
      <c r="A122" s="538" t="s">
        <v>148</v>
      </c>
      <c r="B122" s="538"/>
      <c r="C122" s="538"/>
      <c r="D122" s="538"/>
      <c r="E122" s="538"/>
      <c r="F122" s="538"/>
      <c r="G122" s="248">
        <f>SUM(G120:G121)</f>
        <v>62000</v>
      </c>
      <c r="H122" s="248">
        <f>SUM(H120:H121)</f>
        <v>61800</v>
      </c>
      <c r="I122" s="84">
        <f>H122/G122*100</f>
        <v>99.67741935483872</v>
      </c>
    </row>
    <row r="123" spans="1:9" ht="9" customHeight="1">
      <c r="A123" s="89"/>
      <c r="B123" s="89"/>
      <c r="C123" s="89"/>
      <c r="D123" s="89"/>
      <c r="E123" s="89"/>
      <c r="F123" s="89"/>
      <c r="G123" s="318"/>
      <c r="H123" s="245"/>
      <c r="I123" s="84"/>
    </row>
    <row r="124" spans="1:9" ht="16.5">
      <c r="A124" s="93" t="s">
        <v>149</v>
      </c>
      <c r="B124" s="93"/>
      <c r="C124" s="93"/>
      <c r="D124" s="93"/>
      <c r="E124" s="93"/>
      <c r="F124" s="93"/>
      <c r="G124" s="248">
        <f>G122+G117+G94+G71</f>
        <v>47343000</v>
      </c>
      <c r="H124" s="248">
        <f>H122+H117+H94+H71+H77</f>
        <v>116195791</v>
      </c>
      <c r="I124" s="84">
        <f>H124/G124*100</f>
        <v>245.4339416598019</v>
      </c>
    </row>
    <row r="125" spans="1:9" ht="16.5">
      <c r="A125" s="93"/>
      <c r="B125" s="93"/>
      <c r="C125" s="93"/>
      <c r="D125" s="93"/>
      <c r="E125" s="93"/>
      <c r="F125" s="93"/>
      <c r="G125" s="251"/>
      <c r="H125" s="245"/>
      <c r="I125" s="84"/>
    </row>
    <row r="126" spans="1:9" ht="15.75">
      <c r="A126" s="94" t="s">
        <v>150</v>
      </c>
      <c r="B126" s="515" t="s">
        <v>151</v>
      </c>
      <c r="C126" s="515"/>
      <c r="D126" s="515"/>
      <c r="E126" s="515"/>
      <c r="F126" s="515"/>
      <c r="G126" s="317"/>
      <c r="H126" s="245"/>
      <c r="I126" s="84"/>
    </row>
    <row r="127" spans="1:9" ht="15.75">
      <c r="A127" s="17"/>
      <c r="B127" s="82" t="s">
        <v>43</v>
      </c>
      <c r="C127" s="515" t="s">
        <v>152</v>
      </c>
      <c r="D127" s="515"/>
      <c r="E127" s="515"/>
      <c r="F127" s="515"/>
      <c r="G127" s="317"/>
      <c r="H127" s="245"/>
      <c r="I127" s="84"/>
    </row>
    <row r="128" spans="1:9" ht="23.25" customHeight="1">
      <c r="A128" s="17"/>
      <c r="B128" s="82"/>
      <c r="C128" s="90" t="s">
        <v>43</v>
      </c>
      <c r="D128" s="516" t="s">
        <v>552</v>
      </c>
      <c r="E128" s="516"/>
      <c r="F128" s="516"/>
      <c r="G128" s="317">
        <f>(26261+2000)*1000</f>
        <v>28261000</v>
      </c>
      <c r="H128" s="245">
        <f>600000+4825255+6584967+64122+89764+120000+17000+195900+38415438</f>
        <v>50912446</v>
      </c>
      <c r="I128" s="84">
        <f>H128/G128*100</f>
        <v>180.15090053430524</v>
      </c>
    </row>
    <row r="129" spans="1:9" ht="33" customHeight="1">
      <c r="A129" s="20"/>
      <c r="B129" s="20"/>
      <c r="C129" s="271" t="s">
        <v>27</v>
      </c>
      <c r="D129" s="535" t="s">
        <v>505</v>
      </c>
      <c r="E129" s="535"/>
      <c r="F129" s="535"/>
      <c r="G129" s="316"/>
      <c r="H129" s="245">
        <v>10000000</v>
      </c>
      <c r="I129" s="84"/>
    </row>
    <row r="130" spans="1:9" ht="16.5" customHeight="1">
      <c r="A130" s="20"/>
      <c r="B130" s="20"/>
      <c r="C130" s="20" t="s">
        <v>44</v>
      </c>
      <c r="D130" s="535" t="s">
        <v>506</v>
      </c>
      <c r="E130" s="535"/>
      <c r="F130" s="535"/>
      <c r="G130" s="316"/>
      <c r="H130" s="245">
        <v>1121209</v>
      </c>
      <c r="I130" s="84"/>
    </row>
    <row r="131" spans="1:9" ht="16.5" customHeight="1">
      <c r="A131" s="20"/>
      <c r="B131" s="20" t="s">
        <v>27</v>
      </c>
      <c r="C131" s="20" t="s">
        <v>684</v>
      </c>
      <c r="D131" s="474"/>
      <c r="E131" s="474"/>
      <c r="F131" s="474"/>
      <c r="G131" s="316"/>
      <c r="H131" s="245">
        <v>1417579</v>
      </c>
      <c r="I131" s="84"/>
    </row>
    <row r="132" spans="1:9" ht="16.5">
      <c r="A132" s="93" t="s">
        <v>151</v>
      </c>
      <c r="B132" s="93"/>
      <c r="C132" s="93"/>
      <c r="D132" s="93"/>
      <c r="E132" s="93"/>
      <c r="F132" s="93"/>
      <c r="G132" s="248">
        <f>G128</f>
        <v>28261000</v>
      </c>
      <c r="H132" s="248">
        <f>SUM(H128:H131)</f>
        <v>63451234</v>
      </c>
      <c r="I132" s="84">
        <f>H132/G132*100</f>
        <v>224.51871483670075</v>
      </c>
    </row>
    <row r="133" spans="1:9" ht="8.25" customHeight="1">
      <c r="A133" s="20"/>
      <c r="B133" s="20"/>
      <c r="C133" s="20"/>
      <c r="D133" s="20"/>
      <c r="E133" s="20"/>
      <c r="F133" s="20"/>
      <c r="G133" s="252"/>
      <c r="H133" s="249"/>
      <c r="I133" s="84"/>
    </row>
    <row r="134" spans="1:9" ht="18.75">
      <c r="A134" s="19" t="s">
        <v>153</v>
      </c>
      <c r="B134" s="19"/>
      <c r="C134" s="19"/>
      <c r="D134" s="19"/>
      <c r="E134" s="19"/>
      <c r="F134" s="19"/>
      <c r="G134" s="248">
        <f>G124+G132</f>
        <v>75604000</v>
      </c>
      <c r="H134" s="248">
        <f>H124+H132</f>
        <v>179647025</v>
      </c>
      <c r="I134" s="84">
        <f>H134/G134*100</f>
        <v>237.6157676842495</v>
      </c>
    </row>
    <row r="135" spans="7:9" ht="15.75">
      <c r="G135" s="244"/>
      <c r="H135" s="244"/>
      <c r="I135" s="84"/>
    </row>
    <row r="136" spans="7:9" ht="15.75">
      <c r="G136" s="244"/>
      <c r="H136" s="244"/>
      <c r="I136" s="84"/>
    </row>
    <row r="137" spans="1:5" ht="15.75">
      <c r="A137" s="8"/>
      <c r="B137" s="8"/>
      <c r="C137" s="8"/>
      <c r="D137" s="8"/>
      <c r="E137" s="8"/>
    </row>
    <row r="138" spans="1:5" ht="15.75">
      <c r="A138" s="8"/>
      <c r="B138" s="8"/>
      <c r="C138" s="8"/>
      <c r="D138" s="8"/>
      <c r="E138" s="8"/>
    </row>
    <row r="139" spans="1:5" ht="15.75">
      <c r="A139" s="8"/>
      <c r="B139" s="8"/>
      <c r="C139" s="8"/>
      <c r="D139" s="8"/>
      <c r="E139" s="8"/>
    </row>
    <row r="140" spans="1:5" ht="15.75">
      <c r="A140" s="8"/>
      <c r="B140" s="8"/>
      <c r="C140" s="8"/>
      <c r="D140" s="8"/>
      <c r="E140" s="8"/>
    </row>
    <row r="141" spans="1:5" ht="15.75">
      <c r="A141" s="8"/>
      <c r="B141" s="8"/>
      <c r="C141" s="8"/>
      <c r="D141" s="8"/>
      <c r="E141" s="8"/>
    </row>
    <row r="142" spans="7:8" ht="15.75">
      <c r="G142" s="244"/>
      <c r="H142" s="244"/>
    </row>
    <row r="143" spans="7:8" ht="15.75">
      <c r="G143" s="244"/>
      <c r="H143" s="244"/>
    </row>
    <row r="144" spans="7:8" ht="15.75">
      <c r="G144" s="244"/>
      <c r="H144" s="244"/>
    </row>
    <row r="145" spans="7:8" ht="15.75">
      <c r="G145" s="244"/>
      <c r="H145" s="244"/>
    </row>
    <row r="146" spans="7:8" ht="15.75">
      <c r="G146" s="244"/>
      <c r="H146" s="244"/>
    </row>
    <row r="147" spans="7:8" ht="15.75">
      <c r="G147" s="244"/>
      <c r="H147" s="244"/>
    </row>
    <row r="148" spans="7:8" ht="15.75">
      <c r="G148" s="244"/>
      <c r="H148" s="244"/>
    </row>
    <row r="149" spans="7:8" ht="15.75">
      <c r="G149" s="244"/>
      <c r="H149" s="244"/>
    </row>
    <row r="150" spans="7:8" ht="15.75">
      <c r="G150" s="244"/>
      <c r="H150" s="244"/>
    </row>
    <row r="151" spans="7:8" ht="15.75">
      <c r="G151" s="244"/>
      <c r="H151" s="244"/>
    </row>
    <row r="152" spans="7:8" ht="15.75">
      <c r="G152" s="244"/>
      <c r="H152" s="244"/>
    </row>
    <row r="153" spans="7:8" ht="15.75">
      <c r="G153" s="244"/>
      <c r="H153" s="244"/>
    </row>
    <row r="154" spans="7:8" ht="15.75">
      <c r="G154" s="244"/>
      <c r="H154" s="244"/>
    </row>
    <row r="155" spans="7:8" ht="15.75">
      <c r="G155" s="244"/>
      <c r="H155" s="244"/>
    </row>
    <row r="156" spans="7:8" ht="15.75">
      <c r="G156" s="244"/>
      <c r="H156" s="244"/>
    </row>
    <row r="157" spans="7:8" ht="15.75">
      <c r="G157" s="244"/>
      <c r="H157" s="244"/>
    </row>
    <row r="158" spans="7:8" ht="15.75">
      <c r="G158" s="244"/>
      <c r="H158" s="244"/>
    </row>
    <row r="159" spans="7:8" ht="15.75">
      <c r="G159" s="244"/>
      <c r="H159" s="244"/>
    </row>
    <row r="160" spans="7:8" ht="15.75">
      <c r="G160" s="244"/>
      <c r="H160" s="244"/>
    </row>
    <row r="161" spans="7:8" ht="15.75">
      <c r="G161" s="244"/>
      <c r="H161" s="244"/>
    </row>
    <row r="162" spans="7:8" ht="15.75">
      <c r="G162" s="244"/>
      <c r="H162" s="244"/>
    </row>
    <row r="163" spans="7:8" ht="15.75">
      <c r="G163" s="244"/>
      <c r="H163" s="244"/>
    </row>
    <row r="164" spans="7:8" ht="15.75">
      <c r="G164" s="244"/>
      <c r="H164" s="244"/>
    </row>
    <row r="165" spans="7:8" ht="15.75">
      <c r="G165" s="244"/>
      <c r="H165" s="244"/>
    </row>
    <row r="166" spans="7:8" ht="15.75">
      <c r="G166" s="244"/>
      <c r="H166" s="244"/>
    </row>
    <row r="167" spans="7:8" ht="15.75">
      <c r="G167" s="244"/>
      <c r="H167" s="244"/>
    </row>
    <row r="168" spans="7:8" ht="15.75">
      <c r="G168" s="244"/>
      <c r="H168" s="244"/>
    </row>
    <row r="169" spans="7:8" ht="15.75">
      <c r="G169" s="244"/>
      <c r="H169" s="244"/>
    </row>
  </sheetData>
  <sheetProtection password="AF00" sheet="1"/>
  <mergeCells count="42">
    <mergeCell ref="D130:F130"/>
    <mergeCell ref="C119:F119"/>
    <mergeCell ref="C127:F127"/>
    <mergeCell ref="D128:F128"/>
    <mergeCell ref="A122:F122"/>
    <mergeCell ref="B126:F126"/>
    <mergeCell ref="D120:F120"/>
    <mergeCell ref="A77:F77"/>
    <mergeCell ref="D73:F73"/>
    <mergeCell ref="E42:F42"/>
    <mergeCell ref="A71:F71"/>
    <mergeCell ref="D129:F129"/>
    <mergeCell ref="D76:F76"/>
    <mergeCell ref="C116:F116"/>
    <mergeCell ref="C97:F97"/>
    <mergeCell ref="D75:F75"/>
    <mergeCell ref="A10:I10"/>
    <mergeCell ref="B16:F16"/>
    <mergeCell ref="A12:F14"/>
    <mergeCell ref="B69:F69"/>
    <mergeCell ref="B61:F61"/>
    <mergeCell ref="A4:I4"/>
    <mergeCell ref="E19:F19"/>
    <mergeCell ref="D36:F36"/>
    <mergeCell ref="D68:F68"/>
    <mergeCell ref="D39:F39"/>
    <mergeCell ref="D40:F40"/>
    <mergeCell ref="D51:F51"/>
    <mergeCell ref="C63:F63"/>
    <mergeCell ref="D64:F64"/>
    <mergeCell ref="B72:F72"/>
    <mergeCell ref="D74:F74"/>
    <mergeCell ref="A1:I1"/>
    <mergeCell ref="D18:F18"/>
    <mergeCell ref="E47:F47"/>
    <mergeCell ref="C50:F50"/>
    <mergeCell ref="C45:F45"/>
    <mergeCell ref="A7:I7"/>
    <mergeCell ref="A8:I8"/>
    <mergeCell ref="D46:F46"/>
    <mergeCell ref="A6:I6"/>
    <mergeCell ref="A3:I3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35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3.875" style="145" customWidth="1"/>
    <col min="2" max="2" width="9.125" style="145" customWidth="1"/>
    <col min="3" max="3" width="61.125" style="145" customWidth="1"/>
    <col min="4" max="7" width="26.25390625" style="145" customWidth="1"/>
    <col min="8" max="16384" width="9.125" style="145" customWidth="1"/>
  </cols>
  <sheetData>
    <row r="1" spans="1:7" ht="15.75">
      <c r="A1" s="541" t="s">
        <v>558</v>
      </c>
      <c r="B1" s="509"/>
      <c r="C1" s="509"/>
      <c r="D1" s="509"/>
      <c r="E1" s="509"/>
      <c r="F1" s="509"/>
      <c r="G1" s="509"/>
    </row>
    <row r="2" spans="1:7" ht="14.25" customHeight="1">
      <c r="A2" s="541"/>
      <c r="B2" s="509"/>
      <c r="C2" s="509"/>
      <c r="D2" s="509"/>
      <c r="E2" s="509"/>
      <c r="F2" s="509"/>
      <c r="G2" s="509"/>
    </row>
    <row r="3" spans="1:7" s="141" customFormat="1" ht="15.75">
      <c r="A3" s="542"/>
      <c r="B3" s="514"/>
      <c r="C3" s="514"/>
      <c r="D3" s="514"/>
      <c r="E3" s="514"/>
      <c r="F3" s="514"/>
      <c r="G3" s="514"/>
    </row>
    <row r="4" spans="3:7" s="58" customFormat="1" ht="15" customHeight="1">
      <c r="C4" s="543"/>
      <c r="D4" s="543"/>
      <c r="E4" s="543"/>
      <c r="F4" s="543"/>
      <c r="G4" s="543"/>
    </row>
    <row r="5" spans="2:7" s="143" customFormat="1" ht="15" customHeight="1">
      <c r="B5" s="539"/>
      <c r="C5" s="539"/>
      <c r="D5" s="539"/>
      <c r="E5" s="539"/>
      <c r="F5" s="539"/>
      <c r="G5" s="539"/>
    </row>
    <row r="6" spans="2:7" s="110" customFormat="1" ht="15" customHeight="1">
      <c r="B6" s="539" t="s">
        <v>40</v>
      </c>
      <c r="C6" s="539"/>
      <c r="D6" s="539"/>
      <c r="E6" s="539"/>
      <c r="F6" s="539"/>
      <c r="G6" s="539"/>
    </row>
    <row r="7" spans="2:7" s="110" customFormat="1" ht="15.75" customHeight="1">
      <c r="B7" s="540" t="s">
        <v>294</v>
      </c>
      <c r="C7" s="540"/>
      <c r="D7" s="540"/>
      <c r="E7" s="540"/>
      <c r="F7" s="540"/>
      <c r="G7" s="540"/>
    </row>
    <row r="8" spans="3:7" s="110" customFormat="1" ht="15" customHeight="1">
      <c r="C8" s="539" t="s">
        <v>476</v>
      </c>
      <c r="D8" s="539"/>
      <c r="E8" s="539"/>
      <c r="F8" s="539"/>
      <c r="G8" s="539"/>
    </row>
    <row r="9" spans="3:7" s="141" customFormat="1" ht="12" customHeight="1" thickBot="1">
      <c r="C9" s="142"/>
      <c r="D9" s="144"/>
      <c r="E9" s="347"/>
      <c r="F9" s="347"/>
      <c r="G9" s="346"/>
    </row>
    <row r="10" spans="1:7" s="141" customFormat="1" ht="23.25" customHeight="1" thickBot="1">
      <c r="A10" s="544" t="s">
        <v>483</v>
      </c>
      <c r="B10" s="547" t="s">
        <v>182</v>
      </c>
      <c r="C10" s="550" t="s">
        <v>183</v>
      </c>
      <c r="D10" s="553" t="s">
        <v>295</v>
      </c>
      <c r="E10" s="556" t="s">
        <v>296</v>
      </c>
      <c r="F10" s="556"/>
      <c r="G10" s="557"/>
    </row>
    <row r="11" spans="1:7" s="141" customFormat="1" ht="39.75" customHeight="1" thickBot="1">
      <c r="A11" s="545"/>
      <c r="B11" s="548"/>
      <c r="C11" s="551"/>
      <c r="D11" s="554"/>
      <c r="E11" s="343" t="s">
        <v>297</v>
      </c>
      <c r="F11" s="345" t="s">
        <v>298</v>
      </c>
      <c r="G11" s="344" t="s">
        <v>299</v>
      </c>
    </row>
    <row r="12" spans="1:7" s="141" customFormat="1" ht="22.5" customHeight="1">
      <c r="A12" s="545"/>
      <c r="B12" s="548"/>
      <c r="C12" s="551"/>
      <c r="D12" s="554"/>
      <c r="E12" s="558" t="s">
        <v>300</v>
      </c>
      <c r="F12" s="559"/>
      <c r="G12" s="560"/>
    </row>
    <row r="13" spans="1:7" ht="21.75" customHeight="1" thickBot="1">
      <c r="A13" s="546"/>
      <c r="B13" s="549"/>
      <c r="C13" s="552"/>
      <c r="D13" s="555"/>
      <c r="E13" s="561"/>
      <c r="F13" s="562"/>
      <c r="G13" s="563"/>
    </row>
    <row r="14" spans="1:7" ht="30">
      <c r="A14" s="258" t="s">
        <v>43</v>
      </c>
      <c r="B14" s="253" t="s">
        <v>199</v>
      </c>
      <c r="C14" s="146" t="s">
        <v>200</v>
      </c>
      <c r="D14" s="342">
        <f aca="true" t="shared" si="0" ref="D14:D28">SUM(E14:G14)</f>
        <v>378210</v>
      </c>
      <c r="E14" s="342">
        <f>7000+66664+50000</f>
        <v>123664</v>
      </c>
      <c r="F14" s="342">
        <f>61800+192746</f>
        <v>254546</v>
      </c>
      <c r="G14" s="341"/>
    </row>
    <row r="15" spans="1:7" ht="15">
      <c r="A15" s="257" t="s">
        <v>27</v>
      </c>
      <c r="B15" s="254" t="s">
        <v>201</v>
      </c>
      <c r="C15" s="103" t="s">
        <v>36</v>
      </c>
      <c r="D15" s="336">
        <f t="shared" si="0"/>
        <v>51800</v>
      </c>
      <c r="E15" s="336">
        <v>51800</v>
      </c>
      <c r="F15" s="336"/>
      <c r="G15" s="335"/>
    </row>
    <row r="16" spans="1:7" ht="15">
      <c r="A16" s="257" t="s">
        <v>44</v>
      </c>
      <c r="B16" s="254" t="s">
        <v>202</v>
      </c>
      <c r="C16" s="103" t="s">
        <v>203</v>
      </c>
      <c r="D16" s="336">
        <f t="shared" si="0"/>
        <v>956117</v>
      </c>
      <c r="E16" s="336">
        <v>820000</v>
      </c>
      <c r="F16" s="336">
        <f>85179+2000+20000+28938</f>
        <v>136117</v>
      </c>
      <c r="G16" s="335"/>
    </row>
    <row r="17" spans="1:7" ht="15">
      <c r="A17" s="257" t="s">
        <v>103</v>
      </c>
      <c r="B17" s="254" t="s">
        <v>301</v>
      </c>
      <c r="C17" s="103" t="s">
        <v>302</v>
      </c>
      <c r="D17" s="336">
        <f t="shared" si="0"/>
        <v>91652042</v>
      </c>
      <c r="E17" s="336">
        <f>28045173+27846+1000000+5185082+28792+115989+806700+65080+64999+326400+14396+28998+268900+711200+12630487+40000000+1250000+8144-343723+1417579</f>
        <v>91652042</v>
      </c>
      <c r="F17" s="336"/>
      <c r="G17" s="335"/>
    </row>
    <row r="18" spans="1:7" ht="15">
      <c r="A18" s="257" t="s">
        <v>104</v>
      </c>
      <c r="B18" s="254" t="s">
        <v>485</v>
      </c>
      <c r="C18" s="103" t="s">
        <v>486</v>
      </c>
      <c r="D18" s="336">
        <f t="shared" si="0"/>
        <v>62033655</v>
      </c>
      <c r="E18" s="336">
        <f>16546464+6584967+64122+89764+120000+17000+195900+38415438</f>
        <v>62033655</v>
      </c>
      <c r="F18" s="336"/>
      <c r="G18" s="335"/>
    </row>
    <row r="19" spans="1:7" ht="15">
      <c r="A19" s="257" t="s">
        <v>110</v>
      </c>
      <c r="B19" s="254" t="s">
        <v>557</v>
      </c>
      <c r="C19" s="103" t="s">
        <v>556</v>
      </c>
      <c r="D19" s="336">
        <f t="shared" si="0"/>
        <v>1586414</v>
      </c>
      <c r="E19" s="336">
        <f>722670+501752+180996+180996</f>
        <v>1586414</v>
      </c>
      <c r="F19" s="336"/>
      <c r="G19" s="335"/>
    </row>
    <row r="20" spans="1:7" ht="15">
      <c r="A20" s="257" t="s">
        <v>246</v>
      </c>
      <c r="B20" s="254" t="s">
        <v>206</v>
      </c>
      <c r="C20" s="103" t="s">
        <v>207</v>
      </c>
      <c r="D20" s="336">
        <f t="shared" si="0"/>
        <v>6312694</v>
      </c>
      <c r="E20" s="336">
        <v>6312694</v>
      </c>
      <c r="F20" s="336"/>
      <c r="G20" s="335"/>
    </row>
    <row r="21" spans="1:7" ht="15">
      <c r="A21" s="257" t="s">
        <v>248</v>
      </c>
      <c r="B21" s="254" t="s">
        <v>214</v>
      </c>
      <c r="C21" s="103" t="s">
        <v>215</v>
      </c>
      <c r="D21" s="336">
        <f t="shared" si="0"/>
        <v>290830</v>
      </c>
      <c r="E21" s="336">
        <v>290830</v>
      </c>
      <c r="F21" s="336"/>
      <c r="G21" s="335"/>
    </row>
    <row r="22" spans="1:7" ht="15">
      <c r="A22" s="257" t="s">
        <v>250</v>
      </c>
      <c r="B22" s="254" t="s">
        <v>216</v>
      </c>
      <c r="C22" s="103" t="s">
        <v>34</v>
      </c>
      <c r="D22" s="336">
        <f t="shared" si="0"/>
        <v>4825255</v>
      </c>
      <c r="E22" s="336">
        <v>4825255</v>
      </c>
      <c r="F22" s="336"/>
      <c r="G22" s="335"/>
    </row>
    <row r="23" spans="1:7" ht="15">
      <c r="A23" s="257" t="s">
        <v>257</v>
      </c>
      <c r="B23" s="254" t="s">
        <v>303</v>
      </c>
      <c r="C23" s="103" t="s">
        <v>304</v>
      </c>
      <c r="D23" s="336">
        <f t="shared" si="0"/>
        <v>77200</v>
      </c>
      <c r="E23" s="336">
        <v>77200</v>
      </c>
      <c r="F23" s="336"/>
      <c r="G23" s="335"/>
    </row>
    <row r="24" spans="1:7" ht="15">
      <c r="A24" s="257" t="s">
        <v>259</v>
      </c>
      <c r="B24" s="254" t="s">
        <v>305</v>
      </c>
      <c r="C24" s="103" t="s">
        <v>306</v>
      </c>
      <c r="D24" s="336">
        <f t="shared" si="0"/>
        <v>85418</v>
      </c>
      <c r="E24" s="336"/>
      <c r="F24" s="336">
        <v>85418</v>
      </c>
      <c r="G24" s="335"/>
    </row>
    <row r="25" spans="1:7" ht="15">
      <c r="A25" s="257" t="s">
        <v>261</v>
      </c>
      <c r="B25" s="254" t="s">
        <v>305</v>
      </c>
      <c r="C25" s="105" t="s">
        <v>446</v>
      </c>
      <c r="D25" s="336">
        <f t="shared" si="0"/>
        <v>165719</v>
      </c>
      <c r="E25" s="336"/>
      <c r="F25" s="336">
        <v>165719</v>
      </c>
      <c r="G25" s="335"/>
    </row>
    <row r="26" spans="1:7" ht="15">
      <c r="A26" s="257" t="s">
        <v>266</v>
      </c>
      <c r="B26" s="255">
        <v>104051</v>
      </c>
      <c r="C26" s="103" t="s">
        <v>361</v>
      </c>
      <c r="D26" s="336">
        <f t="shared" si="0"/>
        <v>46400</v>
      </c>
      <c r="E26" s="336"/>
      <c r="F26" s="336"/>
      <c r="G26" s="335">
        <v>46400</v>
      </c>
    </row>
    <row r="27" spans="1:7" ht="15">
      <c r="A27" s="257" t="s">
        <v>268</v>
      </c>
      <c r="B27" s="254" t="s">
        <v>224</v>
      </c>
      <c r="C27" s="105" t="s">
        <v>359</v>
      </c>
      <c r="D27" s="336">
        <f t="shared" si="0"/>
        <v>296786</v>
      </c>
      <c r="E27" s="336">
        <v>296786</v>
      </c>
      <c r="F27" s="336"/>
      <c r="G27" s="335"/>
    </row>
    <row r="28" spans="1:7" ht="30.75" thickBot="1">
      <c r="A28" s="257" t="s">
        <v>270</v>
      </c>
      <c r="B28" s="255">
        <v>900020</v>
      </c>
      <c r="C28" s="103" t="s">
        <v>307</v>
      </c>
      <c r="D28" s="336">
        <f t="shared" si="0"/>
        <v>7808000</v>
      </c>
      <c r="E28" s="336">
        <v>7808000</v>
      </c>
      <c r="F28" s="336"/>
      <c r="G28" s="335"/>
    </row>
    <row r="29" spans="1:7" ht="30" customHeight="1" thickBot="1">
      <c r="A29" s="340" t="s">
        <v>277</v>
      </c>
      <c r="B29" s="256"/>
      <c r="C29" s="329" t="s">
        <v>555</v>
      </c>
      <c r="D29" s="339">
        <f>SUM(D14:D28)</f>
        <v>176566540</v>
      </c>
      <c r="E29" s="339">
        <f>SUM(E14:E28)</f>
        <v>175878340</v>
      </c>
      <c r="F29" s="339">
        <f>SUM(F14:F28)</f>
        <v>641800</v>
      </c>
      <c r="G29" s="339">
        <f>SUM(G14:G28)</f>
        <v>46400</v>
      </c>
    </row>
    <row r="30" spans="1:7" ht="19.5" customHeight="1">
      <c r="A30" s="338" t="s">
        <v>280</v>
      </c>
      <c r="B30" s="337" t="s">
        <v>303</v>
      </c>
      <c r="C30" s="103" t="s">
        <v>304</v>
      </c>
      <c r="D30" s="336">
        <f>SUM(E30:G30)</f>
        <v>157018</v>
      </c>
      <c r="E30" s="336">
        <f>148352+8666</f>
        <v>157018</v>
      </c>
      <c r="F30" s="336"/>
      <c r="G30" s="335"/>
    </row>
    <row r="31" spans="1:7" ht="15">
      <c r="A31" s="257" t="s">
        <v>282</v>
      </c>
      <c r="B31" s="104" t="s">
        <v>305</v>
      </c>
      <c r="C31" s="103" t="s">
        <v>306</v>
      </c>
      <c r="D31" s="336">
        <f>SUM(E31:G31)</f>
        <v>277960</v>
      </c>
      <c r="E31" s="336"/>
      <c r="F31" s="336">
        <f>246970+30990</f>
        <v>277960</v>
      </c>
      <c r="G31" s="335"/>
    </row>
    <row r="32" spans="1:7" ht="15">
      <c r="A32" s="257" t="s">
        <v>353</v>
      </c>
      <c r="B32" s="104" t="s">
        <v>305</v>
      </c>
      <c r="C32" s="105" t="s">
        <v>446</v>
      </c>
      <c r="D32" s="336">
        <f>SUM(E32:G32)</f>
        <v>1012804</v>
      </c>
      <c r="E32" s="336"/>
      <c r="F32" s="336">
        <f>788012+200000+24792</f>
        <v>1012804</v>
      </c>
      <c r="G32" s="335"/>
    </row>
    <row r="33" spans="1:7" ht="15.75" thickBot="1">
      <c r="A33" s="257" t="s">
        <v>355</v>
      </c>
      <c r="B33" s="334" t="s">
        <v>224</v>
      </c>
      <c r="C33" s="333" t="s">
        <v>359</v>
      </c>
      <c r="D33" s="332">
        <f>SUM(E33:G33)</f>
        <v>1632703</v>
      </c>
      <c r="E33" s="332">
        <f>1547151+85552</f>
        <v>1632703</v>
      </c>
      <c r="F33" s="332"/>
      <c r="G33" s="331"/>
    </row>
    <row r="34" spans="1:7" ht="19.5" customHeight="1" thickBot="1">
      <c r="A34" s="257" t="s">
        <v>490</v>
      </c>
      <c r="B34" s="147"/>
      <c r="C34" s="329" t="s">
        <v>554</v>
      </c>
      <c r="D34" s="328">
        <f>SUM(D30:D33)</f>
        <v>3080485</v>
      </c>
      <c r="E34" s="328">
        <f>SUM(E30:E33)</f>
        <v>1789721</v>
      </c>
      <c r="F34" s="328">
        <f>SUM(F30:F33)</f>
        <v>1290764</v>
      </c>
      <c r="G34" s="330">
        <f>SUM(G30:G33)</f>
        <v>0</v>
      </c>
    </row>
    <row r="35" spans="1:7" ht="15.75" customHeight="1" thickBot="1">
      <c r="A35" s="279" t="s">
        <v>491</v>
      </c>
      <c r="B35" s="147"/>
      <c r="C35" s="329" t="s">
        <v>553</v>
      </c>
      <c r="D35" s="328">
        <f>D29+D34</f>
        <v>179647025</v>
      </c>
      <c r="E35" s="328">
        <f>E29+E34</f>
        <v>177668061</v>
      </c>
      <c r="F35" s="328">
        <f>F29+F34</f>
        <v>1932564</v>
      </c>
      <c r="G35" s="328">
        <f>G29+G34</f>
        <v>46400</v>
      </c>
    </row>
  </sheetData>
  <sheetProtection password="AF00" sheet="1"/>
  <mergeCells count="14">
    <mergeCell ref="C8:G8"/>
    <mergeCell ref="A10:A13"/>
    <mergeCell ref="B10:B13"/>
    <mergeCell ref="C10:C13"/>
    <mergeCell ref="D10:D13"/>
    <mergeCell ref="E10:G10"/>
    <mergeCell ref="E12:G13"/>
    <mergeCell ref="B5:G5"/>
    <mergeCell ref="B6:G6"/>
    <mergeCell ref="B7:G7"/>
    <mergeCell ref="A1:G1"/>
    <mergeCell ref="A3:G3"/>
    <mergeCell ref="A2:G2"/>
    <mergeCell ref="C4:G4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9"/>
  <sheetViews>
    <sheetView zoomScalePageLayoutView="0" workbookViewId="0" topLeftCell="B1">
      <selection activeCell="C4" sqref="C4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625" style="10" customWidth="1"/>
    <col min="5" max="5" width="11.75390625" style="10" customWidth="1"/>
    <col min="6" max="6" width="11.125" style="10" customWidth="1"/>
    <col min="7" max="7" width="12.625" style="10" customWidth="1"/>
    <col min="8" max="8" width="10.375" style="10" customWidth="1"/>
    <col min="9" max="9" width="13.1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6384" width="9.125" style="10" customWidth="1"/>
  </cols>
  <sheetData>
    <row r="1" spans="2:20" ht="15.75">
      <c r="B1" s="541" t="s">
        <v>687</v>
      </c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</row>
    <row r="2" spans="2:17" ht="15.75" customHeight="1"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</row>
    <row r="3" spans="2:20" s="101" customFormat="1" ht="15.75" customHeight="1"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</row>
    <row r="4" spans="2:17" s="101" customFormat="1" ht="15.75" customHeight="1">
      <c r="B4" s="100"/>
      <c r="C4" s="100"/>
      <c r="D4" s="100"/>
      <c r="E4" s="100"/>
      <c r="F4" s="100"/>
      <c r="G4" s="100"/>
      <c r="H4" s="567"/>
      <c r="I4" s="597"/>
      <c r="J4" s="597"/>
      <c r="K4" s="597"/>
      <c r="L4" s="100"/>
      <c r="M4" s="100"/>
      <c r="N4" s="100"/>
      <c r="O4" s="100"/>
      <c r="P4" s="100"/>
      <c r="Q4" s="100"/>
    </row>
    <row r="5" spans="2:20" s="101" customFormat="1" ht="15.75" customHeight="1">
      <c r="B5" s="567" t="s">
        <v>40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7"/>
      <c r="N5" s="567"/>
      <c r="O5" s="567"/>
      <c r="P5" s="567"/>
      <c r="Q5" s="567"/>
      <c r="R5" s="567"/>
      <c r="S5" s="567"/>
      <c r="T5" s="567"/>
    </row>
    <row r="6" spans="2:20" s="101" customFormat="1" ht="15.75" customHeight="1">
      <c r="B6" s="567" t="s">
        <v>181</v>
      </c>
      <c r="C6" s="567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7"/>
      <c r="S6" s="567"/>
      <c r="T6" s="567"/>
    </row>
    <row r="7" spans="2:20" s="101" customFormat="1" ht="15.75" customHeight="1">
      <c r="B7" s="567" t="s">
        <v>481</v>
      </c>
      <c r="C7" s="567"/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7"/>
      <c r="T7" s="567"/>
    </row>
    <row r="8" spans="19:20" s="101" customFormat="1" ht="15.75" thickBot="1">
      <c r="S8" s="575" t="s">
        <v>484</v>
      </c>
      <c r="T8" s="575"/>
    </row>
    <row r="9" spans="1:20" s="102" customFormat="1" ht="20.25" customHeight="1" thickBot="1">
      <c r="A9" s="604" t="s">
        <v>483</v>
      </c>
      <c r="B9" s="601" t="s">
        <v>182</v>
      </c>
      <c r="C9" s="598" t="s">
        <v>183</v>
      </c>
      <c r="D9" s="564" t="s">
        <v>184</v>
      </c>
      <c r="E9" s="581" t="s">
        <v>185</v>
      </c>
      <c r="F9" s="582"/>
      <c r="G9" s="582"/>
      <c r="H9" s="582"/>
      <c r="I9" s="582"/>
      <c r="J9" s="582"/>
      <c r="K9" s="582"/>
      <c r="L9" s="582"/>
      <c r="M9" s="582"/>
      <c r="N9" s="582"/>
      <c r="O9" s="582"/>
      <c r="P9" s="582"/>
      <c r="Q9" s="582"/>
      <c r="R9" s="583"/>
      <c r="S9" s="576" t="s">
        <v>3</v>
      </c>
      <c r="T9" s="577"/>
    </row>
    <row r="10" spans="1:20" s="102" customFormat="1" ht="38.25" customHeight="1" thickBot="1">
      <c r="A10" s="605"/>
      <c r="B10" s="602"/>
      <c r="C10" s="599"/>
      <c r="D10" s="565"/>
      <c r="E10" s="594" t="s">
        <v>75</v>
      </c>
      <c r="F10" s="595"/>
      <c r="G10" s="595"/>
      <c r="H10" s="595"/>
      <c r="I10" s="595"/>
      <c r="J10" s="596"/>
      <c r="K10" s="584" t="s">
        <v>76</v>
      </c>
      <c r="L10" s="585"/>
      <c r="M10" s="585"/>
      <c r="N10" s="586"/>
      <c r="O10" s="591" t="s">
        <v>186</v>
      </c>
      <c r="P10" s="592"/>
      <c r="Q10" s="592"/>
      <c r="R10" s="593"/>
      <c r="S10" s="589" t="s">
        <v>8</v>
      </c>
      <c r="T10" s="590"/>
    </row>
    <row r="11" spans="1:20" s="102" customFormat="1" ht="21" customHeight="1" thickBot="1">
      <c r="A11" s="605"/>
      <c r="B11" s="602"/>
      <c r="C11" s="599"/>
      <c r="D11" s="565"/>
      <c r="E11" s="564" t="s">
        <v>187</v>
      </c>
      <c r="F11" s="564" t="s">
        <v>188</v>
      </c>
      <c r="G11" s="564" t="s">
        <v>189</v>
      </c>
      <c r="H11" s="564" t="s">
        <v>190</v>
      </c>
      <c r="I11" s="564" t="s">
        <v>191</v>
      </c>
      <c r="J11" s="568" t="s">
        <v>192</v>
      </c>
      <c r="K11" s="578" t="s">
        <v>193</v>
      </c>
      <c r="L11" s="578" t="s">
        <v>77</v>
      </c>
      <c r="M11" s="564" t="s">
        <v>308</v>
      </c>
      <c r="N11" s="572" t="s">
        <v>309</v>
      </c>
      <c r="O11" s="564" t="s">
        <v>447</v>
      </c>
      <c r="P11" s="564" t="s">
        <v>194</v>
      </c>
      <c r="Q11" s="564" t="s">
        <v>195</v>
      </c>
      <c r="R11" s="572" t="s">
        <v>310</v>
      </c>
      <c r="S11" s="139" t="s">
        <v>196</v>
      </c>
      <c r="T11" s="140" t="s">
        <v>197</v>
      </c>
    </row>
    <row r="12" spans="1:20" s="102" customFormat="1" ht="18.75" customHeight="1">
      <c r="A12" s="605"/>
      <c r="B12" s="602"/>
      <c r="C12" s="599"/>
      <c r="D12" s="565"/>
      <c r="E12" s="565"/>
      <c r="F12" s="565"/>
      <c r="G12" s="565"/>
      <c r="H12" s="565"/>
      <c r="I12" s="565"/>
      <c r="J12" s="569"/>
      <c r="K12" s="579"/>
      <c r="L12" s="579"/>
      <c r="M12" s="565"/>
      <c r="N12" s="573"/>
      <c r="O12" s="565"/>
      <c r="P12" s="565"/>
      <c r="Q12" s="565"/>
      <c r="R12" s="573"/>
      <c r="S12" s="587" t="s">
        <v>198</v>
      </c>
      <c r="T12" s="588"/>
    </row>
    <row r="13" spans="1:20" s="102" customFormat="1" ht="20.25" customHeight="1" thickBot="1">
      <c r="A13" s="606"/>
      <c r="B13" s="603"/>
      <c r="C13" s="600"/>
      <c r="D13" s="566"/>
      <c r="E13" s="566"/>
      <c r="F13" s="566"/>
      <c r="G13" s="566"/>
      <c r="H13" s="566"/>
      <c r="I13" s="566"/>
      <c r="J13" s="570"/>
      <c r="K13" s="580"/>
      <c r="L13" s="580"/>
      <c r="M13" s="566"/>
      <c r="N13" s="574"/>
      <c r="O13" s="566"/>
      <c r="P13" s="566"/>
      <c r="Q13" s="566"/>
      <c r="R13" s="574"/>
      <c r="S13" s="589"/>
      <c r="T13" s="590"/>
    </row>
    <row r="14" spans="1:20" s="101" customFormat="1" ht="30">
      <c r="A14" s="291" t="s">
        <v>43</v>
      </c>
      <c r="B14" s="289" t="s">
        <v>199</v>
      </c>
      <c r="C14" s="103" t="s">
        <v>200</v>
      </c>
      <c r="D14" s="267">
        <f>J14+N14+P14+Q14</f>
        <v>57526552</v>
      </c>
      <c r="E14" s="259">
        <f>11856713+444000+74764+2250+54642+2371+134000+157988</f>
        <v>12726728</v>
      </c>
      <c r="F14" s="260">
        <f>2822558+97680+15000+12022+280-5979-1876+32291+34758-3673</f>
        <v>3003061</v>
      </c>
      <c r="G14" s="260">
        <f>3583240+143179+64122+120000+120000+37786+9563+64999-50800+317500-143179-28525</f>
        <v>4237885</v>
      </c>
      <c r="H14" s="260"/>
      <c r="I14" s="260">
        <f>278800+38415438+5185082+115989+806700+65080+80000-1181000-606235-120000-499999-190000-287259+28998+268900-2228909-40000-50000-317500-392840-123482-455060-495519-478864+326400-499999-343723-592920-50800</f>
        <v>36617278</v>
      </c>
      <c r="J14" s="261">
        <f aca="true" t="shared" si="0" ref="J14:J22">SUM(E14:I14)</f>
        <v>56584952</v>
      </c>
      <c r="K14" s="262">
        <v>101600</v>
      </c>
      <c r="L14" s="262"/>
      <c r="M14" s="262">
        <v>840000</v>
      </c>
      <c r="N14" s="263">
        <f>SUM(K14:M14)</f>
        <v>941600</v>
      </c>
      <c r="O14" s="263"/>
      <c r="P14" s="264"/>
      <c r="Q14" s="265"/>
      <c r="R14" s="265"/>
      <c r="S14" s="293">
        <f>0.5+0.1+0.2-0.3</f>
        <v>0.5</v>
      </c>
      <c r="T14" s="294">
        <v>0.5</v>
      </c>
    </row>
    <row r="15" spans="1:20" s="101" customFormat="1" ht="15">
      <c r="A15" s="291" t="s">
        <v>27</v>
      </c>
      <c r="B15" s="254" t="s">
        <v>201</v>
      </c>
      <c r="C15" s="103" t="s">
        <v>36</v>
      </c>
      <c r="D15" s="267">
        <f>J15+N15+P15+Q15</f>
        <v>107520</v>
      </c>
      <c r="E15" s="259"/>
      <c r="F15" s="260"/>
      <c r="G15" s="260">
        <f>64340+43180</f>
        <v>107520</v>
      </c>
      <c r="H15" s="260"/>
      <c r="I15" s="260"/>
      <c r="J15" s="261">
        <f t="shared" si="0"/>
        <v>107520</v>
      </c>
      <c r="K15" s="262"/>
      <c r="L15" s="262"/>
      <c r="M15" s="262"/>
      <c r="N15" s="263"/>
      <c r="O15" s="263"/>
      <c r="P15" s="264"/>
      <c r="Q15" s="265"/>
      <c r="R15" s="265"/>
      <c r="S15" s="295"/>
      <c r="T15" s="296"/>
    </row>
    <row r="16" spans="1:20" s="101" customFormat="1" ht="29.25" customHeight="1">
      <c r="A16" s="291" t="s">
        <v>44</v>
      </c>
      <c r="B16" s="254" t="s">
        <v>202</v>
      </c>
      <c r="C16" s="103" t="s">
        <v>203</v>
      </c>
      <c r="D16" s="267">
        <f>J16+N16+R16</f>
        <v>1672790</v>
      </c>
      <c r="E16" s="259"/>
      <c r="F16" s="260"/>
      <c r="G16" s="260">
        <f>244790+127000</f>
        <v>371790</v>
      </c>
      <c r="H16" s="260"/>
      <c r="I16" s="260"/>
      <c r="J16" s="261">
        <f t="shared" si="0"/>
        <v>371790</v>
      </c>
      <c r="K16" s="262">
        <v>1181000</v>
      </c>
      <c r="L16" s="262">
        <v>120000</v>
      </c>
      <c r="M16" s="262"/>
      <c r="N16" s="263">
        <f>SUM(K16:M16)</f>
        <v>1301000</v>
      </c>
      <c r="O16" s="263"/>
      <c r="P16" s="264"/>
      <c r="Q16" s="265"/>
      <c r="R16" s="265"/>
      <c r="S16" s="297"/>
      <c r="T16" s="296"/>
    </row>
    <row r="17" spans="1:20" s="101" customFormat="1" ht="30" customHeight="1">
      <c r="A17" s="291" t="s">
        <v>103</v>
      </c>
      <c r="B17" s="254" t="s">
        <v>301</v>
      </c>
      <c r="C17" s="103" t="s">
        <v>302</v>
      </c>
      <c r="D17" s="267">
        <f>J17+N17+R17</f>
        <v>2538788</v>
      </c>
      <c r="E17" s="259"/>
      <c r="F17" s="260"/>
      <c r="G17" s="260"/>
      <c r="H17" s="260"/>
      <c r="I17" s="260"/>
      <c r="J17" s="261">
        <f t="shared" si="0"/>
        <v>0</v>
      </c>
      <c r="K17" s="262"/>
      <c r="L17" s="262"/>
      <c r="M17" s="262"/>
      <c r="N17" s="263">
        <f>SUM(K17:M17)</f>
        <v>0</v>
      </c>
      <c r="O17" s="263">
        <f>1121209+1417579</f>
        <v>2538788</v>
      </c>
      <c r="P17" s="264"/>
      <c r="Q17" s="265"/>
      <c r="R17" s="265">
        <f>O17+P17+Q17</f>
        <v>2538788</v>
      </c>
      <c r="S17" s="293"/>
      <c r="T17" s="296"/>
    </row>
    <row r="18" spans="1:20" s="101" customFormat="1" ht="30" customHeight="1">
      <c r="A18" s="291" t="s">
        <v>104</v>
      </c>
      <c r="B18" s="254" t="s">
        <v>557</v>
      </c>
      <c r="C18" s="103" t="s">
        <v>556</v>
      </c>
      <c r="D18" s="267">
        <f>J18+N18+R18</f>
        <v>2358516</v>
      </c>
      <c r="E18" s="259">
        <f>647490+180452+49998+423245+28784+390007+163060+163059</f>
        <v>2046095</v>
      </c>
      <c r="F18" s="260">
        <f>75180+39699+17110+49723+5979+88857+17936+17937</f>
        <v>312421</v>
      </c>
      <c r="G18" s="260"/>
      <c r="H18" s="260"/>
      <c r="I18" s="260"/>
      <c r="J18" s="261">
        <f t="shared" si="0"/>
        <v>2358516</v>
      </c>
      <c r="K18" s="262"/>
      <c r="L18" s="262"/>
      <c r="M18" s="262"/>
      <c r="N18" s="263"/>
      <c r="O18" s="263"/>
      <c r="P18" s="264"/>
      <c r="Q18" s="265"/>
      <c r="R18" s="265"/>
      <c r="S18" s="293"/>
      <c r="T18" s="296"/>
    </row>
    <row r="19" spans="1:20" s="101" customFormat="1" ht="30" customHeight="1">
      <c r="A19" s="291" t="s">
        <v>566</v>
      </c>
      <c r="B19" s="254" t="s">
        <v>487</v>
      </c>
      <c r="C19" s="103" t="s">
        <v>488</v>
      </c>
      <c r="D19" s="267">
        <f>J19+N19+R19</f>
        <v>67766429</v>
      </c>
      <c r="E19" s="259"/>
      <c r="F19" s="260"/>
      <c r="G19" s="260">
        <f>606235+499999+499999</f>
        <v>1606233</v>
      </c>
      <c r="H19" s="260"/>
      <c r="I19" s="260"/>
      <c r="J19" s="261">
        <f t="shared" si="0"/>
        <v>1606233</v>
      </c>
      <c r="K19" s="262"/>
      <c r="L19" s="262">
        <f>10000000+12630487+40000000+2228909+1250000+50800</f>
        <v>66160196</v>
      </c>
      <c r="M19" s="262"/>
      <c r="N19" s="263">
        <f>SUM(K19:M19)</f>
        <v>66160196</v>
      </c>
      <c r="O19" s="263"/>
      <c r="P19" s="264"/>
      <c r="Q19" s="265"/>
      <c r="R19" s="265"/>
      <c r="S19" s="293"/>
      <c r="T19" s="296"/>
    </row>
    <row r="20" spans="1:20" s="101" customFormat="1" ht="30">
      <c r="A20" s="291" t="s">
        <v>246</v>
      </c>
      <c r="B20" s="254" t="s">
        <v>204</v>
      </c>
      <c r="C20" s="103" t="s">
        <v>205</v>
      </c>
      <c r="D20" s="267">
        <f aca="true" t="shared" si="1" ref="D20:D41">J20+N20+P20+Q20</f>
        <v>26670</v>
      </c>
      <c r="E20" s="259"/>
      <c r="F20" s="260"/>
      <c r="G20" s="260">
        <v>26670</v>
      </c>
      <c r="H20" s="260"/>
      <c r="I20" s="260"/>
      <c r="J20" s="261">
        <f t="shared" si="0"/>
        <v>26670</v>
      </c>
      <c r="K20" s="262"/>
      <c r="L20" s="262"/>
      <c r="M20" s="262"/>
      <c r="N20" s="263">
        <f>SUM(K20:M20)</f>
        <v>0</v>
      </c>
      <c r="O20" s="263"/>
      <c r="P20" s="264"/>
      <c r="Q20" s="265"/>
      <c r="R20" s="265"/>
      <c r="S20" s="293"/>
      <c r="T20" s="296"/>
    </row>
    <row r="21" spans="1:20" s="101" customFormat="1" ht="15">
      <c r="A21" s="291" t="s">
        <v>248</v>
      </c>
      <c r="B21" s="254" t="s">
        <v>453</v>
      </c>
      <c r="C21" s="103" t="s">
        <v>454</v>
      </c>
      <c r="D21" s="267">
        <f t="shared" si="1"/>
        <v>19050</v>
      </c>
      <c r="E21" s="259"/>
      <c r="F21" s="260"/>
      <c r="G21" s="260">
        <v>19050</v>
      </c>
      <c r="H21" s="260"/>
      <c r="I21" s="260"/>
      <c r="J21" s="261">
        <f t="shared" si="0"/>
        <v>19050</v>
      </c>
      <c r="K21" s="262"/>
      <c r="L21" s="262"/>
      <c r="M21" s="262"/>
      <c r="N21" s="263">
        <f>SUM(K21:M21)</f>
        <v>0</v>
      </c>
      <c r="O21" s="263"/>
      <c r="P21" s="264"/>
      <c r="Q21" s="265"/>
      <c r="R21" s="265"/>
      <c r="S21" s="293"/>
      <c r="T21" s="296"/>
    </row>
    <row r="22" spans="1:20" s="101" customFormat="1" ht="30">
      <c r="A22" s="291" t="s">
        <v>250</v>
      </c>
      <c r="B22" s="254" t="s">
        <v>206</v>
      </c>
      <c r="C22" s="103" t="s">
        <v>207</v>
      </c>
      <c r="D22" s="267">
        <f t="shared" si="1"/>
        <v>6312694</v>
      </c>
      <c r="E22" s="259"/>
      <c r="F22" s="260"/>
      <c r="G22" s="260">
        <f>6312694-1379000</f>
        <v>4933694</v>
      </c>
      <c r="H22" s="260"/>
      <c r="I22" s="260"/>
      <c r="J22" s="261">
        <f t="shared" si="0"/>
        <v>4933694</v>
      </c>
      <c r="K22" s="262">
        <v>1379000</v>
      </c>
      <c r="L22" s="262"/>
      <c r="M22" s="262"/>
      <c r="N22" s="263">
        <f>SUM(K22:M22)</f>
        <v>1379000</v>
      </c>
      <c r="O22" s="263"/>
      <c r="P22" s="264"/>
      <c r="Q22" s="265"/>
      <c r="R22" s="265"/>
      <c r="S22" s="297"/>
      <c r="T22" s="296"/>
    </row>
    <row r="23" spans="1:20" s="101" customFormat="1" ht="15">
      <c r="A23" s="291" t="s">
        <v>257</v>
      </c>
      <c r="B23" s="254" t="s">
        <v>208</v>
      </c>
      <c r="C23" s="103" t="s">
        <v>209</v>
      </c>
      <c r="D23" s="267">
        <f t="shared" si="1"/>
        <v>360000</v>
      </c>
      <c r="E23" s="259"/>
      <c r="F23" s="260"/>
      <c r="G23" s="260"/>
      <c r="H23" s="260"/>
      <c r="I23" s="260"/>
      <c r="J23" s="261"/>
      <c r="K23" s="262"/>
      <c r="L23" s="262"/>
      <c r="M23" s="262">
        <f>1200000-840000</f>
        <v>360000</v>
      </c>
      <c r="N23" s="263">
        <f>SUM(K23:M23)</f>
        <v>360000</v>
      </c>
      <c r="O23" s="263"/>
      <c r="P23" s="264"/>
      <c r="Q23" s="265"/>
      <c r="R23" s="265"/>
      <c r="S23" s="297"/>
      <c r="T23" s="296"/>
    </row>
    <row r="24" spans="1:20" s="101" customFormat="1" ht="15">
      <c r="A24" s="291" t="s">
        <v>259</v>
      </c>
      <c r="B24" s="254" t="s">
        <v>210</v>
      </c>
      <c r="C24" s="103" t="s">
        <v>211</v>
      </c>
      <c r="D24" s="267">
        <f t="shared" si="1"/>
        <v>1899920</v>
      </c>
      <c r="E24" s="259"/>
      <c r="F24" s="260"/>
      <c r="G24" s="260">
        <v>1899920</v>
      </c>
      <c r="H24" s="262"/>
      <c r="I24" s="260"/>
      <c r="J24" s="261">
        <f aca="true" t="shared" si="2" ref="J24:J41">SUM(E24:I24)</f>
        <v>1899920</v>
      </c>
      <c r="K24" s="262"/>
      <c r="L24" s="262"/>
      <c r="M24" s="262"/>
      <c r="N24" s="263"/>
      <c r="O24" s="263"/>
      <c r="P24" s="264"/>
      <c r="Q24" s="265"/>
      <c r="R24" s="265"/>
      <c r="S24" s="297"/>
      <c r="T24" s="296"/>
    </row>
    <row r="25" spans="1:20" s="101" customFormat="1" ht="15">
      <c r="A25" s="291" t="s">
        <v>261</v>
      </c>
      <c r="B25" s="254" t="s">
        <v>212</v>
      </c>
      <c r="C25" s="103" t="s">
        <v>213</v>
      </c>
      <c r="D25" s="267">
        <f t="shared" si="1"/>
        <v>278446</v>
      </c>
      <c r="E25" s="259"/>
      <c r="F25" s="260"/>
      <c r="G25" s="260">
        <f>635000-127000-229554</f>
        <v>278446</v>
      </c>
      <c r="H25" s="262"/>
      <c r="I25" s="260"/>
      <c r="J25" s="261">
        <f t="shared" si="2"/>
        <v>278446</v>
      </c>
      <c r="K25" s="262"/>
      <c r="L25" s="262"/>
      <c r="M25" s="262"/>
      <c r="N25" s="263"/>
      <c r="O25" s="263"/>
      <c r="P25" s="264"/>
      <c r="Q25" s="265"/>
      <c r="R25" s="265"/>
      <c r="S25" s="297"/>
      <c r="T25" s="296"/>
    </row>
    <row r="26" spans="1:20" s="101" customFormat="1" ht="30">
      <c r="A26" s="291" t="s">
        <v>266</v>
      </c>
      <c r="B26" s="254" t="s">
        <v>214</v>
      </c>
      <c r="C26" s="103" t="s">
        <v>215</v>
      </c>
      <c r="D26" s="267">
        <f t="shared" si="1"/>
        <v>3042256</v>
      </c>
      <c r="E26" s="259"/>
      <c r="F26" s="260"/>
      <c r="G26" s="260">
        <f>1953606+290830-202180</f>
        <v>2042256</v>
      </c>
      <c r="H26" s="262"/>
      <c r="I26" s="260"/>
      <c r="J26" s="261">
        <f t="shared" si="2"/>
        <v>2042256</v>
      </c>
      <c r="K26" s="262">
        <v>1000000</v>
      </c>
      <c r="L26" s="262"/>
      <c r="M26" s="262"/>
      <c r="N26" s="263">
        <f aca="true" t="shared" si="3" ref="N26:N41">SUM(K26:M26)</f>
        <v>1000000</v>
      </c>
      <c r="O26" s="263"/>
      <c r="P26" s="264"/>
      <c r="Q26" s="265"/>
      <c r="R26" s="265"/>
      <c r="S26" s="297"/>
      <c r="T26" s="296"/>
    </row>
    <row r="27" spans="1:20" s="101" customFormat="1" ht="15">
      <c r="A27" s="291" t="s">
        <v>268</v>
      </c>
      <c r="B27" s="254" t="s">
        <v>216</v>
      </c>
      <c r="C27" s="103" t="s">
        <v>34</v>
      </c>
      <c r="D27" s="267">
        <f t="shared" si="1"/>
        <v>9968389</v>
      </c>
      <c r="E27" s="259"/>
      <c r="F27" s="260"/>
      <c r="G27" s="260">
        <f>9744490-4825255+159000</f>
        <v>5078235</v>
      </c>
      <c r="H27" s="262"/>
      <c r="I27" s="260">
        <v>4825255</v>
      </c>
      <c r="J27" s="261">
        <f t="shared" si="2"/>
        <v>9903490</v>
      </c>
      <c r="K27" s="262">
        <v>64899</v>
      </c>
      <c r="L27" s="262"/>
      <c r="M27" s="262"/>
      <c r="N27" s="263">
        <f t="shared" si="3"/>
        <v>64899</v>
      </c>
      <c r="O27" s="263"/>
      <c r="P27" s="264"/>
      <c r="Q27" s="265"/>
      <c r="R27" s="265"/>
      <c r="S27" s="297"/>
      <c r="T27" s="296"/>
    </row>
    <row r="28" spans="1:20" s="101" customFormat="1" ht="31.5" customHeight="1">
      <c r="A28" s="291" t="s">
        <v>270</v>
      </c>
      <c r="B28" s="254" t="s">
        <v>217</v>
      </c>
      <c r="C28" s="103" t="s">
        <v>218</v>
      </c>
      <c r="D28" s="267">
        <f t="shared" si="1"/>
        <v>715000</v>
      </c>
      <c r="E28" s="259"/>
      <c r="F28" s="260"/>
      <c r="G28" s="260"/>
      <c r="H28" s="260"/>
      <c r="I28" s="260">
        <f>675000+40000</f>
        <v>715000</v>
      </c>
      <c r="J28" s="261">
        <f t="shared" si="2"/>
        <v>715000</v>
      </c>
      <c r="K28" s="262"/>
      <c r="L28" s="262"/>
      <c r="M28" s="262"/>
      <c r="N28" s="263">
        <f t="shared" si="3"/>
        <v>0</v>
      </c>
      <c r="O28" s="263"/>
      <c r="P28" s="264"/>
      <c r="Q28" s="265"/>
      <c r="R28" s="265"/>
      <c r="S28" s="297"/>
      <c r="T28" s="296"/>
    </row>
    <row r="29" spans="1:20" s="101" customFormat="1" ht="15">
      <c r="A29" s="291" t="s">
        <v>277</v>
      </c>
      <c r="B29" s="254" t="s">
        <v>219</v>
      </c>
      <c r="C29" s="103" t="s">
        <v>37</v>
      </c>
      <c r="D29" s="267">
        <f t="shared" si="1"/>
        <v>909333</v>
      </c>
      <c r="E29" s="259">
        <f>537200+900+53600</f>
        <v>591700</v>
      </c>
      <c r="F29" s="260">
        <f>121404+12916+673</f>
        <v>134993</v>
      </c>
      <c r="G29" s="260">
        <f>82550</f>
        <v>82550</v>
      </c>
      <c r="H29" s="260"/>
      <c r="I29" s="260"/>
      <c r="J29" s="261">
        <f t="shared" si="2"/>
        <v>809243</v>
      </c>
      <c r="K29" s="262">
        <f>179959-79869</f>
        <v>100090</v>
      </c>
      <c r="L29" s="262"/>
      <c r="M29" s="262"/>
      <c r="N29" s="263">
        <f t="shared" si="3"/>
        <v>100090</v>
      </c>
      <c r="O29" s="263"/>
      <c r="P29" s="264"/>
      <c r="Q29" s="265"/>
      <c r="R29" s="265"/>
      <c r="S29" s="297">
        <v>0.2</v>
      </c>
      <c r="T29" s="296">
        <v>0.2</v>
      </c>
    </row>
    <row r="30" spans="1:20" s="101" customFormat="1" ht="30">
      <c r="A30" s="291" t="s">
        <v>280</v>
      </c>
      <c r="B30" s="254" t="s">
        <v>448</v>
      </c>
      <c r="C30" s="103" t="s">
        <v>449</v>
      </c>
      <c r="D30" s="267">
        <f t="shared" si="1"/>
        <v>3470152</v>
      </c>
      <c r="E30" s="259">
        <f>1981200+4100+18725+4850+23600+11800+210500+775+5900</f>
        <v>2261450</v>
      </c>
      <c r="F30" s="260">
        <f>449808+4119+902+5192+2596+52212+171+1298+3000</f>
        <v>519298</v>
      </c>
      <c r="G30" s="260">
        <f>444880+229554</f>
        <v>674434</v>
      </c>
      <c r="H30" s="260"/>
      <c r="I30" s="260"/>
      <c r="J30" s="261">
        <f t="shared" si="2"/>
        <v>3455182</v>
      </c>
      <c r="K30" s="262">
        <v>14970</v>
      </c>
      <c r="L30" s="262"/>
      <c r="M30" s="262"/>
      <c r="N30" s="263">
        <f t="shared" si="3"/>
        <v>14970</v>
      </c>
      <c r="O30" s="263"/>
      <c r="P30" s="264"/>
      <c r="Q30" s="265"/>
      <c r="R30" s="265"/>
      <c r="S30" s="297">
        <f>0.75+0.3</f>
        <v>1.05</v>
      </c>
      <c r="T30" s="296">
        <v>1.05</v>
      </c>
    </row>
    <row r="31" spans="1:20" s="101" customFormat="1" ht="15">
      <c r="A31" s="291" t="s">
        <v>282</v>
      </c>
      <c r="B31" s="254" t="s">
        <v>450</v>
      </c>
      <c r="C31" s="103" t="s">
        <v>451</v>
      </c>
      <c r="D31" s="267">
        <f t="shared" si="1"/>
        <v>384710</v>
      </c>
      <c r="E31" s="259">
        <v>320000</v>
      </c>
      <c r="F31" s="260">
        <v>64710</v>
      </c>
      <c r="G31" s="260"/>
      <c r="H31" s="260"/>
      <c r="I31" s="260"/>
      <c r="J31" s="261">
        <f t="shared" si="2"/>
        <v>384710</v>
      </c>
      <c r="K31" s="262"/>
      <c r="L31" s="262"/>
      <c r="M31" s="262"/>
      <c r="N31" s="263">
        <f t="shared" si="3"/>
        <v>0</v>
      </c>
      <c r="O31" s="263"/>
      <c r="P31" s="264"/>
      <c r="Q31" s="265"/>
      <c r="R31" s="265"/>
      <c r="S31" s="297"/>
      <c r="T31" s="296"/>
    </row>
    <row r="32" spans="1:20" s="101" customFormat="1" ht="15">
      <c r="A32" s="291" t="s">
        <v>353</v>
      </c>
      <c r="B32" s="254" t="s">
        <v>220</v>
      </c>
      <c r="C32" s="103" t="s">
        <v>35</v>
      </c>
      <c r="D32" s="267">
        <f t="shared" si="1"/>
        <v>360000</v>
      </c>
      <c r="E32" s="259"/>
      <c r="F32" s="260"/>
      <c r="G32" s="260"/>
      <c r="H32" s="260"/>
      <c r="I32" s="260">
        <f>120000+190000+50000</f>
        <v>360000</v>
      </c>
      <c r="J32" s="261">
        <f t="shared" si="2"/>
        <v>360000</v>
      </c>
      <c r="K32" s="262"/>
      <c r="L32" s="262"/>
      <c r="M32" s="262"/>
      <c r="N32" s="263">
        <f t="shared" si="3"/>
        <v>0</v>
      </c>
      <c r="O32" s="263"/>
      <c r="P32" s="264"/>
      <c r="Q32" s="265"/>
      <c r="R32" s="265"/>
      <c r="S32" s="297"/>
      <c r="T32" s="296"/>
    </row>
    <row r="33" spans="1:20" s="101" customFormat="1" ht="15">
      <c r="A33" s="291" t="s">
        <v>355</v>
      </c>
      <c r="B33" s="254" t="s">
        <v>221</v>
      </c>
      <c r="C33" s="103" t="s">
        <v>222</v>
      </c>
      <c r="D33" s="267">
        <f t="shared" si="1"/>
        <v>50000</v>
      </c>
      <c r="E33" s="259"/>
      <c r="F33" s="260"/>
      <c r="G33" s="260"/>
      <c r="H33" s="260">
        <f>50000-50000</f>
        <v>0</v>
      </c>
      <c r="I33" s="260">
        <v>50000</v>
      </c>
      <c r="J33" s="261">
        <f t="shared" si="2"/>
        <v>50000</v>
      </c>
      <c r="K33" s="262"/>
      <c r="L33" s="262"/>
      <c r="M33" s="262"/>
      <c r="N33" s="263">
        <f t="shared" si="3"/>
        <v>0</v>
      </c>
      <c r="O33" s="263"/>
      <c r="P33" s="264"/>
      <c r="Q33" s="265"/>
      <c r="R33" s="265"/>
      <c r="S33" s="297"/>
      <c r="T33" s="296"/>
    </row>
    <row r="34" spans="1:20" s="101" customFormat="1" ht="15">
      <c r="A34" s="291" t="s">
        <v>490</v>
      </c>
      <c r="B34" s="254" t="s">
        <v>303</v>
      </c>
      <c r="C34" s="103" t="s">
        <v>304</v>
      </c>
      <c r="D34" s="267">
        <f t="shared" si="1"/>
        <v>1209252</v>
      </c>
      <c r="E34" s="259">
        <f>367080+5130+8208</f>
        <v>380418</v>
      </c>
      <c r="F34" s="260">
        <f>89023+1770</f>
        <v>90793</v>
      </c>
      <c r="G34" s="260">
        <f>575331+29236+33472+71477+28525</f>
        <v>738041</v>
      </c>
      <c r="H34" s="260"/>
      <c r="I34" s="260"/>
      <c r="J34" s="261">
        <f t="shared" si="2"/>
        <v>1209252</v>
      </c>
      <c r="K34" s="262"/>
      <c r="L34" s="262"/>
      <c r="M34" s="262"/>
      <c r="N34" s="263">
        <f t="shared" si="3"/>
        <v>0</v>
      </c>
      <c r="O34" s="263"/>
      <c r="P34" s="264"/>
      <c r="Q34" s="265"/>
      <c r="R34" s="265"/>
      <c r="S34" s="297"/>
      <c r="T34" s="296"/>
    </row>
    <row r="35" spans="1:20" s="101" customFormat="1" ht="15.75" customHeight="1">
      <c r="A35" s="291" t="s">
        <v>491</v>
      </c>
      <c r="B35" s="254" t="s">
        <v>305</v>
      </c>
      <c r="C35" s="103" t="s">
        <v>306</v>
      </c>
      <c r="D35" s="267">
        <f t="shared" si="1"/>
        <v>248571</v>
      </c>
      <c r="E35" s="259">
        <f>77280+1080+1728</f>
        <v>80088</v>
      </c>
      <c r="F35" s="260">
        <f>18742+267+106</f>
        <v>19115</v>
      </c>
      <c r="G35" s="260">
        <f>132853+2711+13804</f>
        <v>149368</v>
      </c>
      <c r="H35" s="260"/>
      <c r="I35" s="260"/>
      <c r="J35" s="261">
        <f t="shared" si="2"/>
        <v>248571</v>
      </c>
      <c r="K35" s="262"/>
      <c r="L35" s="262"/>
      <c r="M35" s="262"/>
      <c r="N35" s="263">
        <f t="shared" si="3"/>
        <v>0</v>
      </c>
      <c r="O35" s="263"/>
      <c r="P35" s="264"/>
      <c r="Q35" s="265"/>
      <c r="R35" s="265"/>
      <c r="S35" s="297"/>
      <c r="T35" s="296"/>
    </row>
    <row r="36" spans="1:20" s="101" customFormat="1" ht="15">
      <c r="A36" s="291" t="s">
        <v>492</v>
      </c>
      <c r="B36" s="254" t="s">
        <v>305</v>
      </c>
      <c r="C36" s="105" t="s">
        <v>452</v>
      </c>
      <c r="D36" s="267">
        <f t="shared" si="1"/>
        <v>124269</v>
      </c>
      <c r="E36" s="259">
        <f>38640+540+864</f>
        <v>40044</v>
      </c>
      <c r="F36" s="260">
        <f>9371+185</f>
        <v>9556</v>
      </c>
      <c r="G36" s="260">
        <f>92579-36635+18725</f>
        <v>74669</v>
      </c>
      <c r="H36" s="260"/>
      <c r="I36" s="260"/>
      <c r="J36" s="261">
        <f t="shared" si="2"/>
        <v>124269</v>
      </c>
      <c r="K36" s="262"/>
      <c r="L36" s="262"/>
      <c r="M36" s="262"/>
      <c r="N36" s="263">
        <f t="shared" si="3"/>
        <v>0</v>
      </c>
      <c r="O36" s="263"/>
      <c r="P36" s="264"/>
      <c r="Q36" s="265"/>
      <c r="R36" s="265"/>
      <c r="S36" s="297"/>
      <c r="T36" s="296"/>
    </row>
    <row r="37" spans="1:20" s="101" customFormat="1" ht="30">
      <c r="A37" s="291" t="s">
        <v>493</v>
      </c>
      <c r="B37" s="254">
        <v>104051</v>
      </c>
      <c r="C37" s="103" t="s">
        <v>361</v>
      </c>
      <c r="D37" s="267">
        <f t="shared" si="1"/>
        <v>46400</v>
      </c>
      <c r="E37" s="259"/>
      <c r="F37" s="260"/>
      <c r="G37" s="260"/>
      <c r="H37" s="260">
        <v>46400</v>
      </c>
      <c r="I37" s="260"/>
      <c r="J37" s="261">
        <f t="shared" si="2"/>
        <v>46400</v>
      </c>
      <c r="K37" s="262"/>
      <c r="L37" s="262"/>
      <c r="M37" s="262"/>
      <c r="N37" s="263">
        <f t="shared" si="3"/>
        <v>0</v>
      </c>
      <c r="O37" s="263"/>
      <c r="P37" s="264"/>
      <c r="Q37" s="265"/>
      <c r="R37" s="265"/>
      <c r="S37" s="297"/>
      <c r="T37" s="296"/>
    </row>
    <row r="38" spans="1:20" s="101" customFormat="1" ht="30">
      <c r="A38" s="291" t="s">
        <v>494</v>
      </c>
      <c r="B38" s="254">
        <v>106020</v>
      </c>
      <c r="C38" s="103" t="s">
        <v>223</v>
      </c>
      <c r="D38" s="267">
        <f t="shared" si="1"/>
        <v>0</v>
      </c>
      <c r="E38" s="259"/>
      <c r="F38" s="260"/>
      <c r="G38" s="260"/>
      <c r="H38" s="260">
        <f>300000-300000</f>
        <v>0</v>
      </c>
      <c r="I38" s="260"/>
      <c r="J38" s="261">
        <f t="shared" si="2"/>
        <v>0</v>
      </c>
      <c r="K38" s="262"/>
      <c r="L38" s="262"/>
      <c r="M38" s="262"/>
      <c r="N38" s="263">
        <f t="shared" si="3"/>
        <v>0</v>
      </c>
      <c r="O38" s="263"/>
      <c r="P38" s="264"/>
      <c r="Q38" s="265"/>
      <c r="R38" s="265"/>
      <c r="S38" s="297"/>
      <c r="T38" s="296"/>
    </row>
    <row r="39" spans="1:20" s="101" customFormat="1" ht="15">
      <c r="A39" s="291" t="s">
        <v>495</v>
      </c>
      <c r="B39" s="254" t="s">
        <v>224</v>
      </c>
      <c r="C39" s="105" t="s">
        <v>359</v>
      </c>
      <c r="D39" s="267">
        <f t="shared" si="1"/>
        <v>517878</v>
      </c>
      <c r="E39" s="259">
        <f>161000+2250+3600</f>
        <v>166850</v>
      </c>
      <c r="F39" s="260">
        <f>39045+777</f>
        <v>39822</v>
      </c>
      <c r="G39" s="260">
        <f>302046-30013+39173</f>
        <v>311206</v>
      </c>
      <c r="H39" s="260"/>
      <c r="I39" s="260"/>
      <c r="J39" s="261">
        <f t="shared" si="2"/>
        <v>517878</v>
      </c>
      <c r="K39" s="262"/>
      <c r="L39" s="262"/>
      <c r="M39" s="262"/>
      <c r="N39" s="263">
        <f t="shared" si="3"/>
        <v>0</v>
      </c>
      <c r="O39" s="263"/>
      <c r="P39" s="264"/>
      <c r="Q39" s="265"/>
      <c r="R39" s="265"/>
      <c r="S39" s="297"/>
      <c r="T39" s="296"/>
    </row>
    <row r="40" spans="1:20" s="101" customFormat="1" ht="15">
      <c r="A40" s="291" t="s">
        <v>496</v>
      </c>
      <c r="B40" s="254">
        <v>107052</v>
      </c>
      <c r="C40" s="106" t="s">
        <v>225</v>
      </c>
      <c r="D40" s="267">
        <f t="shared" si="1"/>
        <v>662230</v>
      </c>
      <c r="E40" s="259"/>
      <c r="F40" s="260"/>
      <c r="G40" s="260">
        <f>662230-600000</f>
        <v>62230</v>
      </c>
      <c r="H40" s="260"/>
      <c r="I40" s="260">
        <v>600000</v>
      </c>
      <c r="J40" s="261">
        <f t="shared" si="2"/>
        <v>662230</v>
      </c>
      <c r="K40" s="262"/>
      <c r="L40" s="262"/>
      <c r="M40" s="262"/>
      <c r="N40" s="263">
        <f t="shared" si="3"/>
        <v>0</v>
      </c>
      <c r="O40" s="263"/>
      <c r="P40" s="264"/>
      <c r="Q40" s="265"/>
      <c r="R40" s="265"/>
      <c r="S40" s="297"/>
      <c r="T40" s="296"/>
    </row>
    <row r="41" spans="1:20" s="101" customFormat="1" ht="27.75" customHeight="1" thickBot="1">
      <c r="A41" s="291" t="s">
        <v>533</v>
      </c>
      <c r="B41" s="254">
        <v>107060</v>
      </c>
      <c r="C41" s="103" t="s">
        <v>226</v>
      </c>
      <c r="D41" s="267">
        <f t="shared" si="1"/>
        <v>3577000</v>
      </c>
      <c r="E41" s="259"/>
      <c r="F41" s="260"/>
      <c r="G41" s="260">
        <f>711200+50800</f>
        <v>762000</v>
      </c>
      <c r="H41" s="260">
        <f>2715000+300000-80000-120000</f>
        <v>2815000</v>
      </c>
      <c r="I41" s="260"/>
      <c r="J41" s="261">
        <f t="shared" si="2"/>
        <v>3577000</v>
      </c>
      <c r="K41" s="262"/>
      <c r="L41" s="262"/>
      <c r="M41" s="262"/>
      <c r="N41" s="263">
        <f t="shared" si="3"/>
        <v>0</v>
      </c>
      <c r="O41" s="263"/>
      <c r="P41" s="264"/>
      <c r="Q41" s="265"/>
      <c r="R41" s="265"/>
      <c r="S41" s="293"/>
      <c r="T41" s="296"/>
    </row>
    <row r="42" spans="1:20" ht="15" thickBot="1">
      <c r="A42" s="292" t="s">
        <v>565</v>
      </c>
      <c r="B42" s="290"/>
      <c r="C42" s="148" t="s">
        <v>555</v>
      </c>
      <c r="D42" s="266">
        <f aca="true" t="shared" si="4" ref="D42:O42">SUM(D14:D41)</f>
        <v>166152815</v>
      </c>
      <c r="E42" s="266">
        <f t="shared" si="4"/>
        <v>18613373</v>
      </c>
      <c r="F42" s="266">
        <f t="shared" si="4"/>
        <v>4193769</v>
      </c>
      <c r="G42" s="266">
        <f t="shared" si="4"/>
        <v>23456197</v>
      </c>
      <c r="H42" s="266">
        <f t="shared" si="4"/>
        <v>2861400</v>
      </c>
      <c r="I42" s="266">
        <f t="shared" si="4"/>
        <v>43167533</v>
      </c>
      <c r="J42" s="266">
        <f t="shared" si="4"/>
        <v>92292272</v>
      </c>
      <c r="K42" s="266">
        <f t="shared" si="4"/>
        <v>3841559</v>
      </c>
      <c r="L42" s="266">
        <f t="shared" si="4"/>
        <v>66280196</v>
      </c>
      <c r="M42" s="266">
        <f t="shared" si="4"/>
        <v>1200000</v>
      </c>
      <c r="N42" s="266">
        <f t="shared" si="4"/>
        <v>71321755</v>
      </c>
      <c r="O42" s="266">
        <f t="shared" si="4"/>
        <v>2538788</v>
      </c>
      <c r="P42" s="266"/>
      <c r="Q42" s="266"/>
      <c r="R42" s="266">
        <f>SUM(R14:R41)</f>
        <v>2538788</v>
      </c>
      <c r="S42" s="298">
        <f>SUM(S14:S41)</f>
        <v>1.75</v>
      </c>
      <c r="T42" s="298">
        <f>SUM(T14:T41)</f>
        <v>1.75</v>
      </c>
    </row>
    <row r="43" spans="1:20" ht="15">
      <c r="A43" s="292" t="s">
        <v>564</v>
      </c>
      <c r="B43" s="289" t="s">
        <v>303</v>
      </c>
      <c r="C43" s="103" t="s">
        <v>304</v>
      </c>
      <c r="D43" s="267">
        <f>J43+N43+P43+Q43</f>
        <v>5979339</v>
      </c>
      <c r="E43" s="259">
        <f>1918740+103455+154560+46920+190230+222090-309812</f>
        <v>2326183</v>
      </c>
      <c r="F43" s="260">
        <f>427983+34003+16056+41851+48860-67569</f>
        <v>501184</v>
      </c>
      <c r="G43" s="260">
        <f>3091490-34014-140086</f>
        <v>2917390</v>
      </c>
      <c r="H43" s="260"/>
      <c r="I43" s="260"/>
      <c r="J43" s="261">
        <f>SUM(E43:I43)</f>
        <v>5744757</v>
      </c>
      <c r="K43" s="262">
        <f>51816+34014+148752</f>
        <v>234582</v>
      </c>
      <c r="L43" s="262"/>
      <c r="M43" s="262"/>
      <c r="N43" s="263">
        <f>SUM(K43:M43)</f>
        <v>234582</v>
      </c>
      <c r="O43" s="263"/>
      <c r="P43" s="264"/>
      <c r="Q43" s="265"/>
      <c r="R43" s="265"/>
      <c r="S43" s="297">
        <v>2</v>
      </c>
      <c r="T43" s="296">
        <v>2</v>
      </c>
    </row>
    <row r="44" spans="1:20" ht="30">
      <c r="A44" s="292" t="s">
        <v>563</v>
      </c>
      <c r="B44" s="254" t="s">
        <v>305</v>
      </c>
      <c r="C44" s="103" t="s">
        <v>306</v>
      </c>
      <c r="D44" s="267">
        <f>J44+N44+P44+Q44</f>
        <v>1377840</v>
      </c>
      <c r="E44" s="259">
        <f>370920+21780+28980+9200+37300+48600+35260</f>
        <v>552040</v>
      </c>
      <c r="F44" s="260">
        <f>82632+6376+3148+8206+10692+6938</f>
        <v>117992</v>
      </c>
      <c r="G44" s="260">
        <f>627305-8738+40369</f>
        <v>658936</v>
      </c>
      <c r="H44" s="260"/>
      <c r="I44" s="260"/>
      <c r="J44" s="261">
        <f>SUM(E44:I44)</f>
        <v>1328968</v>
      </c>
      <c r="K44" s="262">
        <f>9144+8738+30990</f>
        <v>48872</v>
      </c>
      <c r="L44" s="262"/>
      <c r="M44" s="262"/>
      <c r="N44" s="263">
        <f>SUM(K44:M44)</f>
        <v>48872</v>
      </c>
      <c r="O44" s="263"/>
      <c r="P44" s="264"/>
      <c r="Q44" s="265"/>
      <c r="R44" s="265"/>
      <c r="S44" s="297"/>
      <c r="T44" s="296"/>
    </row>
    <row r="45" spans="1:20" ht="15">
      <c r="A45" s="292" t="s">
        <v>562</v>
      </c>
      <c r="B45" s="254" t="s">
        <v>360</v>
      </c>
      <c r="C45" s="105" t="s">
        <v>452</v>
      </c>
      <c r="D45" s="267">
        <f>J45+N45+P45+Q45</f>
        <v>2040716</v>
      </c>
      <c r="E45" s="259">
        <f>499200+10890+32200+11040+44760+23960+149422</f>
        <v>771472</v>
      </c>
      <c r="F45" s="260">
        <f>112278+7084+3778+9847+5271+33405</f>
        <v>171663</v>
      </c>
      <c r="G45" s="260">
        <f>934830-1097+124751</f>
        <v>1058484</v>
      </c>
      <c r="H45" s="260"/>
      <c r="I45" s="260"/>
      <c r="J45" s="261">
        <f>SUM(E45:I45)</f>
        <v>2001619</v>
      </c>
      <c r="K45" s="262">
        <f>13208+1097+24792</f>
        <v>39097</v>
      </c>
      <c r="L45" s="262"/>
      <c r="M45" s="262"/>
      <c r="N45" s="263">
        <f>SUM(K45:M45)</f>
        <v>39097</v>
      </c>
      <c r="O45" s="263"/>
      <c r="P45" s="264"/>
      <c r="Q45" s="265"/>
      <c r="R45" s="265"/>
      <c r="S45" s="297"/>
      <c r="T45" s="296"/>
    </row>
    <row r="46" spans="1:20" ht="15.75" thickBot="1">
      <c r="A46" s="292" t="s">
        <v>561</v>
      </c>
      <c r="B46" s="255" t="s">
        <v>224</v>
      </c>
      <c r="C46" s="333" t="s">
        <v>359</v>
      </c>
      <c r="D46" s="362">
        <f>J46+N46+P46+Q46</f>
        <v>4096315</v>
      </c>
      <c r="E46" s="361">
        <f>1049140+45375+106260+24840+100710+191350+125130</f>
        <v>1642805</v>
      </c>
      <c r="F46" s="360">
        <f>234665+23377+8500+22156+42097+27226</f>
        <v>358021</v>
      </c>
      <c r="G46" s="360">
        <f>1948387-34126+34880-19814</f>
        <v>1929327</v>
      </c>
      <c r="H46" s="360"/>
      <c r="I46" s="360"/>
      <c r="J46" s="359">
        <f>SUM(E46:I46)</f>
        <v>3930153</v>
      </c>
      <c r="K46" s="358">
        <f>26670+34126+105366</f>
        <v>166162</v>
      </c>
      <c r="L46" s="358"/>
      <c r="M46" s="358"/>
      <c r="N46" s="357">
        <f>SUM(K46:M46)</f>
        <v>166162</v>
      </c>
      <c r="O46" s="357"/>
      <c r="P46" s="356"/>
      <c r="Q46" s="355"/>
      <c r="R46" s="355"/>
      <c r="S46" s="295">
        <v>1</v>
      </c>
      <c r="T46" s="354">
        <v>1</v>
      </c>
    </row>
    <row r="47" spans="1:20" ht="16.5" customHeight="1" thickBot="1">
      <c r="A47" s="292" t="s">
        <v>560</v>
      </c>
      <c r="B47" s="353"/>
      <c r="C47" s="352" t="s">
        <v>554</v>
      </c>
      <c r="D47" s="351">
        <f>SUM(D43:D46)</f>
        <v>13494210</v>
      </c>
      <c r="E47" s="351">
        <f>SUM(E43:E46)</f>
        <v>5292500</v>
      </c>
      <c r="F47" s="351">
        <f>SUM(F43:F46)</f>
        <v>1148860</v>
      </c>
      <c r="G47" s="351">
        <f>SUM(G43:G46)</f>
        <v>6564137</v>
      </c>
      <c r="H47" s="351"/>
      <c r="I47" s="351"/>
      <c r="J47" s="351">
        <f>SUM(J43:J46)</f>
        <v>13005497</v>
      </c>
      <c r="K47" s="351">
        <f>SUM(K43:K46)</f>
        <v>488713</v>
      </c>
      <c r="L47" s="351"/>
      <c r="M47" s="351"/>
      <c r="N47" s="351">
        <f>SUM(N43:N46)</f>
        <v>488713</v>
      </c>
      <c r="O47" s="351"/>
      <c r="P47" s="351"/>
      <c r="Q47" s="351"/>
      <c r="R47" s="351">
        <f>SUM(R43:R46)</f>
        <v>0</v>
      </c>
      <c r="S47" s="350">
        <f>SUM(S43:S46)</f>
        <v>3</v>
      </c>
      <c r="T47" s="350">
        <f>SUM(T43:T46)</f>
        <v>3</v>
      </c>
    </row>
    <row r="48" spans="1:20" ht="15" thickBot="1">
      <c r="A48" s="292" t="s">
        <v>559</v>
      </c>
      <c r="B48" s="353"/>
      <c r="C48" s="352" t="s">
        <v>553</v>
      </c>
      <c r="D48" s="351">
        <f aca="true" t="shared" si="5" ref="D48:O48">D42+D47</f>
        <v>179647025</v>
      </c>
      <c r="E48" s="351">
        <f t="shared" si="5"/>
        <v>23905873</v>
      </c>
      <c r="F48" s="351">
        <f t="shared" si="5"/>
        <v>5342629</v>
      </c>
      <c r="G48" s="351">
        <f t="shared" si="5"/>
        <v>30020334</v>
      </c>
      <c r="H48" s="351">
        <f t="shared" si="5"/>
        <v>2861400</v>
      </c>
      <c r="I48" s="351">
        <f t="shared" si="5"/>
        <v>43167533</v>
      </c>
      <c r="J48" s="351">
        <f t="shared" si="5"/>
        <v>105297769</v>
      </c>
      <c r="K48" s="351">
        <f t="shared" si="5"/>
        <v>4330272</v>
      </c>
      <c r="L48" s="351">
        <f t="shared" si="5"/>
        <v>66280196</v>
      </c>
      <c r="M48" s="351">
        <f t="shared" si="5"/>
        <v>1200000</v>
      </c>
      <c r="N48" s="351">
        <f t="shared" si="5"/>
        <v>71810468</v>
      </c>
      <c r="O48" s="351">
        <f t="shared" si="5"/>
        <v>2538788</v>
      </c>
      <c r="P48" s="351"/>
      <c r="Q48" s="351"/>
      <c r="R48" s="351">
        <f>R42+R47</f>
        <v>2538788</v>
      </c>
      <c r="S48" s="350">
        <f>S42+S47</f>
        <v>4.75</v>
      </c>
      <c r="T48" s="350">
        <f>T42+T47</f>
        <v>4.75</v>
      </c>
    </row>
    <row r="49" ht="12.75">
      <c r="J49" s="349"/>
    </row>
  </sheetData>
  <sheetProtection password="AF00" sheet="1"/>
  <mergeCells count="33">
    <mergeCell ref="H4:K4"/>
    <mergeCell ref="C9:C13"/>
    <mergeCell ref="F11:F13"/>
    <mergeCell ref="B9:B13"/>
    <mergeCell ref="A9:A13"/>
    <mergeCell ref="I11:I13"/>
    <mergeCell ref="D9:D13"/>
    <mergeCell ref="O10:R10"/>
    <mergeCell ref="N11:N13"/>
    <mergeCell ref="O11:O13"/>
    <mergeCell ref="E10:J10"/>
    <mergeCell ref="S10:T10"/>
    <mergeCell ref="E11:E13"/>
    <mergeCell ref="S8:T8"/>
    <mergeCell ref="B6:T6"/>
    <mergeCell ref="S9:T9"/>
    <mergeCell ref="K11:K13"/>
    <mergeCell ref="E9:R9"/>
    <mergeCell ref="K10:N10"/>
    <mergeCell ref="S12:T13"/>
    <mergeCell ref="G11:G13"/>
    <mergeCell ref="L11:L13"/>
    <mergeCell ref="M11:M13"/>
    <mergeCell ref="B1:T1"/>
    <mergeCell ref="H11:H13"/>
    <mergeCell ref="B7:T7"/>
    <mergeCell ref="Q11:Q13"/>
    <mergeCell ref="J11:J13"/>
    <mergeCell ref="P11:P13"/>
    <mergeCell ref="B2:Q2"/>
    <mergeCell ref="B3:T3"/>
    <mergeCell ref="B5:T5"/>
    <mergeCell ref="R11:R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49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125" style="145" customWidth="1"/>
    <col min="2" max="2" width="9.125" style="145" customWidth="1"/>
    <col min="3" max="3" width="63.125" style="145" customWidth="1"/>
    <col min="4" max="4" width="24.00390625" style="145" customWidth="1"/>
    <col min="5" max="7" width="26.25390625" style="145" customWidth="1"/>
    <col min="8" max="16384" width="9.125" style="145" customWidth="1"/>
  </cols>
  <sheetData>
    <row r="1" spans="1:7" ht="15.75">
      <c r="A1" s="541" t="s">
        <v>567</v>
      </c>
      <c r="B1" s="509"/>
      <c r="C1" s="509"/>
      <c r="D1" s="509"/>
      <c r="E1" s="509"/>
      <c r="F1" s="509"/>
      <c r="G1" s="509"/>
    </row>
    <row r="2" spans="2:7" s="141" customFormat="1" ht="15.75">
      <c r="B2" s="541"/>
      <c r="C2" s="541"/>
      <c r="D2" s="541"/>
      <c r="E2" s="541"/>
      <c r="F2" s="541"/>
      <c r="G2" s="541"/>
    </row>
    <row r="3" spans="2:7" s="58" customFormat="1" ht="15" customHeight="1">
      <c r="B3" s="542"/>
      <c r="C3" s="542"/>
      <c r="D3" s="542"/>
      <c r="E3" s="542"/>
      <c r="F3" s="542"/>
      <c r="G3" s="542"/>
    </row>
    <row r="4" spans="4:7" s="143" customFormat="1" ht="15" customHeight="1">
      <c r="D4" s="539"/>
      <c r="E4" s="607"/>
      <c r="F4" s="388"/>
      <c r="G4" s="388"/>
    </row>
    <row r="5" spans="3:7" s="110" customFormat="1" ht="15" customHeight="1">
      <c r="C5" s="539" t="s">
        <v>40</v>
      </c>
      <c r="D5" s="539"/>
      <c r="E5" s="539"/>
      <c r="F5" s="539"/>
      <c r="G5" s="539"/>
    </row>
    <row r="6" spans="3:7" s="110" customFormat="1" ht="15.75">
      <c r="C6" s="540" t="s">
        <v>312</v>
      </c>
      <c r="D6" s="540"/>
      <c r="E6" s="540"/>
      <c r="F6" s="540"/>
      <c r="G6" s="540"/>
    </row>
    <row r="7" spans="3:7" s="110" customFormat="1" ht="15" customHeight="1">
      <c r="C7" s="539" t="s">
        <v>476</v>
      </c>
      <c r="D7" s="539"/>
      <c r="E7" s="539"/>
      <c r="F7" s="539"/>
      <c r="G7" s="539"/>
    </row>
    <row r="8" spans="3:7" s="141" customFormat="1" ht="12" customHeight="1" thickBot="1">
      <c r="C8" s="142"/>
      <c r="D8" s="144"/>
      <c r="E8" s="347"/>
      <c r="F8" s="347"/>
      <c r="G8" s="346"/>
    </row>
    <row r="9" spans="1:7" s="141" customFormat="1" ht="19.5" customHeight="1" thickBot="1">
      <c r="A9" s="608" t="s">
        <v>497</v>
      </c>
      <c r="B9" s="610" t="s">
        <v>182</v>
      </c>
      <c r="C9" s="550" t="s">
        <v>183</v>
      </c>
      <c r="D9" s="553" t="s">
        <v>313</v>
      </c>
      <c r="E9" s="556" t="s">
        <v>296</v>
      </c>
      <c r="F9" s="556"/>
      <c r="G9" s="557"/>
    </row>
    <row r="10" spans="1:7" s="141" customFormat="1" ht="33" customHeight="1" thickBot="1">
      <c r="A10" s="609"/>
      <c r="B10" s="611"/>
      <c r="C10" s="551"/>
      <c r="D10" s="554"/>
      <c r="E10" s="343" t="s">
        <v>297</v>
      </c>
      <c r="F10" s="345" t="s">
        <v>298</v>
      </c>
      <c r="G10" s="344" t="s">
        <v>299</v>
      </c>
    </row>
    <row r="11" spans="1:7" s="141" customFormat="1" ht="22.5" customHeight="1">
      <c r="A11" s="609"/>
      <c r="B11" s="611"/>
      <c r="C11" s="551"/>
      <c r="D11" s="554"/>
      <c r="E11" s="558" t="s">
        <v>300</v>
      </c>
      <c r="F11" s="559"/>
      <c r="G11" s="560"/>
    </row>
    <row r="12" spans="1:7" ht="13.5" thickBot="1">
      <c r="A12" s="609"/>
      <c r="B12" s="611"/>
      <c r="C12" s="551"/>
      <c r="D12" s="554"/>
      <c r="E12" s="612"/>
      <c r="F12" s="613"/>
      <c r="G12" s="614"/>
    </row>
    <row r="13" spans="1:7" ht="30">
      <c r="A13" s="338" t="s">
        <v>43</v>
      </c>
      <c r="B13" s="337" t="s">
        <v>199</v>
      </c>
      <c r="C13" s="387" t="s">
        <v>200</v>
      </c>
      <c r="D13" s="386">
        <f aca="true" t="shared" si="0" ref="D13:D40">SUM(E13:G13)</f>
        <v>57526552</v>
      </c>
      <c r="E13" s="385">
        <f>95000+1221000+9400+4687100+1640303+703065+246045+900000+294270+2234787+3583240+101600+444000+97680+143179+64122+89764+38415438+5185082+115989+806700+65080-1181000-606235-120000-499999+120000-190000-287259+66664+46922+64999+120000-7855+326400+28998+268900-2228909-40000-50000-317500-499999-392840-123482-455060-495519+192746-143179+111000+24420-478864-50800+317500-343723-592920-50800-32198</f>
        <v>53643252</v>
      </c>
      <c r="F13" s="384">
        <f>30000+1874800+450000+4956+182080+5310+101156+278800-1+2250+840000+80000+3078+23000+3800+4071</f>
        <v>3883300</v>
      </c>
      <c r="G13" s="383"/>
    </row>
    <row r="14" spans="1:7" ht="15">
      <c r="A14" s="258" t="s">
        <v>27</v>
      </c>
      <c r="B14" s="276" t="s">
        <v>201</v>
      </c>
      <c r="C14" s="277" t="s">
        <v>36</v>
      </c>
      <c r="D14" s="382">
        <f t="shared" si="0"/>
        <v>107520</v>
      </c>
      <c r="E14" s="381">
        <f>64340+43180</f>
        <v>107520</v>
      </c>
      <c r="F14" s="342"/>
      <c r="G14" s="341"/>
    </row>
    <row r="15" spans="1:7" ht="15">
      <c r="A15" s="257" t="s">
        <v>44</v>
      </c>
      <c r="B15" s="254" t="s">
        <v>202</v>
      </c>
      <c r="C15" s="103" t="s">
        <v>203</v>
      </c>
      <c r="D15" s="367">
        <f t="shared" si="0"/>
        <v>1672790</v>
      </c>
      <c r="E15" s="380">
        <f>244790+120000+127000</f>
        <v>491790</v>
      </c>
      <c r="F15" s="336">
        <v>1181000</v>
      </c>
      <c r="G15" s="335"/>
    </row>
    <row r="16" spans="1:7" ht="15">
      <c r="A16" s="257" t="s">
        <v>103</v>
      </c>
      <c r="B16" s="254" t="s">
        <v>301</v>
      </c>
      <c r="C16" s="103" t="s">
        <v>302</v>
      </c>
      <c r="D16" s="367">
        <f t="shared" si="0"/>
        <v>2538788</v>
      </c>
      <c r="E16" s="380">
        <f>1121209+1417579</f>
        <v>2538788</v>
      </c>
      <c r="F16" s="336"/>
      <c r="G16" s="335"/>
    </row>
    <row r="17" spans="1:7" ht="15">
      <c r="A17" s="257" t="s">
        <v>104</v>
      </c>
      <c r="B17" s="254" t="s">
        <v>557</v>
      </c>
      <c r="C17" s="103" t="s">
        <v>556</v>
      </c>
      <c r="D17" s="367">
        <f t="shared" si="0"/>
        <v>2358516</v>
      </c>
      <c r="E17" s="380">
        <f>722670+501752+287259+5979+163060+17936+478864+180996</f>
        <v>2358516</v>
      </c>
      <c r="F17" s="336"/>
      <c r="G17" s="335"/>
    </row>
    <row r="18" spans="1:7" ht="15">
      <c r="A18" s="257" t="s">
        <v>104</v>
      </c>
      <c r="B18" s="104" t="s">
        <v>487</v>
      </c>
      <c r="C18" s="103" t="s">
        <v>488</v>
      </c>
      <c r="D18" s="367">
        <f t="shared" si="0"/>
        <v>67766429</v>
      </c>
      <c r="E18" s="380">
        <f>10000000+499999+606235+12630487+40000000+2228909+499999+1250000+50800</f>
        <v>67766429</v>
      </c>
      <c r="F18" s="336"/>
      <c r="G18" s="335"/>
    </row>
    <row r="19" spans="1:7" ht="27" customHeight="1">
      <c r="A19" s="257" t="s">
        <v>110</v>
      </c>
      <c r="B19" s="254" t="s">
        <v>204</v>
      </c>
      <c r="C19" s="103" t="s">
        <v>205</v>
      </c>
      <c r="D19" s="367">
        <f t="shared" si="0"/>
        <v>26670</v>
      </c>
      <c r="E19" s="380">
        <v>26670</v>
      </c>
      <c r="F19" s="336"/>
      <c r="G19" s="335"/>
    </row>
    <row r="20" spans="1:7" ht="15">
      <c r="A20" s="257" t="s">
        <v>246</v>
      </c>
      <c r="B20" s="254" t="s">
        <v>453</v>
      </c>
      <c r="C20" s="103" t="s">
        <v>454</v>
      </c>
      <c r="D20" s="367">
        <f t="shared" si="0"/>
        <v>19050</v>
      </c>
      <c r="E20" s="282">
        <v>19050</v>
      </c>
      <c r="F20" s="109"/>
      <c r="G20" s="278"/>
    </row>
    <row r="21" spans="1:7" ht="15">
      <c r="A21" s="257" t="s">
        <v>248</v>
      </c>
      <c r="B21" s="254" t="s">
        <v>206</v>
      </c>
      <c r="C21" s="103" t="s">
        <v>207</v>
      </c>
      <c r="D21" s="367">
        <f t="shared" si="0"/>
        <v>6312694</v>
      </c>
      <c r="E21" s="380">
        <v>6312694</v>
      </c>
      <c r="F21" s="336"/>
      <c r="G21" s="335"/>
    </row>
    <row r="22" spans="1:7" ht="15">
      <c r="A22" s="257" t="s">
        <v>250</v>
      </c>
      <c r="B22" s="254" t="s">
        <v>208</v>
      </c>
      <c r="C22" s="103" t="s">
        <v>209</v>
      </c>
      <c r="D22" s="367">
        <f t="shared" si="0"/>
        <v>360000</v>
      </c>
      <c r="E22" s="380"/>
      <c r="F22" s="336">
        <f>1200000-840000</f>
        <v>360000</v>
      </c>
      <c r="G22" s="335"/>
    </row>
    <row r="23" spans="1:7" ht="15">
      <c r="A23" s="257" t="s">
        <v>257</v>
      </c>
      <c r="B23" s="254" t="s">
        <v>210</v>
      </c>
      <c r="C23" s="103" t="s">
        <v>211</v>
      </c>
      <c r="D23" s="367">
        <f t="shared" si="0"/>
        <v>1899920</v>
      </c>
      <c r="E23" s="380">
        <v>1899920</v>
      </c>
      <c r="F23" s="336"/>
      <c r="G23" s="335"/>
    </row>
    <row r="24" spans="1:7" ht="15">
      <c r="A24" s="257" t="s">
        <v>259</v>
      </c>
      <c r="B24" s="254" t="s">
        <v>212</v>
      </c>
      <c r="C24" s="103" t="s">
        <v>213</v>
      </c>
      <c r="D24" s="367">
        <f t="shared" si="0"/>
        <v>278446</v>
      </c>
      <c r="E24" s="380">
        <f>635000-127000-229554</f>
        <v>278446</v>
      </c>
      <c r="F24" s="336"/>
      <c r="G24" s="335"/>
    </row>
    <row r="25" spans="1:7" ht="15">
      <c r="A25" s="257" t="s">
        <v>261</v>
      </c>
      <c r="B25" s="254" t="s">
        <v>214</v>
      </c>
      <c r="C25" s="103" t="s">
        <v>215</v>
      </c>
      <c r="D25" s="367">
        <f t="shared" si="0"/>
        <v>3042256</v>
      </c>
      <c r="E25" s="380">
        <f>1953606+290830+1000000-202180</f>
        <v>3042256</v>
      </c>
      <c r="F25" s="336"/>
      <c r="G25" s="335"/>
    </row>
    <row r="26" spans="1:7" ht="15">
      <c r="A26" s="257" t="s">
        <v>266</v>
      </c>
      <c r="B26" s="254" t="s">
        <v>216</v>
      </c>
      <c r="C26" s="103" t="s">
        <v>34</v>
      </c>
      <c r="D26" s="367">
        <f t="shared" si="0"/>
        <v>9968389</v>
      </c>
      <c r="E26" s="380">
        <f>9744490+64899+159000</f>
        <v>9968389</v>
      </c>
      <c r="F26" s="336"/>
      <c r="G26" s="335"/>
    </row>
    <row r="27" spans="1:7" ht="15">
      <c r="A27" s="257" t="s">
        <v>268</v>
      </c>
      <c r="B27" s="254" t="s">
        <v>217</v>
      </c>
      <c r="C27" s="103" t="s">
        <v>218</v>
      </c>
      <c r="D27" s="367">
        <f t="shared" si="0"/>
        <v>715000</v>
      </c>
      <c r="E27" s="380">
        <f>675000+40000</f>
        <v>715000</v>
      </c>
      <c r="F27" s="336"/>
      <c r="G27" s="335"/>
    </row>
    <row r="28" spans="1:7" ht="15">
      <c r="A28" s="257" t="s">
        <v>270</v>
      </c>
      <c r="B28" s="254" t="s">
        <v>219</v>
      </c>
      <c r="C28" s="103" t="s">
        <v>37</v>
      </c>
      <c r="D28" s="367">
        <f t="shared" si="0"/>
        <v>909333</v>
      </c>
      <c r="E28" s="380">
        <f>526400+117708+82550+179959+44400+9768-79869+673</f>
        <v>881589</v>
      </c>
      <c r="F28" s="336">
        <f>10800+1784+1912+900+9200+1520+1628</f>
        <v>27744</v>
      </c>
      <c r="G28" s="335"/>
    </row>
    <row r="29" spans="1:7" ht="15">
      <c r="A29" s="257" t="s">
        <v>277</v>
      </c>
      <c r="B29" s="254" t="s">
        <v>448</v>
      </c>
      <c r="C29" s="103" t="s">
        <v>455</v>
      </c>
      <c r="D29" s="367">
        <f t="shared" si="0"/>
        <v>3470152</v>
      </c>
      <c r="E29" s="380">
        <f>789600+1134900+430405+444880+27846+28792+162200+35684+14970+14396+8144+3000+229554</f>
        <v>3324371</v>
      </c>
      <c r="F29" s="336">
        <f>80953+48300+7979+8549</f>
        <v>145781</v>
      </c>
      <c r="G29" s="335"/>
    </row>
    <row r="30" spans="1:7" ht="15">
      <c r="A30" s="257" t="s">
        <v>280</v>
      </c>
      <c r="B30" s="254" t="s">
        <v>456</v>
      </c>
      <c r="C30" s="103" t="s">
        <v>457</v>
      </c>
      <c r="D30" s="367">
        <f t="shared" si="0"/>
        <v>384710</v>
      </c>
      <c r="E30" s="380">
        <v>384710</v>
      </c>
      <c r="F30" s="336"/>
      <c r="G30" s="335"/>
    </row>
    <row r="31" spans="1:7" ht="15">
      <c r="A31" s="257" t="s">
        <v>282</v>
      </c>
      <c r="B31" s="254" t="s">
        <v>220</v>
      </c>
      <c r="C31" s="103" t="s">
        <v>35</v>
      </c>
      <c r="D31" s="367">
        <f t="shared" si="0"/>
        <v>360000</v>
      </c>
      <c r="E31" s="380"/>
      <c r="F31" s="336">
        <f>120000+190000+50000</f>
        <v>360000</v>
      </c>
      <c r="G31" s="335"/>
    </row>
    <row r="32" spans="1:7" ht="15">
      <c r="A32" s="257" t="s">
        <v>353</v>
      </c>
      <c r="B32" s="254" t="s">
        <v>221</v>
      </c>
      <c r="C32" s="103" t="s">
        <v>222</v>
      </c>
      <c r="D32" s="367">
        <f t="shared" si="0"/>
        <v>50000</v>
      </c>
      <c r="E32" s="380"/>
      <c r="F32" s="336">
        <v>50000</v>
      </c>
      <c r="G32" s="335"/>
    </row>
    <row r="33" spans="1:7" ht="15">
      <c r="A33" s="257" t="s">
        <v>355</v>
      </c>
      <c r="B33" s="254" t="s">
        <v>303</v>
      </c>
      <c r="C33" s="103" t="s">
        <v>304</v>
      </c>
      <c r="D33" s="367">
        <f t="shared" si="0"/>
        <v>1209252</v>
      </c>
      <c r="E33" s="380">
        <f>2230740+498158+3738298+51816-5561506+73928+8208+64478+71477+28525</f>
        <v>1204122</v>
      </c>
      <c r="F33" s="336">
        <f>55080+9099+9749-73928+5130</f>
        <v>5130</v>
      </c>
      <c r="G33" s="335"/>
    </row>
    <row r="34" spans="1:7" ht="15">
      <c r="A34" s="257" t="s">
        <v>490</v>
      </c>
      <c r="B34" s="254" t="s">
        <v>305</v>
      </c>
      <c r="C34" s="103" t="s">
        <v>306</v>
      </c>
      <c r="D34" s="367">
        <f t="shared" si="0"/>
        <v>248571</v>
      </c>
      <c r="E34" s="380"/>
      <c r="F34" s="336">
        <f>1332680-1103805+1080+1728+3084+13804</f>
        <v>248571</v>
      </c>
      <c r="G34" s="335"/>
    </row>
    <row r="35" spans="1:7" ht="15">
      <c r="A35" s="257" t="s">
        <v>491</v>
      </c>
      <c r="B35" s="254" t="s">
        <v>305</v>
      </c>
      <c r="C35" s="103" t="s">
        <v>458</v>
      </c>
      <c r="D35" s="367">
        <f t="shared" si="0"/>
        <v>124269</v>
      </c>
      <c r="E35" s="380"/>
      <c r="F35" s="336">
        <f>1718831-1578241+540+864-36450+18725</f>
        <v>124269</v>
      </c>
      <c r="G35" s="335"/>
    </row>
    <row r="36" spans="1:7" ht="15">
      <c r="A36" s="257" t="s">
        <v>492</v>
      </c>
      <c r="B36" s="254">
        <v>104051</v>
      </c>
      <c r="C36" s="106" t="s">
        <v>361</v>
      </c>
      <c r="D36" s="367">
        <f t="shared" si="0"/>
        <v>46400</v>
      </c>
      <c r="E36" s="380"/>
      <c r="F36" s="336"/>
      <c r="G36" s="335">
        <v>46400</v>
      </c>
    </row>
    <row r="37" spans="1:7" ht="15">
      <c r="A37" s="257" t="s">
        <v>493</v>
      </c>
      <c r="B37" s="254">
        <v>106020</v>
      </c>
      <c r="C37" s="103" t="s">
        <v>223</v>
      </c>
      <c r="D37" s="367">
        <f t="shared" si="0"/>
        <v>0</v>
      </c>
      <c r="E37" s="380">
        <f>300000-300000</f>
        <v>0</v>
      </c>
      <c r="F37" s="336"/>
      <c r="G37" s="335"/>
    </row>
    <row r="38" spans="1:14" ht="15">
      <c r="A38" s="257" t="s">
        <v>494</v>
      </c>
      <c r="B38" s="254" t="s">
        <v>224</v>
      </c>
      <c r="C38" s="280" t="s">
        <v>359</v>
      </c>
      <c r="D38" s="367">
        <f t="shared" si="0"/>
        <v>517878</v>
      </c>
      <c r="E38" s="380">
        <f>1180980+263731+2289606+26670-3258896+3600-29236+39173</f>
        <v>515628</v>
      </c>
      <c r="F38" s="336">
        <v>2250</v>
      </c>
      <c r="G38" s="335"/>
      <c r="H38" s="240"/>
      <c r="I38" s="240"/>
      <c r="J38" s="240"/>
      <c r="K38" s="240"/>
      <c r="L38" s="240"/>
      <c r="M38" s="240"/>
      <c r="N38" s="240"/>
    </row>
    <row r="39" spans="1:14" ht="15">
      <c r="A39" s="257" t="s">
        <v>495</v>
      </c>
      <c r="B39" s="254">
        <v>107052</v>
      </c>
      <c r="C39" s="106" t="s">
        <v>225</v>
      </c>
      <c r="D39" s="367">
        <f t="shared" si="0"/>
        <v>662230</v>
      </c>
      <c r="E39" s="283">
        <v>662230</v>
      </c>
      <c r="F39" s="109"/>
      <c r="G39" s="278"/>
      <c r="H39" s="241"/>
      <c r="I39" s="241"/>
      <c r="J39" s="242"/>
      <c r="K39" s="243"/>
      <c r="L39" s="243"/>
      <c r="M39" s="243"/>
      <c r="N39" s="242"/>
    </row>
    <row r="40" spans="1:7" ht="15.75" thickBot="1">
      <c r="A40" s="257" t="s">
        <v>496</v>
      </c>
      <c r="B40" s="254">
        <v>107060</v>
      </c>
      <c r="C40" s="103" t="s">
        <v>226</v>
      </c>
      <c r="D40" s="367">
        <f t="shared" si="0"/>
        <v>3577000</v>
      </c>
      <c r="E40" s="380">
        <f>2715000+300000-80000-120000+711200+50800</f>
        <v>3577000</v>
      </c>
      <c r="F40" s="336"/>
      <c r="G40" s="335"/>
    </row>
    <row r="41" spans="1:7" ht="15" customHeight="1" thickBot="1">
      <c r="A41" s="279" t="s">
        <v>533</v>
      </c>
      <c r="B41" s="269"/>
      <c r="C41" s="148" t="s">
        <v>555</v>
      </c>
      <c r="D41" s="339">
        <f>SUM(D13:D40)</f>
        <v>166152815</v>
      </c>
      <c r="E41" s="379">
        <f>SUM(E13:E40)</f>
        <v>159718370</v>
      </c>
      <c r="F41" s="378">
        <f>SUM(F13:F40)</f>
        <v>6388045</v>
      </c>
      <c r="G41" s="378">
        <f>SUM(G13:G40)</f>
        <v>46400</v>
      </c>
    </row>
    <row r="42" spans="1:7" ht="15">
      <c r="A42" s="292" t="s">
        <v>565</v>
      </c>
      <c r="B42" s="289" t="s">
        <v>303</v>
      </c>
      <c r="C42" s="103" t="s">
        <v>304</v>
      </c>
      <c r="D42" s="367">
        <f>SUM(E42:G42)</f>
        <v>6356720</v>
      </c>
      <c r="E42" s="377">
        <f>5490029-73928+103455+154560+34003+190230+41851+222090+48860+8666</f>
        <v>6219816</v>
      </c>
      <c r="F42" s="376">
        <f>73928+46920+16056</f>
        <v>136904</v>
      </c>
      <c r="G42" s="375"/>
    </row>
    <row r="43" spans="1:7" ht="15">
      <c r="A43" s="292" t="s">
        <v>564</v>
      </c>
      <c r="B43" s="254" t="s">
        <v>305</v>
      </c>
      <c r="C43" s="103" t="s">
        <v>306</v>
      </c>
      <c r="D43" s="367">
        <f>SUM(E43:G43)</f>
        <v>1335642</v>
      </c>
      <c r="E43" s="374"/>
      <c r="F43" s="373">
        <f>1090001+21780+28980+6376+9200+3148+37300+8206+48600+10692+40369+30990</f>
        <v>1335642</v>
      </c>
      <c r="G43" s="372"/>
    </row>
    <row r="44" spans="1:7" ht="15">
      <c r="A44" s="292" t="s">
        <v>563</v>
      </c>
      <c r="B44" s="254" t="s">
        <v>360</v>
      </c>
      <c r="C44" s="280" t="s">
        <v>452</v>
      </c>
      <c r="D44" s="367">
        <f>SUM(E44:G44)</f>
        <v>1857889</v>
      </c>
      <c r="E44" s="371"/>
      <c r="F44" s="370">
        <f>1559516+10890+32200+7084+11040+3778+44760+9847+23960+5271+124751+24792</f>
        <v>1857889</v>
      </c>
      <c r="G44" s="369"/>
    </row>
    <row r="45" spans="1:7" ht="15.75" thickBot="1">
      <c r="A45" s="292" t="s">
        <v>562</v>
      </c>
      <c r="B45" s="255" t="s">
        <v>224</v>
      </c>
      <c r="C45" s="368" t="s">
        <v>359</v>
      </c>
      <c r="D45" s="367">
        <f>SUM(E45:G45)</f>
        <v>3943959</v>
      </c>
      <c r="E45" s="366">
        <f>3219734+45375+106260+23377+100710+22156+191350+42097+34880+85552</f>
        <v>3871491</v>
      </c>
      <c r="F45" s="365">
        <f>39128+24840+8500</f>
        <v>72468</v>
      </c>
      <c r="G45" s="364"/>
    </row>
    <row r="46" spans="1:7" ht="15" thickBot="1">
      <c r="A46" s="292" t="s">
        <v>561</v>
      </c>
      <c r="B46" s="353"/>
      <c r="C46" s="281" t="s">
        <v>554</v>
      </c>
      <c r="D46" s="328">
        <f>SUM(D42:D45)</f>
        <v>13494210</v>
      </c>
      <c r="E46" s="328">
        <f>SUM(E42:E45)</f>
        <v>10091307</v>
      </c>
      <c r="F46" s="328">
        <f>SUM(F42:F45)</f>
        <v>3402903</v>
      </c>
      <c r="G46" s="328"/>
    </row>
    <row r="47" spans="1:7" ht="15" thickBot="1">
      <c r="A47" s="292" t="s">
        <v>560</v>
      </c>
      <c r="B47" s="353"/>
      <c r="C47" s="281" t="s">
        <v>553</v>
      </c>
      <c r="D47" s="328">
        <f>D41+D46</f>
        <v>179647025</v>
      </c>
      <c r="E47" s="328">
        <f>E41+E46</f>
        <v>169809677</v>
      </c>
      <c r="F47" s="328">
        <f>F41+F46</f>
        <v>9790948</v>
      </c>
      <c r="G47" s="328"/>
    </row>
    <row r="49" ht="12.75">
      <c r="D49" s="363"/>
    </row>
  </sheetData>
  <sheetProtection password="AF00" sheet="1"/>
  <mergeCells count="13">
    <mergeCell ref="A9:A12"/>
    <mergeCell ref="B9:B12"/>
    <mergeCell ref="C9:C12"/>
    <mergeCell ref="D9:D12"/>
    <mergeCell ref="E9:G9"/>
    <mergeCell ref="E11:G12"/>
    <mergeCell ref="B3:G3"/>
    <mergeCell ref="C5:G5"/>
    <mergeCell ref="A1:G1"/>
    <mergeCell ref="C6:G6"/>
    <mergeCell ref="C7:G7"/>
    <mergeCell ref="B2:G2"/>
    <mergeCell ref="D4:E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IU38"/>
  <sheetViews>
    <sheetView zoomScalePageLayoutView="0" workbookViewId="0" topLeftCell="A1">
      <selection activeCell="M18" sqref="M18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6" ht="15.75">
      <c r="A1" s="541" t="s">
        <v>569</v>
      </c>
      <c r="B1" s="541"/>
      <c r="C1" s="541"/>
      <c r="D1" s="541"/>
      <c r="E1" s="541"/>
      <c r="F1" s="541"/>
    </row>
    <row r="3" spans="1:10" ht="15.75">
      <c r="A3" s="542"/>
      <c r="B3" s="542"/>
      <c r="C3" s="542"/>
      <c r="D3" s="542"/>
      <c r="E3" s="542"/>
      <c r="F3" s="542"/>
      <c r="G3" s="80"/>
      <c r="H3" s="80"/>
      <c r="I3" s="80"/>
      <c r="J3" s="80"/>
    </row>
    <row r="4" spans="1:6" ht="15">
      <c r="A4" s="617"/>
      <c r="B4" s="617"/>
      <c r="C4" s="617"/>
      <c r="D4" s="617"/>
      <c r="E4" s="617"/>
      <c r="F4" s="617"/>
    </row>
    <row r="5" spans="1:6" ht="15">
      <c r="A5" s="617"/>
      <c r="B5" s="617"/>
      <c r="C5" s="617"/>
      <c r="D5" s="617"/>
      <c r="E5" s="617"/>
      <c r="F5" s="617"/>
    </row>
    <row r="6" spans="3:5" ht="12.75" customHeight="1">
      <c r="C6" s="615"/>
      <c r="D6" s="616"/>
      <c r="E6" s="616"/>
    </row>
    <row r="7" spans="1:6" s="20" customFormat="1" ht="15.75">
      <c r="A7" s="618" t="s">
        <v>581</v>
      </c>
      <c r="B7" s="618"/>
      <c r="C7" s="618"/>
      <c r="D7" s="618"/>
      <c r="E7" s="618"/>
      <c r="F7" s="618"/>
    </row>
    <row r="8" spans="1:6" s="20" customFormat="1" ht="15.75">
      <c r="A8" s="618" t="s">
        <v>459</v>
      </c>
      <c r="B8" s="618"/>
      <c r="C8" s="618"/>
      <c r="D8" s="618"/>
      <c r="E8" s="618"/>
      <c r="F8" s="618"/>
    </row>
    <row r="9" spans="1:6" ht="15">
      <c r="A9" s="617" t="s">
        <v>498</v>
      </c>
      <c r="B9" s="617"/>
      <c r="C9" s="617"/>
      <c r="D9" s="617"/>
      <c r="E9" s="617"/>
      <c r="F9" s="617"/>
    </row>
    <row r="10" ht="15">
      <c r="F10" s="107" t="s">
        <v>477</v>
      </c>
    </row>
    <row r="11" spans="1:6" ht="15">
      <c r="A11" s="619" t="s">
        <v>0</v>
      </c>
      <c r="B11" s="620"/>
      <c r="C11" s="620"/>
      <c r="D11" s="620"/>
      <c r="E11" s="621"/>
      <c r="F11" s="628" t="s">
        <v>11</v>
      </c>
    </row>
    <row r="12" spans="1:6" ht="15">
      <c r="A12" s="622"/>
      <c r="B12" s="623"/>
      <c r="C12" s="623"/>
      <c r="D12" s="623"/>
      <c r="E12" s="624"/>
      <c r="F12" s="629"/>
    </row>
    <row r="13" spans="1:6" ht="15">
      <c r="A13" s="625"/>
      <c r="B13" s="626"/>
      <c r="C13" s="626"/>
      <c r="D13" s="626"/>
      <c r="E13" s="627"/>
      <c r="F13" s="630"/>
    </row>
    <row r="14" spans="1:6" ht="15">
      <c r="A14" s="13" t="s">
        <v>227</v>
      </c>
      <c r="E14" s="21"/>
      <c r="F14" s="22"/>
    </row>
    <row r="15" spans="1:2" s="13" customFormat="1" ht="15">
      <c r="A15" s="107"/>
      <c r="B15" s="11"/>
    </row>
    <row r="16" spans="1:5" ht="29.25" customHeight="1">
      <c r="A16" s="499" t="s">
        <v>43</v>
      </c>
      <c r="B16" s="538" t="s">
        <v>228</v>
      </c>
      <c r="C16" s="538"/>
      <c r="D16" s="538"/>
      <c r="E16" s="538"/>
    </row>
    <row r="17" spans="1:6" ht="18.75" customHeight="1">
      <c r="A17" s="499" t="s">
        <v>27</v>
      </c>
      <c r="B17" t="s">
        <v>547</v>
      </c>
      <c r="C17" s="498"/>
      <c r="E17" s="475"/>
      <c r="F17" s="389">
        <v>50000</v>
      </c>
    </row>
    <row r="18" spans="1:6" ht="33.75" customHeight="1">
      <c r="A18" s="12" t="s">
        <v>44</v>
      </c>
      <c r="B18" s="631" t="s">
        <v>568</v>
      </c>
      <c r="C18" s="533"/>
      <c r="D18" s="533"/>
      <c r="E18" s="533"/>
      <c r="F18" s="389">
        <v>600000</v>
      </c>
    </row>
    <row r="19" spans="1:6" ht="33.75" customHeight="1">
      <c r="A19" s="13"/>
      <c r="B19" s="538" t="s">
        <v>229</v>
      </c>
      <c r="C19" s="538"/>
      <c r="D19" s="538"/>
      <c r="E19" s="538"/>
      <c r="F19" s="307">
        <f>SUM(F17:F18)</f>
        <v>650000</v>
      </c>
    </row>
    <row r="20" ht="13.5" customHeight="1">
      <c r="F20" s="389"/>
    </row>
    <row r="21" spans="1:6" ht="33" customHeight="1">
      <c r="A21" s="13"/>
      <c r="B21" s="538" t="s">
        <v>230</v>
      </c>
      <c r="C21" s="538"/>
      <c r="D21" s="538"/>
      <c r="E21" s="538"/>
      <c r="F21" s="389"/>
    </row>
    <row r="22" spans="1:6" ht="18.75" customHeight="1">
      <c r="A22" s="108" t="s">
        <v>43</v>
      </c>
      <c r="B22" s="14" t="s">
        <v>78</v>
      </c>
      <c r="F22" s="389">
        <v>69700</v>
      </c>
    </row>
    <row r="23" spans="1:6" ht="13.5" customHeight="1">
      <c r="A23" s="12" t="s">
        <v>27</v>
      </c>
      <c r="B23" s="11" t="s">
        <v>28</v>
      </c>
      <c r="F23" s="389">
        <v>209100</v>
      </c>
    </row>
    <row r="24" spans="1:255" ht="15.75">
      <c r="A24" s="12" t="s">
        <v>44</v>
      </c>
      <c r="B24" s="16" t="s">
        <v>25</v>
      </c>
      <c r="C24" s="16"/>
      <c r="D24" s="16"/>
      <c r="E24" s="16"/>
      <c r="F24" s="389">
        <f>40000+190000</f>
        <v>230000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ht="15.75">
      <c r="A25" s="12" t="s">
        <v>103</v>
      </c>
      <c r="B25" s="16" t="s">
        <v>26</v>
      </c>
      <c r="C25" s="16"/>
      <c r="D25" s="16"/>
      <c r="E25" s="16"/>
      <c r="F25" s="389">
        <v>40000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5.75">
      <c r="A26" s="12" t="s">
        <v>104</v>
      </c>
      <c r="B26" s="16" t="s">
        <v>46</v>
      </c>
      <c r="C26" s="16"/>
      <c r="D26" s="16"/>
      <c r="E26" s="16"/>
      <c r="F26" s="389">
        <f>40000+50000</f>
        <v>90000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</row>
    <row r="27" spans="1:255" ht="15.75">
      <c r="A27" s="12" t="s">
        <v>110</v>
      </c>
      <c r="B27" s="16" t="s">
        <v>47</v>
      </c>
      <c r="C27" s="16"/>
      <c r="D27" s="16"/>
      <c r="E27" s="16"/>
      <c r="F27" s="389">
        <v>75000</v>
      </c>
      <c r="G27" s="42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</row>
    <row r="28" spans="1:6" ht="13.5" customHeight="1">
      <c r="A28" s="12" t="s">
        <v>246</v>
      </c>
      <c r="B28" s="16" t="s">
        <v>79</v>
      </c>
      <c r="F28" s="389">
        <v>600000</v>
      </c>
    </row>
    <row r="29" spans="1:6" ht="13.5" customHeight="1">
      <c r="A29" s="471" t="s">
        <v>248</v>
      </c>
      <c r="B29" s="11" t="s">
        <v>625</v>
      </c>
      <c r="F29" s="389">
        <v>80000</v>
      </c>
    </row>
    <row r="30" spans="1:6" ht="13.5" customHeight="1">
      <c r="A30" s="471" t="s">
        <v>644</v>
      </c>
      <c r="B30" s="11" t="s">
        <v>643</v>
      </c>
      <c r="F30" s="389">
        <v>40000</v>
      </c>
    </row>
    <row r="31" spans="1:8" ht="32.25" customHeight="1">
      <c r="A31" s="13"/>
      <c r="B31" s="538" t="s">
        <v>231</v>
      </c>
      <c r="C31" s="538"/>
      <c r="D31" s="538"/>
      <c r="E31" s="538"/>
      <c r="F31" s="307">
        <f>SUM(F22:F30)</f>
        <v>1433800</v>
      </c>
      <c r="G31" s="15"/>
      <c r="H31" s="15"/>
    </row>
    <row r="32" spans="1:8" ht="12.75" customHeight="1">
      <c r="A32" s="13"/>
      <c r="F32" s="389"/>
      <c r="G32" s="15"/>
      <c r="H32" s="15"/>
    </row>
    <row r="33" spans="1:7" s="17" customFormat="1" ht="15.75">
      <c r="A33" s="13" t="s">
        <v>232</v>
      </c>
      <c r="F33" s="307">
        <f>F31+F19</f>
        <v>2083800</v>
      </c>
      <c r="G33" s="18"/>
    </row>
    <row r="34" spans="1:7" s="17" customFormat="1" ht="15.75">
      <c r="A34" s="13"/>
      <c r="F34" s="307"/>
      <c r="G34" s="18"/>
    </row>
    <row r="35" spans="6:7" s="17" customFormat="1" ht="15.75">
      <c r="F35" s="389"/>
      <c r="G35" s="18"/>
    </row>
    <row r="36" spans="1:6" s="19" customFormat="1" ht="18.75">
      <c r="A36" s="19" t="s">
        <v>7</v>
      </c>
      <c r="F36" s="327">
        <f>F33</f>
        <v>2083800</v>
      </c>
    </row>
    <row r="38" ht="15">
      <c r="A38"/>
    </row>
  </sheetData>
  <sheetProtection password="AF00" sheet="1"/>
  <mergeCells count="15">
    <mergeCell ref="A9:F9"/>
    <mergeCell ref="A8:F8"/>
    <mergeCell ref="B21:E21"/>
    <mergeCell ref="B31:E31"/>
    <mergeCell ref="A11:E13"/>
    <mergeCell ref="B16:E16"/>
    <mergeCell ref="B19:E19"/>
    <mergeCell ref="F11:F13"/>
    <mergeCell ref="B18:E18"/>
    <mergeCell ref="A1:F1"/>
    <mergeCell ref="C6:E6"/>
    <mergeCell ref="A3:F3"/>
    <mergeCell ref="A4:F4"/>
    <mergeCell ref="A5:F5"/>
    <mergeCell ref="A7:F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G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5.375" style="0" customWidth="1"/>
    <col min="2" max="2" width="64.25390625" style="0" customWidth="1"/>
    <col min="3" max="3" width="12.25390625" style="0" customWidth="1"/>
  </cols>
  <sheetData>
    <row r="1" spans="2:7" ht="15.75">
      <c r="B1" s="541" t="s">
        <v>571</v>
      </c>
      <c r="C1" s="509"/>
      <c r="D1" s="348"/>
      <c r="E1" s="348"/>
      <c r="F1" s="348"/>
      <c r="G1" s="348"/>
    </row>
    <row r="5" spans="1:3" ht="22.5" customHeight="1">
      <c r="A5" s="638"/>
      <c r="B5" s="638"/>
      <c r="C5" s="638"/>
    </row>
    <row r="6" spans="1:3" ht="19.5" customHeight="1">
      <c r="A6" s="638" t="s">
        <v>691</v>
      </c>
      <c r="B6" s="638"/>
      <c r="C6" s="638"/>
    </row>
    <row r="7" spans="1:3" ht="19.5" customHeight="1">
      <c r="A7" s="638" t="s">
        <v>39</v>
      </c>
      <c r="B7" s="638"/>
      <c r="C7" s="638"/>
    </row>
    <row r="8" spans="1:3" ht="24.75" customHeight="1">
      <c r="A8" s="638" t="s">
        <v>499</v>
      </c>
      <c r="B8" s="638"/>
      <c r="C8" s="638"/>
    </row>
    <row r="9" ht="12.75">
      <c r="C9" s="315" t="s">
        <v>690</v>
      </c>
    </row>
    <row r="10" spans="1:3" ht="12.75">
      <c r="A10" s="632" t="s">
        <v>689</v>
      </c>
      <c r="B10" s="634" t="s">
        <v>0</v>
      </c>
      <c r="C10" s="636" t="s">
        <v>11</v>
      </c>
    </row>
    <row r="11" spans="1:3" ht="26.25" customHeight="1">
      <c r="A11" s="633"/>
      <c r="B11" s="635"/>
      <c r="C11" s="637"/>
    </row>
    <row r="12" ht="12.75">
      <c r="C12" s="496"/>
    </row>
    <row r="15" spans="1:2" ht="12.75">
      <c r="A15" s="238" t="s">
        <v>43</v>
      </c>
      <c r="B15" t="s">
        <v>29</v>
      </c>
    </row>
    <row r="16" spans="1:2" ht="12.75">
      <c r="A16" s="238"/>
      <c r="B16" t="s">
        <v>9</v>
      </c>
    </row>
    <row r="17" ht="12.75">
      <c r="A17" s="238"/>
    </row>
    <row r="18" spans="1:3" ht="14.25" customHeight="1">
      <c r="A18" s="238" t="s">
        <v>27</v>
      </c>
      <c r="B18" t="s">
        <v>80</v>
      </c>
      <c r="C18" s="498">
        <v>350000</v>
      </c>
    </row>
    <row r="19" spans="1:3" ht="33" customHeight="1">
      <c r="A19" s="501" t="s">
        <v>44</v>
      </c>
      <c r="B19" s="495" t="s">
        <v>362</v>
      </c>
      <c r="C19" s="498">
        <v>300000</v>
      </c>
    </row>
    <row r="20" spans="1:3" ht="15" customHeight="1">
      <c r="A20" s="238" t="s">
        <v>103</v>
      </c>
      <c r="B20" t="s">
        <v>363</v>
      </c>
      <c r="C20" s="498">
        <f>715000+10000</f>
        <v>725000</v>
      </c>
    </row>
    <row r="21" spans="1:3" ht="12.75">
      <c r="A21" s="238" t="s">
        <v>104</v>
      </c>
      <c r="B21" t="s">
        <v>364</v>
      </c>
      <c r="C21" s="498">
        <v>440000</v>
      </c>
    </row>
    <row r="22" spans="1:3" ht="28.5" customHeight="1">
      <c r="A22" s="238" t="s">
        <v>110</v>
      </c>
      <c r="B22" s="495" t="s">
        <v>365</v>
      </c>
      <c r="C22" s="498">
        <v>46400</v>
      </c>
    </row>
    <row r="23" spans="1:3" ht="15" customHeight="1">
      <c r="A23" s="238" t="s">
        <v>248</v>
      </c>
      <c r="B23" t="s">
        <v>461</v>
      </c>
      <c r="C23" s="498">
        <v>1000000</v>
      </c>
    </row>
    <row r="24" spans="1:2" ht="15" customHeight="1">
      <c r="A24" s="497" t="s">
        <v>250</v>
      </c>
      <c r="B24" s="239" t="s">
        <v>29</v>
      </c>
    </row>
    <row r="25" spans="1:3" ht="12.75">
      <c r="A25" s="497"/>
      <c r="B25" s="239" t="s">
        <v>30</v>
      </c>
      <c r="C25" s="500">
        <f>C18+C19+C20+C21+C22+C23</f>
        <v>2861400</v>
      </c>
    </row>
    <row r="26" ht="12.75">
      <c r="A26" s="238"/>
    </row>
    <row r="27" spans="1:3" ht="14.25" customHeight="1">
      <c r="A27" s="497" t="s">
        <v>257</v>
      </c>
      <c r="B27" s="239" t="s">
        <v>31</v>
      </c>
      <c r="C27" s="500">
        <f>C25</f>
        <v>2861400</v>
      </c>
    </row>
    <row r="28" ht="12.75">
      <c r="A28" s="238"/>
    </row>
    <row r="29" spans="1:2" ht="15.75" customHeight="1">
      <c r="A29" s="238" t="s">
        <v>261</v>
      </c>
      <c r="B29" t="s">
        <v>287</v>
      </c>
    </row>
    <row r="30" ht="12.75">
      <c r="A30" s="238"/>
    </row>
    <row r="31" spans="1:3" ht="27" customHeight="1">
      <c r="A31" s="238" t="s">
        <v>266</v>
      </c>
      <c r="B31" s="495" t="s">
        <v>288</v>
      </c>
      <c r="C31" s="498">
        <v>360000</v>
      </c>
    </row>
    <row r="32" spans="1:3" ht="33.75" customHeight="1">
      <c r="A32" s="238" t="s">
        <v>570</v>
      </c>
      <c r="B32" s="495" t="s">
        <v>688</v>
      </c>
      <c r="C32" s="498">
        <v>840000</v>
      </c>
    </row>
    <row r="33" spans="1:3" ht="21" customHeight="1">
      <c r="A33" s="497" t="s">
        <v>270</v>
      </c>
      <c r="B33" s="239" t="s">
        <v>289</v>
      </c>
      <c r="C33" s="500">
        <v>1200000</v>
      </c>
    </row>
    <row r="34" ht="12.75">
      <c r="A34" s="238"/>
    </row>
    <row r="35" spans="1:2" s="239" customFormat="1" ht="17.25" customHeight="1">
      <c r="A35" s="497" t="s">
        <v>277</v>
      </c>
      <c r="B35" s="239" t="s">
        <v>32</v>
      </c>
    </row>
    <row r="36" spans="2:3" s="239" customFormat="1" ht="15.75" customHeight="1">
      <c r="B36" s="239" t="s">
        <v>33</v>
      </c>
      <c r="C36" s="500">
        <f>C33+C27</f>
        <v>4061400</v>
      </c>
    </row>
  </sheetData>
  <sheetProtection password="AF00" sheet="1"/>
  <mergeCells count="8">
    <mergeCell ref="B1:C1"/>
    <mergeCell ref="A10:A11"/>
    <mergeCell ref="B10:B11"/>
    <mergeCell ref="C10:C11"/>
    <mergeCell ref="A5:C5"/>
    <mergeCell ref="A6:C6"/>
    <mergeCell ref="A7:C7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2:C56"/>
  <sheetViews>
    <sheetView zoomScalePageLayoutView="0" workbookViewId="0" topLeftCell="A1">
      <selection activeCell="H16" sqref="H16"/>
    </sheetView>
  </sheetViews>
  <sheetFormatPr defaultColWidth="9.00390625" defaultRowHeight="12.75"/>
  <cols>
    <col min="2" max="2" width="78.00390625" style="0" customWidth="1"/>
    <col min="3" max="3" width="15.75390625" style="0" customWidth="1"/>
  </cols>
  <sheetData>
    <row r="2" spans="1:3" ht="12.75">
      <c r="A2" s="509" t="s">
        <v>697</v>
      </c>
      <c r="B2" s="509"/>
      <c r="C2" s="509"/>
    </row>
    <row r="3" spans="1:2" ht="15.75">
      <c r="A3" s="542"/>
      <c r="B3" s="542"/>
    </row>
    <row r="5" ht="12.75">
      <c r="B5" s="238"/>
    </row>
    <row r="6" ht="12.75">
      <c r="B6" s="463" t="s">
        <v>314</v>
      </c>
    </row>
    <row r="7" ht="12.75">
      <c r="B7" s="463" t="s">
        <v>315</v>
      </c>
    </row>
    <row r="8" spans="2:3" ht="12.75">
      <c r="B8" s="463" t="s">
        <v>476</v>
      </c>
      <c r="C8" s="315" t="s">
        <v>539</v>
      </c>
    </row>
    <row r="9" ht="13.5" thickBot="1">
      <c r="C9" s="472"/>
    </row>
    <row r="10" spans="1:3" ht="12.75">
      <c r="A10" s="639" t="s">
        <v>483</v>
      </c>
      <c r="B10" s="642" t="s">
        <v>631</v>
      </c>
      <c r="C10" s="639" t="s">
        <v>10</v>
      </c>
    </row>
    <row r="11" spans="1:3" ht="12.75">
      <c r="A11" s="640"/>
      <c r="B11" s="643"/>
      <c r="C11" s="645"/>
    </row>
    <row r="12" spans="1:3" ht="13.5" thickBot="1">
      <c r="A12" s="641"/>
      <c r="B12" s="644"/>
      <c r="C12" s="646"/>
    </row>
    <row r="14" spans="1:3" ht="31.5">
      <c r="A14" s="315" t="s">
        <v>43</v>
      </c>
      <c r="B14" s="487" t="s">
        <v>540</v>
      </c>
      <c r="C14" s="299"/>
    </row>
    <row r="15" spans="1:3" ht="15.75">
      <c r="A15" s="481" t="s">
        <v>508</v>
      </c>
      <c r="B15" s="20" t="s">
        <v>462</v>
      </c>
      <c r="C15" s="299">
        <v>80000</v>
      </c>
    </row>
    <row r="16" spans="1:3" ht="15.75">
      <c r="A16" s="478" t="s">
        <v>511</v>
      </c>
      <c r="B16" s="20" t="s">
        <v>317</v>
      </c>
      <c r="C16" s="479">
        <v>21600</v>
      </c>
    </row>
    <row r="17" spans="1:3" ht="15.75">
      <c r="A17" s="478" t="s">
        <v>512</v>
      </c>
      <c r="B17" s="17" t="s">
        <v>2</v>
      </c>
      <c r="C17" s="18">
        <v>101600</v>
      </c>
    </row>
    <row r="18" spans="1:3" ht="15.75">
      <c r="A18" s="315" t="s">
        <v>27</v>
      </c>
      <c r="B18" s="480" t="s">
        <v>630</v>
      </c>
      <c r="C18" s="299"/>
    </row>
    <row r="19" spans="1:3" ht="15.75">
      <c r="A19" s="481" t="s">
        <v>546</v>
      </c>
      <c r="B19" s="20" t="s">
        <v>466</v>
      </c>
      <c r="C19" s="299">
        <f>141700-51101-11787</f>
        <v>78812</v>
      </c>
    </row>
    <row r="20" spans="1:3" ht="15.75">
      <c r="A20" s="478" t="s">
        <v>572</v>
      </c>
      <c r="B20" s="20" t="s">
        <v>317</v>
      </c>
      <c r="C20" s="479">
        <f>38259-13798-3183</f>
        <v>21278</v>
      </c>
    </row>
    <row r="21" spans="1:3" ht="15.75">
      <c r="A21" s="478" t="s">
        <v>669</v>
      </c>
      <c r="B21" s="17" t="s">
        <v>2</v>
      </c>
      <c r="C21" s="18">
        <f>C19+C20</f>
        <v>100090</v>
      </c>
    </row>
    <row r="22" spans="1:3" ht="15.75">
      <c r="A22" s="315" t="s">
        <v>44</v>
      </c>
      <c r="B22" s="484" t="s">
        <v>629</v>
      </c>
      <c r="C22" s="299"/>
    </row>
    <row r="23" spans="1:3" ht="15.75">
      <c r="A23" s="481" t="s">
        <v>520</v>
      </c>
      <c r="B23" s="20" t="s">
        <v>628</v>
      </c>
      <c r="C23" s="299">
        <v>787402</v>
      </c>
    </row>
    <row r="24" spans="1:3" ht="15.75">
      <c r="A24" s="478" t="s">
        <v>668</v>
      </c>
      <c r="B24" s="20" t="s">
        <v>317</v>
      </c>
      <c r="C24" s="479">
        <v>212598</v>
      </c>
    </row>
    <row r="25" spans="1:3" ht="15.75">
      <c r="A25" s="478" t="s">
        <v>667</v>
      </c>
      <c r="B25" s="17" t="s">
        <v>2</v>
      </c>
      <c r="C25" s="18">
        <f>C23+C24</f>
        <v>1000000</v>
      </c>
    </row>
    <row r="26" spans="1:3" ht="15.75">
      <c r="A26" s="315" t="s">
        <v>103</v>
      </c>
      <c r="B26" s="484" t="s">
        <v>627</v>
      </c>
      <c r="C26" s="20"/>
    </row>
    <row r="27" spans="1:3" ht="15.75">
      <c r="A27" s="481" t="s">
        <v>528</v>
      </c>
      <c r="B27" s="486" t="s">
        <v>626</v>
      </c>
      <c r="C27" s="485">
        <v>1181000</v>
      </c>
    </row>
    <row r="28" spans="1:3" ht="15.75">
      <c r="A28" s="478" t="s">
        <v>529</v>
      </c>
      <c r="B28" s="17" t="s">
        <v>2</v>
      </c>
      <c r="C28" s="248">
        <v>1181000</v>
      </c>
    </row>
    <row r="29" spans="1:3" ht="15.75">
      <c r="A29" s="315" t="s">
        <v>104</v>
      </c>
      <c r="B29" s="484" t="s">
        <v>666</v>
      </c>
      <c r="C29" s="20"/>
    </row>
    <row r="30" spans="1:3" ht="15.75">
      <c r="A30" s="481" t="s">
        <v>665</v>
      </c>
      <c r="B30" s="20" t="s">
        <v>664</v>
      </c>
      <c r="C30" s="299">
        <v>51101</v>
      </c>
    </row>
    <row r="31" spans="1:3" ht="15.75">
      <c r="A31" s="478" t="s">
        <v>663</v>
      </c>
      <c r="B31" s="20" t="s">
        <v>317</v>
      </c>
      <c r="C31" s="483">
        <v>13798</v>
      </c>
    </row>
    <row r="32" spans="1:3" ht="15.75">
      <c r="A32" s="478" t="s">
        <v>662</v>
      </c>
      <c r="B32" s="17" t="s">
        <v>2</v>
      </c>
      <c r="C32" s="18">
        <f>C30+C31</f>
        <v>64899</v>
      </c>
    </row>
    <row r="33" spans="1:3" ht="19.5" customHeight="1">
      <c r="A33" s="315" t="s">
        <v>110</v>
      </c>
      <c r="B33" s="484" t="s">
        <v>661</v>
      </c>
      <c r="C33" s="20"/>
    </row>
    <row r="34" spans="1:3" ht="15.75">
      <c r="A34" s="481" t="s">
        <v>660</v>
      </c>
      <c r="B34" s="20" t="s">
        <v>659</v>
      </c>
      <c r="C34" s="299">
        <v>11787</v>
      </c>
    </row>
    <row r="35" spans="1:3" ht="15.75">
      <c r="A35" s="478" t="s">
        <v>658</v>
      </c>
      <c r="B35" s="20" t="s">
        <v>317</v>
      </c>
      <c r="C35" s="483">
        <v>3183</v>
      </c>
    </row>
    <row r="36" spans="1:3" ht="15.75">
      <c r="A36" s="478" t="s">
        <v>657</v>
      </c>
      <c r="B36" s="17" t="s">
        <v>2</v>
      </c>
      <c r="C36" s="18">
        <f>C34+C35</f>
        <v>14970</v>
      </c>
    </row>
    <row r="37" spans="1:3" ht="15.75">
      <c r="A37" s="478" t="s">
        <v>246</v>
      </c>
      <c r="B37" s="482" t="s">
        <v>463</v>
      </c>
      <c r="C37" s="299"/>
    </row>
    <row r="38" spans="1:3" ht="15.75">
      <c r="A38" s="478" t="s">
        <v>656</v>
      </c>
      <c r="B38" s="20" t="s">
        <v>541</v>
      </c>
      <c r="C38" s="299">
        <f>117128+67583</f>
        <v>184711</v>
      </c>
    </row>
    <row r="39" spans="1:3" ht="15.75">
      <c r="A39" s="478" t="s">
        <v>655</v>
      </c>
      <c r="B39" s="20" t="s">
        <v>317</v>
      </c>
      <c r="C39" s="479">
        <v>49871</v>
      </c>
    </row>
    <row r="40" spans="1:3" ht="15.75">
      <c r="A40" s="478" t="s">
        <v>654</v>
      </c>
      <c r="B40" s="17" t="s">
        <v>2</v>
      </c>
      <c r="C40" s="18">
        <f>C38+C39</f>
        <v>234582</v>
      </c>
    </row>
    <row r="41" spans="1:3" ht="15.75">
      <c r="A41" s="478" t="s">
        <v>248</v>
      </c>
      <c r="B41" s="480" t="s">
        <v>464</v>
      </c>
      <c r="C41" s="299"/>
    </row>
    <row r="42" spans="1:3" ht="15.75">
      <c r="A42" s="478" t="s">
        <v>653</v>
      </c>
      <c r="B42" s="20" t="s">
        <v>541</v>
      </c>
      <c r="C42" s="299">
        <f>24402+14080</f>
        <v>38482</v>
      </c>
    </row>
    <row r="43" spans="1:3" ht="15.75">
      <c r="A43" s="478" t="s">
        <v>652</v>
      </c>
      <c r="B43" s="20" t="s">
        <v>317</v>
      </c>
      <c r="C43" s="479">
        <v>10390</v>
      </c>
    </row>
    <row r="44" spans="1:3" ht="15.75">
      <c r="A44" s="478" t="s">
        <v>651</v>
      </c>
      <c r="B44" s="17" t="s">
        <v>2</v>
      </c>
      <c r="C44" s="18">
        <f>C42+C43</f>
        <v>48872</v>
      </c>
    </row>
    <row r="45" spans="1:3" ht="15.75">
      <c r="A45" s="315" t="s">
        <v>250</v>
      </c>
      <c r="B45" s="480" t="s">
        <v>696</v>
      </c>
      <c r="C45" s="299"/>
    </row>
    <row r="46" spans="1:3" ht="15.75">
      <c r="A46" s="481" t="s">
        <v>650</v>
      </c>
      <c r="B46" s="20" t="s">
        <v>541</v>
      </c>
      <c r="C46" s="299">
        <f>19521+11264</f>
        <v>30785</v>
      </c>
    </row>
    <row r="47" spans="1:3" ht="15.75">
      <c r="A47" s="481" t="s">
        <v>649</v>
      </c>
      <c r="B47" s="20" t="s">
        <v>317</v>
      </c>
      <c r="C47" s="479">
        <v>8312</v>
      </c>
    </row>
    <row r="48" spans="1:3" ht="15.75">
      <c r="A48" s="478" t="s">
        <v>648</v>
      </c>
      <c r="B48" s="17" t="s">
        <v>2</v>
      </c>
      <c r="C48" s="18">
        <f>C46+C47</f>
        <v>39097</v>
      </c>
    </row>
    <row r="49" spans="1:3" ht="15.75">
      <c r="A49" s="315" t="s">
        <v>257</v>
      </c>
      <c r="B49" s="480" t="s">
        <v>465</v>
      </c>
      <c r="C49" s="299"/>
    </row>
    <row r="50" spans="1:3" ht="15.75">
      <c r="A50" s="478" t="s">
        <v>647</v>
      </c>
      <c r="B50" s="20" t="s">
        <v>541</v>
      </c>
      <c r="C50" s="299">
        <f>82965+47871</f>
        <v>130836</v>
      </c>
    </row>
    <row r="51" spans="1:3" ht="15.75">
      <c r="A51" s="478" t="s">
        <v>646</v>
      </c>
      <c r="B51" s="20" t="s">
        <v>317</v>
      </c>
      <c r="C51" s="479">
        <v>35326</v>
      </c>
    </row>
    <row r="52" spans="1:3" ht="15.75">
      <c r="A52" s="478" t="s">
        <v>645</v>
      </c>
      <c r="B52" s="17" t="s">
        <v>2</v>
      </c>
      <c r="C52" s="18">
        <f>C50+C51</f>
        <v>166162</v>
      </c>
    </row>
    <row r="53" spans="1:3" ht="15.75">
      <c r="A53" s="478" t="s">
        <v>259</v>
      </c>
      <c r="B53" s="502" t="s">
        <v>695</v>
      </c>
      <c r="C53" s="18"/>
    </row>
    <row r="54" spans="1:3" ht="15.75">
      <c r="A54" s="481" t="s">
        <v>694</v>
      </c>
      <c r="B54" s="20" t="s">
        <v>693</v>
      </c>
      <c r="C54" s="299">
        <v>1379000</v>
      </c>
    </row>
    <row r="55" spans="1:3" ht="15.75">
      <c r="A55" s="478" t="s">
        <v>692</v>
      </c>
      <c r="B55" s="17" t="s">
        <v>2</v>
      </c>
      <c r="C55" s="18">
        <f>C53+C54</f>
        <v>1379000</v>
      </c>
    </row>
    <row r="56" spans="1:3" ht="15.75">
      <c r="A56" s="477" t="s">
        <v>261</v>
      </c>
      <c r="B56" s="17" t="s">
        <v>318</v>
      </c>
      <c r="C56" s="18">
        <f>C17+C21+C25+C28+C32+C40+C44+C48+C52+C36+C55</f>
        <v>4330272</v>
      </c>
    </row>
  </sheetData>
  <sheetProtection password="AF00" sheet="1"/>
  <mergeCells count="5">
    <mergeCell ref="A10:A12"/>
    <mergeCell ref="B10:B12"/>
    <mergeCell ref="A2:C2"/>
    <mergeCell ref="A3:B3"/>
    <mergeCell ref="C10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Kenesei Viktor</cp:lastModifiedBy>
  <cp:lastPrinted>2017-02-10T10:45:04Z</cp:lastPrinted>
  <dcterms:created xsi:type="dcterms:W3CDTF">2002-11-26T17:22:50Z</dcterms:created>
  <dcterms:modified xsi:type="dcterms:W3CDTF">2018-03-20T09:06:48Z</dcterms:modified>
  <cp:category/>
  <cp:version/>
  <cp:contentType/>
  <cp:contentStatus/>
</cp:coreProperties>
</file>