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55" firstSheet="6" activeTab="11"/>
  </bookViews>
  <sheets>
    <sheet name="1. bevételek" sheetId="1" r:id="rId1"/>
    <sheet name="2. kiadások " sheetId="2" r:id="rId2"/>
    <sheet name="3.műk.-felh." sheetId="3" r:id="rId3"/>
    <sheet name="4.önkorm.kiad.feladat" sheetId="4" r:id="rId4"/>
    <sheet name="5. Óvoda, Kult. kiad. feladat" sheetId="5" r:id="rId5"/>
    <sheet name="6. kiadások megbontása" sheetId="6" r:id="rId6"/>
    <sheet name="7. források sz. bontás" sheetId="7" r:id="rId7"/>
    <sheet name="8. létszámok" sheetId="8" state="hidden" r:id="rId8"/>
    <sheet name="8.felhki" sheetId="9" r:id="rId9"/>
    <sheet name="9.tartalékok" sheetId="10" r:id="rId10"/>
    <sheet name="10.normatívák" sheetId="11" r:id="rId11"/>
    <sheet name="11. EU projektek" sheetId="12" r:id="rId12"/>
  </sheets>
  <definedNames>
    <definedName name="_xlnm.Print_Titles" localSheetId="0">'1. bevételek'!$5:$6</definedName>
    <definedName name="_xlnm.Print_Titles" localSheetId="11">'11. EU projektek'!$8:$11</definedName>
    <definedName name="_xlnm.Print_Titles" localSheetId="1">'2. kiadások '!$5:$6</definedName>
    <definedName name="_xlnm.Print_Titles" localSheetId="2">'3.műk.-felh.'!$4:$5</definedName>
    <definedName name="_xlnm.Print_Titles" localSheetId="3">'4.önkorm.kiad.feladat'!$5:$8</definedName>
    <definedName name="_xlnm.Print_Titles" localSheetId="5">'6. kiadások megbontása'!$5:$8</definedName>
    <definedName name="_xlnm.Print_Titles" localSheetId="7">'8. létszámok'!$7:$7</definedName>
    <definedName name="_xlnm.Print_Titles" localSheetId="8">'8.felhki'!$6:$7</definedName>
    <definedName name="_xlnm.Print_Area" localSheetId="0">'1. bevételek'!$A$1:$J$201</definedName>
    <definedName name="_xlnm.Print_Area" localSheetId="10">'10.normatívák'!$A$1:$L$54</definedName>
    <definedName name="_xlnm.Print_Area" localSheetId="1">'2. kiadások '!$A$1:$J$77</definedName>
    <definedName name="_xlnm.Print_Area" localSheetId="3">'4.önkorm.kiad.feladat'!$D$1:$Z$57</definedName>
    <definedName name="_xlnm.Print_Area" localSheetId="4">'5. Óvoda, Kult. kiad. feladat'!$A$1:$L$38</definedName>
    <definedName name="_xlnm.Print_Area" localSheetId="5">'6. kiadások megbontása'!$A$1:$M$93</definedName>
    <definedName name="_xlnm.Print_Area" localSheetId="6">'7. források sz. bontás'!$A$1:$AC$68</definedName>
    <definedName name="_xlnm.Print_Area" localSheetId="7">'8. létszámok'!$A$1:$M$111</definedName>
    <definedName name="_xlnm.Print_Area" localSheetId="8">'8.felhki'!$A$1:$D$84</definedName>
  </definedNames>
  <calcPr fullCalcOnLoad="1"/>
</workbook>
</file>

<file path=xl/sharedStrings.xml><?xml version="1.0" encoding="utf-8"?>
<sst xmlns="http://schemas.openxmlformats.org/spreadsheetml/2006/main" count="2001" uniqueCount="1164">
  <si>
    <t>Rovatok megnevezése</t>
  </si>
  <si>
    <t>K1</t>
  </si>
  <si>
    <t>ebből:</t>
  </si>
  <si>
    <t>K2</t>
  </si>
  <si>
    <t>Munkaadókat terhelő járulékok és szoc. hozzájárulási adó</t>
  </si>
  <si>
    <t>K3</t>
  </si>
  <si>
    <t>Dologi kiadások</t>
  </si>
  <si>
    <t>államháztartáson belül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</si>
  <si>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</si>
  <si>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</si>
  <si>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</si>
  <si>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</si>
  <si>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</si>
  <si>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</si>
  <si>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Intézményi ellátottak pénzbeli juttatásai</t>
  </si>
  <si>
    <t>1. Működési célú támogatások államháztartáson belülről</t>
  </si>
  <si>
    <t>1.1. Önkormányzatok működési támogatásai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</si>
  <si>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</si>
  <si>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</si>
  <si>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</si>
  <si>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</si>
  <si>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</si>
  <si>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</si>
  <si>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</si>
  <si>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</si>
  <si>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</si>
  <si>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</si>
  <si>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</si>
  <si>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</si>
  <si>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</si>
  <si>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</si>
  <si>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</si>
  <si>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</si>
  <si>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</si>
  <si>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</si>
  <si>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</si>
  <si>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</si>
  <si>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</si>
  <si>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 xml:space="preserve">3. Dologi kiadások </t>
  </si>
  <si>
    <t>4. Ellátottak pénzbeli juttatásai</t>
  </si>
  <si>
    <t>5. Egyéb működési célú kiadások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</si>
  <si>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</si>
  <si>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</si>
  <si>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</si>
  <si>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</si>
  <si>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</si>
  <si>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</si>
  <si>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3.4. Felh. c. v.tér. tám. kölcs. nyújt. állh.-on kívülre</t>
  </si>
  <si>
    <t>3.5. Egyéb felh. c. támogatások állh-on kívülre</t>
  </si>
  <si>
    <t>051030</t>
  </si>
  <si>
    <t>Nem veszélyes (települési) hulladék vegyes begyűjtése, szállítása, átrakása</t>
  </si>
  <si>
    <t>051060</t>
  </si>
  <si>
    <t>052080</t>
  </si>
  <si>
    <t>045160</t>
  </si>
  <si>
    <t>081071</t>
  </si>
  <si>
    <t>013350</t>
  </si>
  <si>
    <t>Önk-i vagyonnal való gazdálkodással kapcs. feladatok</t>
  </si>
  <si>
    <t>066010</t>
  </si>
  <si>
    <t>011130</t>
  </si>
  <si>
    <t>Önk-ok és önk-i hivatalok jogalkotói és ált. igazgatási tevékenysége</t>
  </si>
  <si>
    <t>016080</t>
  </si>
  <si>
    <t>064010</t>
  </si>
  <si>
    <t>066020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</si>
  <si>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</si>
  <si>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</si>
  <si>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</si>
  <si>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</si>
  <si>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</si>
  <si>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</si>
  <si>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</si>
  <si>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</si>
  <si>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</si>
  <si>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</si>
  <si>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102030</t>
  </si>
  <si>
    <t>107051</t>
  </si>
  <si>
    <t>107054</t>
  </si>
  <si>
    <t>104060</t>
  </si>
  <si>
    <t>107060</t>
  </si>
  <si>
    <t>082044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</si>
  <si>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</si>
  <si>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</si>
  <si>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</si>
  <si>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</si>
  <si>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>Múzeumi, gyűjteményi tevékenység</t>
  </si>
  <si>
    <t xml:space="preserve">működési </t>
  </si>
  <si>
    <t>felhalmozási</t>
  </si>
  <si>
    <t>össz.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</si>
  <si>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</si>
  <si>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</si>
  <si>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</si>
  <si>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</si>
  <si>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</si>
  <si>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>Ingatlan, termőföld értékesítés</t>
  </si>
  <si>
    <t>Állami feladat kiadása</t>
  </si>
  <si>
    <t>Önkormányzat kiadásai összesen:</t>
  </si>
  <si>
    <t>Központi ktgv.-i támogatás össz.:</t>
  </si>
  <si>
    <t>Átvett pénzeszköz összesen:</t>
  </si>
  <si>
    <t>Saját bevétel összesen: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</si>
  <si>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</si>
  <si>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</si>
  <si>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</si>
  <si>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</si>
  <si>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</si>
  <si>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</si>
  <si>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</si>
  <si>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</si>
  <si>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</si>
  <si>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</si>
  <si>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</si>
  <si>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</si>
  <si>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</si>
  <si>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Felhalmozás célú támogatás államháztartáson kívülre</t>
  </si>
  <si>
    <t>2.1. Helyi adók és adójellegű bevételek</t>
  </si>
  <si>
    <t>A települési önkormányzatok egyes köznevelési feladatainak támogatása</t>
  </si>
  <si>
    <t>Óvodapedagógusok, és az óvodapedagógusok nevelő munkáját közvetlenül segítők bértámogatása</t>
  </si>
  <si>
    <t>A települési önkormányzatok szociális, gyermekjóléti és gyermekétkeztetési feladatainak támogatása</t>
  </si>
  <si>
    <t>III.5</t>
  </si>
  <si>
    <t>III.5.b</t>
  </si>
  <si>
    <t>Gyermekétkeztetés üzemeltetési támogatása</t>
  </si>
  <si>
    <t>Települési önkormányzatok nyilvános könyvtári és közművelődési feladatainak támogatása</t>
  </si>
  <si>
    <t>Központi költségvetési támogatások mindösszesen:</t>
  </si>
  <si>
    <t>Műk.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</si>
  <si>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</si>
  <si>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</si>
  <si>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</si>
  <si>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</si>
  <si>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</si>
  <si>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</si>
  <si>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</si>
  <si>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K43</t>
  </si>
  <si>
    <t>Pénzbeli kárpótlások, kártérítések</t>
  </si>
  <si>
    <t>K44</t>
  </si>
  <si>
    <t>Betegséggel kapcsolatos (nem TB) ellátások</t>
  </si>
  <si>
    <t>K45</t>
  </si>
  <si>
    <t>Foglalkoztatással, munkanélküliséggel kapcs. ellátások</t>
  </si>
  <si>
    <t>K46</t>
  </si>
  <si>
    <t>Lakhatással kapcsolatos ellátások</t>
  </si>
  <si>
    <t>K47</t>
  </si>
  <si>
    <t>K48</t>
  </si>
  <si>
    <t>Egyéb nem intézményi ellátások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</si>
  <si>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</si>
  <si>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</si>
  <si>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</si>
  <si>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</si>
  <si>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</si>
  <si>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</si>
  <si>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</si>
  <si>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</si>
  <si>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</si>
  <si>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</si>
  <si>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</si>
  <si>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</si>
  <si>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</si>
  <si>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</si>
  <si>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</si>
  <si>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</si>
  <si>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</si>
  <si>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</si>
  <si>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</si>
  <si>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</si>
  <si>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</si>
  <si>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</si>
  <si>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</si>
  <si>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</si>
  <si>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</si>
  <si>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</si>
  <si>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</si>
  <si>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</si>
  <si>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</si>
  <si>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</si>
  <si>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</si>
  <si>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</si>
  <si>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</si>
  <si>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</si>
  <si>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</si>
  <si>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</si>
  <si>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</si>
  <si>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</si>
  <si>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</si>
  <si>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</si>
  <si>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</si>
  <si>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</si>
  <si>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</si>
  <si>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</si>
  <si>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</si>
  <si>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</si>
  <si>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</si>
  <si>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</si>
  <si>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</si>
  <si>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</si>
  <si>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</si>
  <si>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</si>
  <si>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</si>
  <si>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</si>
  <si>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</si>
  <si>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 xml:space="preserve">    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</si>
  <si>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</si>
  <si>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</si>
  <si>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</si>
  <si>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</si>
  <si>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</si>
  <si>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</si>
  <si>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</si>
  <si>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</si>
  <si>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</si>
  <si>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</si>
  <si>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</si>
  <si>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</si>
  <si>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</si>
  <si>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</si>
  <si>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</si>
  <si>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</si>
  <si>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</si>
  <si>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</si>
  <si>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</si>
  <si>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</si>
  <si>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</si>
  <si>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</si>
  <si>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B113</t>
  </si>
  <si>
    <t>B114</t>
  </si>
  <si>
    <t>B115</t>
  </si>
  <si>
    <t>B116</t>
  </si>
  <si>
    <t>B12</t>
  </si>
  <si>
    <t>Elvonások és befizetések bevételei</t>
  </si>
  <si>
    <t>B13</t>
  </si>
  <si>
    <t>B14</t>
  </si>
  <si>
    <t>fejezeti kezelésű ei EU-s pr. és azok hazai társfinanszírozása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</si>
  <si>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</si>
  <si>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</si>
  <si>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</si>
  <si>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</si>
  <si>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</si>
  <si>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</si>
  <si>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</si>
  <si>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</si>
  <si>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</si>
  <si>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</si>
  <si>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</si>
  <si>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</si>
  <si>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</si>
  <si>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</si>
  <si>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</si>
  <si>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</si>
  <si>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</si>
  <si>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</si>
  <si>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</si>
  <si>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</si>
  <si>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</si>
  <si>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</si>
  <si>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</si>
  <si>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</si>
  <si>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B352</t>
  </si>
  <si>
    <t>B353</t>
  </si>
  <si>
    <t>Pü-i monopóliumok nyereségét terhelő adók</t>
  </si>
  <si>
    <t>B354</t>
  </si>
  <si>
    <t>Gépjárműadók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</si>
  <si>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</si>
  <si>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</si>
  <si>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</si>
  <si>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</si>
  <si>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</si>
  <si>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</si>
  <si>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</si>
  <si>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</si>
  <si>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</si>
  <si>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környezetvédelmi bírság</t>
  </si>
  <si>
    <t>építésügyi bírság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</si>
  <si>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</si>
  <si>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</si>
  <si>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</si>
  <si>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</si>
  <si>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</si>
  <si>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</si>
  <si>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</si>
  <si>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</si>
  <si>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</si>
  <si>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</si>
  <si>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</si>
  <si>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</si>
  <si>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</si>
  <si>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</si>
  <si>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</si>
  <si>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</si>
  <si>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</si>
  <si>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</si>
  <si>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</si>
  <si>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</si>
  <si>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B410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</si>
  <si>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</si>
  <si>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</si>
  <si>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</si>
  <si>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</si>
  <si>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</si>
  <si>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</si>
  <si>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</si>
  <si>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</si>
  <si>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</si>
  <si>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</si>
  <si>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</si>
  <si>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</si>
  <si>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</si>
  <si>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</si>
  <si>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</si>
  <si>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B62</t>
  </si>
  <si>
    <t>3.7. Általános forgalmi adó visszatérítése</t>
  </si>
  <si>
    <t>B63</t>
  </si>
  <si>
    <t>B7</t>
  </si>
  <si>
    <t>Felhalmozási célú átvett pénzeszközök</t>
  </si>
  <si>
    <t>B71</t>
  </si>
  <si>
    <t>B72</t>
  </si>
  <si>
    <t>B73</t>
  </si>
  <si>
    <t>B8</t>
  </si>
  <si>
    <t>Finanszírozási bevételek</t>
  </si>
  <si>
    <t>B81</t>
  </si>
  <si>
    <t>Belföldi finanszírozás bevételei</t>
  </si>
  <si>
    <t>B811</t>
  </si>
  <si>
    <t>B8111</t>
  </si>
  <si>
    <t>B8112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</si>
  <si>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</si>
  <si>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</si>
  <si>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</si>
  <si>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</si>
  <si>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</si>
  <si>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</si>
  <si>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</si>
  <si>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</si>
  <si>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</si>
  <si>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</si>
  <si>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B815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</si>
  <si>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</si>
  <si>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</si>
  <si>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</si>
  <si>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</si>
  <si>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</si>
  <si>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</si>
  <si>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</si>
  <si>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</si>
  <si>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</si>
  <si>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II. Felhalmozási kiadások</t>
  </si>
  <si>
    <t>C. Költségvetési hiány belső finanszírozására szolgáló pénzforgalom nélküli bevételek</t>
  </si>
  <si>
    <t>D. Költségvetési hiány belső finanszírozását meghaladó összegének külső finanszírozására szolgáló bevételek</t>
  </si>
  <si>
    <t>E. Finanszírozási kiadások</t>
  </si>
  <si>
    <t>Felh. célú</t>
  </si>
  <si>
    <t>Műk. célú</t>
  </si>
  <si>
    <t>Szolgáltatások ellenértéke</t>
  </si>
  <si>
    <t>Immateriális javak értékesítése</t>
  </si>
  <si>
    <t>Beruházás</t>
  </si>
  <si>
    <t>Közutak, alagutak üzemeltetése, fenntartása</t>
  </si>
  <si>
    <t>Személyi juttatások</t>
  </si>
  <si>
    <t>Kiadások mindösszesen: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</si>
  <si>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</si>
  <si>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</si>
  <si>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</si>
  <si>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</si>
  <si>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</si>
  <si>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</si>
  <si>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</si>
  <si>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</si>
  <si>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</si>
  <si>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</si>
  <si>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</si>
  <si>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</si>
  <si>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 xml:space="preserve">Közfoglalkoztatás </t>
  </si>
  <si>
    <t>Ügyeleti Szolgálat</t>
  </si>
  <si>
    <t>- Gépkocsivezető</t>
  </si>
  <si>
    <t>Védőnői Szolgálat</t>
  </si>
  <si>
    <t>- Védőnők</t>
  </si>
  <si>
    <t>Megnevezés</t>
  </si>
  <si>
    <t>Kiadások</t>
  </si>
  <si>
    <t>Dologi kiadás</t>
  </si>
  <si>
    <t>Összesen:</t>
  </si>
  <si>
    <t>Mindösszesen:</t>
  </si>
  <si>
    <t>Mindösszesen</t>
  </si>
  <si>
    <t>Beruházások</t>
  </si>
  <si>
    <t>Bevé-        telek</t>
  </si>
  <si>
    <t>K i a d á s b ó l</t>
  </si>
  <si>
    <t>Kiadások összesen</t>
  </si>
  <si>
    <t>Céltartalék (felhalmozási)</t>
  </si>
  <si>
    <t>Polgármesteri Hivatal</t>
  </si>
  <si>
    <t>Felújítás</t>
  </si>
  <si>
    <t>Összeg</t>
  </si>
  <si>
    <t>–</t>
  </si>
  <si>
    <t>Tervezett tartalékok</t>
  </si>
  <si>
    <t>Veszélyes hulladék kezelése, ártalmatlanítása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</si>
  <si>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</si>
  <si>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</si>
  <si>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</si>
  <si>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</si>
  <si>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</si>
  <si>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</si>
  <si>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</si>
  <si>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</si>
  <si>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Céltartalék (működési)</t>
  </si>
  <si>
    <t>Vis maior tartalék (működési)</t>
  </si>
  <si>
    <t>Tartalékok mindösszesen (I.+II.)</t>
  </si>
  <si>
    <t>Működési tartalékok összesen (I.):</t>
  </si>
  <si>
    <t>Felhalmozási tartalékok összesen (II.):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</si>
  <si>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</si>
  <si>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</si>
  <si>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</si>
  <si>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</si>
  <si>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</si>
  <si>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</si>
  <si>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</si>
  <si>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</si>
  <si>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</si>
  <si>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</si>
  <si>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</si>
  <si>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</si>
  <si>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</si>
  <si>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</si>
  <si>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</si>
  <si>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</si>
  <si>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</si>
  <si>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</si>
  <si>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</si>
  <si>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</si>
  <si>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</si>
  <si>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</si>
  <si>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</si>
  <si>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</si>
  <si>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</si>
  <si>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</si>
  <si>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</si>
  <si>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</si>
  <si>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</si>
  <si>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</si>
  <si>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</si>
  <si>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</si>
  <si>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</si>
  <si>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</si>
  <si>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</si>
  <si>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 xml:space="preserve">- Köztisztviselők                      </t>
  </si>
  <si>
    <t>Polgárm. Hiv. összesen:</t>
  </si>
  <si>
    <t>HELYI ÖNKORMÁNYZAT ÉS INTÉZMÉNYEI ÖSSZESEN:</t>
  </si>
  <si>
    <t>Összesen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</si>
  <si>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</si>
  <si>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</si>
  <si>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</si>
  <si>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</si>
  <si>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</si>
  <si>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</si>
  <si>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</si>
  <si>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</si>
  <si>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</si>
  <si>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</si>
  <si>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</si>
  <si>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G</t>
  </si>
  <si>
    <t>H</t>
  </si>
  <si>
    <t>33</t>
  </si>
  <si>
    <t>Bevételek</t>
  </si>
  <si>
    <t>Bevételek mindösszesen:</t>
  </si>
  <si>
    <t>-</t>
  </si>
  <si>
    <t>Helyi önkormányzat</t>
  </si>
  <si>
    <t>2017. év</t>
  </si>
  <si>
    <t>2018. év</t>
  </si>
  <si>
    <t>2019. év</t>
  </si>
  <si>
    <t>2020. év</t>
  </si>
  <si>
    <t>2021. év</t>
  </si>
  <si>
    <t>2022. év</t>
  </si>
  <si>
    <t>Jogcím</t>
  </si>
  <si>
    <t>száma</t>
  </si>
  <si>
    <t>megnevezése</t>
  </si>
  <si>
    <t>mutató</t>
  </si>
  <si>
    <t>fajlagos Ft</t>
  </si>
  <si>
    <t>mutató    (8 hó)</t>
  </si>
  <si>
    <t>mutató   (4 hó)</t>
  </si>
  <si>
    <t>xxx</t>
  </si>
  <si>
    <t>I. Működési bevételek</t>
  </si>
  <si>
    <t>Szociális étkeztetés</t>
  </si>
  <si>
    <t>II. Felhalmozási bevételek</t>
  </si>
  <si>
    <t>I. Működési kiadások</t>
  </si>
  <si>
    <t>1. Személyi juttatások</t>
  </si>
  <si>
    <t>26</t>
  </si>
  <si>
    <t>Általános tartalék</t>
  </si>
  <si>
    <t>A települési önkormányzatok kulturális feladatainak támogatása</t>
  </si>
  <si>
    <t xml:space="preserve">fajlagos Ft </t>
  </si>
  <si>
    <t>Önkormányzati hivatal működésének támogatása</t>
  </si>
  <si>
    <t>II.</t>
  </si>
  <si>
    <t>I.</t>
  </si>
  <si>
    <t>II.1</t>
  </si>
  <si>
    <t>Óvodapedagógusok bértámogatása</t>
  </si>
  <si>
    <t>II.2</t>
  </si>
  <si>
    <t>Óvodaműködtetési támogatás</t>
  </si>
  <si>
    <t>III.</t>
  </si>
  <si>
    <t>III.1</t>
  </si>
  <si>
    <t>III.2</t>
  </si>
  <si>
    <t>III.3</t>
  </si>
  <si>
    <t>Egyes szociális és gyermekjóléti feladatok támogatása</t>
  </si>
  <si>
    <t xml:space="preserve">Helyi önkormányzatok működésének általános támogatása </t>
  </si>
  <si>
    <t>IV.</t>
  </si>
  <si>
    <t>összeg Ft</t>
  </si>
  <si>
    <t>Ell.szám</t>
  </si>
  <si>
    <t>2. melléklet jogcímei mindösszesen: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</si>
  <si>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</si>
  <si>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</si>
  <si>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</si>
  <si>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</si>
  <si>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</si>
  <si>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23</t>
  </si>
  <si>
    <t>24</t>
  </si>
  <si>
    <t>25</t>
  </si>
  <si>
    <t>27</t>
  </si>
  <si>
    <t>31</t>
  </si>
  <si>
    <t>34</t>
  </si>
  <si>
    <t>35</t>
  </si>
  <si>
    <t>Polgármesteri Hivatal összesen:</t>
  </si>
  <si>
    <t>Óvodai intézményi étkeztetés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</si>
  <si>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</si>
  <si>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</si>
  <si>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</si>
  <si>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</si>
  <si>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</si>
  <si>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</si>
  <si>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</si>
  <si>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Gyvt. </t>
  </si>
  <si>
    <t>1997. évi XXXI. törvény a gyermekek védelméről és a gyámügyi igazgatásról</t>
  </si>
  <si>
    <t xml:space="preserve">Közműv. tv. </t>
  </si>
  <si>
    <t>1997. évi CXL. törvény a muzeális intézményekről, a nyilvános könyvtári ellátásról és a közművelődésről</t>
  </si>
  <si>
    <t>Központi költségvetési támogatás</t>
  </si>
  <si>
    <t>Átvett pénzeszközök</t>
  </si>
  <si>
    <t>Saját bevételek</t>
  </si>
  <si>
    <t>Bevételek összesen</t>
  </si>
  <si>
    <t>Tűzoltóság BM támogatása</t>
  </si>
  <si>
    <t>Továbbszámlázott szolg. bevételei</t>
  </si>
  <si>
    <t>Étkeztetéssel kapcsolatos térítési díj bevétel</t>
  </si>
  <si>
    <t>KÖZFOGLALKOZTATOTTAK LÉTSZÁMA ÖSSZESEN:</t>
  </si>
  <si>
    <t xml:space="preserve">A helyi önkormányzat és költségvetési szervei engedélyezett létszáma és a közfoglalkoztatottak létszáma 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</si>
  <si>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</si>
  <si>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</si>
  <si>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</si>
  <si>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I.1.a</t>
  </si>
  <si>
    <t>I.1.b</t>
  </si>
  <si>
    <t>I.1.ba</t>
  </si>
  <si>
    <t>I.1.bb</t>
  </si>
  <si>
    <t>I.1.bc</t>
  </si>
  <si>
    <t>I.1.bd</t>
  </si>
  <si>
    <t>I.1.c</t>
  </si>
  <si>
    <t>I.1.d</t>
  </si>
  <si>
    <t>I.6.</t>
  </si>
  <si>
    <t>II.4</t>
  </si>
  <si>
    <t>Kiegészítő támogatás az óvodapedagógusok minősítéséből adódó többletkiadásokhoz</t>
  </si>
  <si>
    <t>IV.1.d</t>
  </si>
  <si>
    <t>IV.1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</si>
  <si>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</si>
  <si>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</si>
  <si>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</si>
  <si>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Műk. c. visszatérítendő támogatások, kölcsönök nyújtása államháztartáson kívülre g, egyéb vállalkoz</t>
  </si>
  <si>
    <t>3.4. Tulajdonosi bevételek</t>
  </si>
  <si>
    <t>082030</t>
  </si>
  <si>
    <t>Közutak, hidak, alagutak üzemeltetése, fenntartása</t>
  </si>
  <si>
    <t>Város-, községgazdálkodási egyéb szolgáltatások</t>
  </si>
  <si>
    <t>Könyvtári állomány gyarapítása, nyilvántartása</t>
  </si>
  <si>
    <t>Nyitnikék Gyerekház</t>
  </si>
  <si>
    <t>Szociális feladatok egyéb támogatása</t>
  </si>
  <si>
    <t>Elszámolásból származó bevételek</t>
  </si>
  <si>
    <t>Készletértékesítés ellenértéke</t>
  </si>
  <si>
    <t>egyéb részesedések után kapott osztalék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</si>
  <si>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</si>
  <si>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</si>
  <si>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</si>
  <si>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</si>
  <si>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</si>
  <si>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B65</t>
  </si>
  <si>
    <t>B74</t>
  </si>
  <si>
    <t>B75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</si>
  <si>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</si>
  <si>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</si>
  <si>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</si>
  <si>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</si>
  <si>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</si>
  <si>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</si>
  <si>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</si>
  <si>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</si>
  <si>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</si>
  <si>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</si>
  <si>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</si>
  <si>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</si>
  <si>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</si>
  <si>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</si>
  <si>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</si>
  <si>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</si>
  <si>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</si>
  <si>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</si>
  <si>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</si>
  <si>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</si>
  <si>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</si>
  <si>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</si>
  <si>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</si>
  <si>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</si>
  <si>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</si>
  <si>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3.1. Készletértékesítés ellenértéke</t>
  </si>
  <si>
    <t>Gyermeklánc Óvoda és Egységes Óvoda-Bölcsőde, Család- és Gyermekjóléti Központ</t>
  </si>
  <si>
    <t>Család- és Gyermekjóléti Központ</t>
  </si>
  <si>
    <t>Pedagógus szakképzettséggel nem rendelkező, óvodapedagógusok nevelő munkáját közvetlenül segítők bértámogatása</t>
  </si>
  <si>
    <t xml:space="preserve">III.3.a </t>
  </si>
  <si>
    <t>Család- és gyermekjóléti szolgálat</t>
  </si>
  <si>
    <t>Család- és gyermekjóléti központ</t>
  </si>
  <si>
    <t>III.3.b</t>
  </si>
  <si>
    <t xml:space="preserve">Fogyasztási adók </t>
  </si>
  <si>
    <t>jövedéki adó</t>
  </si>
  <si>
    <t>Kamatbevételek és más nyereségjellegű bevételek</t>
  </si>
  <si>
    <t>hitelviszonyt megtest. értékpapírok értékesítési nyeresége</t>
  </si>
  <si>
    <t>Egyéb kapott (járó) kamatok és kamatjellegű bevételek</t>
  </si>
  <si>
    <t>Részesedésekből származó pénzügyi műveletek bevételei</t>
  </si>
  <si>
    <t>Más egyéb pénzügyi műveletek bevételei</t>
  </si>
  <si>
    <t xml:space="preserve">Egyéb pénzügyi műveletek bevételei </t>
  </si>
  <si>
    <t>részesedések értékesítéséhez kapcs. realizált nyereség</t>
  </si>
  <si>
    <t>befektetési jegyek bevételei</t>
  </si>
  <si>
    <t>hitelviszonyt megtest. értékpapírok kibocsátási nyeresége</t>
  </si>
  <si>
    <t>valuta és deviza eszközök realizált árfolyamnyeresége</t>
  </si>
  <si>
    <t>kiadások visszatérítései</t>
  </si>
  <si>
    <t>Hitel-, kölcsönfelvétel pénzügyi vállalkozástól</t>
  </si>
  <si>
    <t>Államháztartáson belüli megelőlegezések (Áht. 78.§ (4) és 83.§(3) bek.)</t>
  </si>
  <si>
    <t>Államháztartáson belüli megelől. törleszt. (Áht. 78.§ (4) és 83.§ (3) bek.)</t>
  </si>
  <si>
    <t>Köztemetés (Szoc. tv. 48.§)</t>
  </si>
  <si>
    <t>Önkormányzati bérlakások felújítása</t>
  </si>
  <si>
    <t>098022</t>
  </si>
  <si>
    <t>Pedagógiai szakszolgáltató tevékenység működtetési feladatai</t>
  </si>
  <si>
    <t>Vállalk. tev. - Növénytermesztés és kapcsolódó szolgáltatások</t>
  </si>
  <si>
    <t>Művészeti tevékenységek - Jánoshalmi Művésztelep működtetése</t>
  </si>
  <si>
    <t xml:space="preserve">Egyéb szoc. pénzbeli ellátások, támogatások </t>
  </si>
  <si>
    <t>2015. évi  CXXIII. törvény az egészségügyi alapellátásról</t>
  </si>
  <si>
    <t>Eü a. tv.</t>
  </si>
  <si>
    <t>Gyvt. 40/A. §</t>
  </si>
  <si>
    <t xml:space="preserve">Gyvt. tv. 14.§ (3), 18.§ (1a), 20/A.§,20/B.§, </t>
  </si>
  <si>
    <t>Óvodapedagógusok és a munkájukat közvetlen segítők bértámogatása</t>
  </si>
  <si>
    <t>A rászoruló gyermekek intézményen kívüli szünidei étkeztetésének támogatása</t>
  </si>
  <si>
    <t>Tűzoltóság települési támogatása</t>
  </si>
  <si>
    <t xml:space="preserve">- Óvónő </t>
  </si>
  <si>
    <t>- Pedagógiai asszisztens</t>
  </si>
  <si>
    <t xml:space="preserve">- Óvodai dajka </t>
  </si>
  <si>
    <t>- Óvodatitkár</t>
  </si>
  <si>
    <t>- Szakmai vezető</t>
  </si>
  <si>
    <t>- Családsegítő</t>
  </si>
  <si>
    <t xml:space="preserve">Nyitnikék Gyerekház </t>
  </si>
  <si>
    <t>- Polgármester</t>
  </si>
  <si>
    <t>- Főállású alpolgármester</t>
  </si>
  <si>
    <t>összeg  Ft</t>
  </si>
  <si>
    <t>II.3</t>
  </si>
  <si>
    <t>Társulás által fenntartott óvodákba bejáró gyermekek utaztatásának tám.</t>
  </si>
  <si>
    <t xml:space="preserve">II.4 a (1) </t>
  </si>
  <si>
    <t xml:space="preserve">II.4 a (2) </t>
  </si>
  <si>
    <t xml:space="preserve">Általános tartalék </t>
  </si>
  <si>
    <t>Általános tartalék (működési)</t>
  </si>
  <si>
    <t>adatok Ft-ban</t>
  </si>
  <si>
    <t>Telep. önk-ok szoc.,  gyermekjóléti és gyermekétk. feladatainak tám.</t>
  </si>
  <si>
    <t>termőföld bérbeadásából származó jövedelem adója</t>
  </si>
  <si>
    <t>Egyéb felhalmozási célra átvett pénzeszközök</t>
  </si>
  <si>
    <t>018020</t>
  </si>
  <si>
    <t>Központi költségvetési befizetések</t>
  </si>
  <si>
    <t>045120</t>
  </si>
  <si>
    <t>Munkaadót terhelő járulékok</t>
  </si>
  <si>
    <t>102023</t>
  </si>
  <si>
    <t>Időskorúak tartós bentlakásos ellátása (Szoc. Otthon)</t>
  </si>
  <si>
    <t>Egyéb szociális pénzbeli és természetbeni ellátások, támog.</t>
  </si>
  <si>
    <t>096015</t>
  </si>
  <si>
    <t>Gyermekétkeztetés köznevelési intézményben</t>
  </si>
  <si>
    <t>104037</t>
  </si>
  <si>
    <t>Egyéb felhalmozási célú kiadás</t>
  </si>
  <si>
    <t>K5 Egyéb működési célú kiadások</t>
  </si>
  <si>
    <t>Rendszeres gyermekvédelmi kedvezményhez kapcsolódó természetbeni juttatás Gyvt. 20/A § (1) - (2) bek.</t>
  </si>
  <si>
    <t>Kiegészítő gyermekvédelmi támogatás és a kieg. gyermekvédelmi támogatás pótléka Gyvt. 20/B. § (3), (5) bek.</t>
  </si>
  <si>
    <t>kiotói egységek és kibocsátási egységek eladásából befolyt eladási ár</t>
  </si>
  <si>
    <t>Egyéb működési célú átvett pénzeszközök</t>
  </si>
  <si>
    <t>Helyi önkormányzatok működésének általános támogatása</t>
  </si>
  <si>
    <t>Működési célú költségvetési támogatás és kiegészítő támogatás</t>
  </si>
  <si>
    <t>Működési c. garancia- és kezesságvállalásból származó megtérülés államháztartáson belülről</t>
  </si>
  <si>
    <t>Működési célú visszatérítendő támogatások, kölcsönök visszatérülése ÁH-on belülről</t>
  </si>
  <si>
    <t>Működési célú visszatérítendő támogatások, kölcsönök igénybevétele ÁH-on belülről</t>
  </si>
  <si>
    <t>Egyéb működési célú támogatások bevételei államháztartáson belülről</t>
  </si>
  <si>
    <t>Települési önkormányzatok egyes köznevelési feladatainak támogatása</t>
  </si>
  <si>
    <t>Települési önkormányzatok kulturális feladatainak támogatása</t>
  </si>
  <si>
    <t>fejezeti kezelésű ei EU-s programok és azok hazai társfinanszírozása</t>
  </si>
  <si>
    <t>nemzetiségi önkormányzatok és költségvetési szerveik</t>
  </si>
  <si>
    <t>térségi fejlesztési tanácsok és költségvetési szerveik</t>
  </si>
  <si>
    <t>Felhalmozási célú önkormányzati támogatások</t>
  </si>
  <si>
    <t>Felhalm. célú garancia- és kezességvállalásból származó megtérülés állháztartáson belülről</t>
  </si>
  <si>
    <t>Felhalm. célú visszatérítendő támogatások, kölcsönök visszatérülése állháztartáson belülről</t>
  </si>
  <si>
    <t>Felhalm. célú visszatérítendő támogatások, kölcsönök igénybevétele állháztartáson belülről</t>
  </si>
  <si>
    <t>Egyéb felhalmozási célú támogatások bevételei államháztartáson belülről</t>
  </si>
  <si>
    <t>Felhalmozási célú támogatások államháztartáson belülről</t>
  </si>
  <si>
    <t>állandó jelleggel végzett iparűzési tevékenység utáni helyi iparűzési adó</t>
  </si>
  <si>
    <t>ideiglenes jelleggel végzett tevékenység utáni helyi iparűzési adó</t>
  </si>
  <si>
    <t>belföldi gépjárművek adójának helyi önkormányzatot megillető része</t>
  </si>
  <si>
    <t>szabálysértési pénz- és helyszíni bírság és a közlekedési szabályszegések után kiszabott közigazgatási bírság önkormányzatot megillető része</t>
  </si>
  <si>
    <t>önkormányzati vagyon üzemeltetéséből, koncesszióból származó bevétel</t>
  </si>
  <si>
    <t>önkormányzati vagyon vagyonkezelésbe adásából szárm. bevétel</t>
  </si>
  <si>
    <t>állami többségi tulajdonú vállalkozástól kapott osztalék</t>
  </si>
  <si>
    <t>önkormányzati többségi tulaljdonú vállalkozástól kapott osztalék</t>
  </si>
  <si>
    <t>Befektetett pénzügyi eszközökből származó bevételek</t>
  </si>
  <si>
    <t>hitelviszonyt megtestesítő értékpapírok értékesítési nyeresége</t>
  </si>
  <si>
    <t>Működési célú garancia- és kezességvállalásból származó megtérülés ÁH-on kívülről</t>
  </si>
  <si>
    <t>Működési célú visszatérítendő támogatások, kölcsönök visszatérülése EU-tól</t>
  </si>
  <si>
    <t>Működési célú visszatérítendő támogatások, kölcsönök visszatérülése kormányoktól és más nemzetközi szervezetektől</t>
  </si>
  <si>
    <t>Működési célú visszatérítendő támogatások, kölcsönök visszatérülése ÁH-n kívülről</t>
  </si>
  <si>
    <t>Felhalmozási célú garancia- és kezességvállalásból származó megtérülés ÁH-on kívülről</t>
  </si>
  <si>
    <t>Felhalmozási célú visszatérítendő támogatások, kölcsönök visszatérülése EU-tól</t>
  </si>
  <si>
    <t>Felhalmozási célú visszatérítendő támogatások, kölcsönök visszatérülése kormányoktól és más nemzetközi szervezetektől</t>
  </si>
  <si>
    <t>Felhalmozási célú visszatérítendő támogatások, kölcsönök visszatérülése állházt.-on kívülről</t>
  </si>
  <si>
    <t>Hosszú lejáratú hitelek, kölcsönök felvétele pénzügyi vállalkozástól</t>
  </si>
  <si>
    <t>Likviditási célú hitelek, kölcsönök felvétele pénzügyi vállalkozástól</t>
  </si>
  <si>
    <t>Rövid lejáratú hitelek, kölcsönök felvétele pénzügyi vállalkozástól</t>
  </si>
  <si>
    <t>Egyéb felhalmozási célú támogatások állháztartáson kívülre</t>
  </si>
  <si>
    <t>Működési célú tartalék - Környezetvédelmi alap</t>
  </si>
  <si>
    <t>VI. Államháztartáson belüli megelőlegezések</t>
  </si>
  <si>
    <t>VI. Államháztartáson belüli megelőlegezések visszafizetése</t>
  </si>
  <si>
    <t>3.2. Egyéb felhalmozási célra átvett pénzeszközök</t>
  </si>
  <si>
    <t>3.1. Felh. c. visszatérít. támog., kölcsönök visszatér. ÁH-on kív.</t>
  </si>
  <si>
    <t>III/a. Előző évek költségvetési maradványának igénybevétele</t>
  </si>
  <si>
    <t>III/b. Előző évek vállakozási maradványának igénybevétele</t>
  </si>
  <si>
    <t>IV. Belföldi értékpapírok bevételei</t>
  </si>
  <si>
    <t>V. Hitel-, kölcsönfelvétel államháztartáson kívülről</t>
  </si>
  <si>
    <t>IV. Értékpapírok vásárlásának kiadása</t>
  </si>
  <si>
    <t>V. Hitelek törlesztése és kötvénykibocsátás kiadásai</t>
  </si>
  <si>
    <t>1.2. Műk. c. visszatérítendő tám., kölcsönök v.térülése ÁH-on bel.</t>
  </si>
  <si>
    <t>5.2. Műk. c. v.térítendő támog.-k, kölcs. nyújt. ÁH-on kívülre</t>
  </si>
  <si>
    <t>2. Munkaadót terhelő járulékok és szociális hozzájárulási adó</t>
  </si>
  <si>
    <t>Időskorúak tartós bentlakásos ellátása</t>
  </si>
  <si>
    <t>Jánoshalma Városi Önkormányzat összesen:</t>
  </si>
  <si>
    <t>Család- és Gyermekjóléti Szolgálat</t>
  </si>
  <si>
    <t>Bölcsődei ellátás</t>
  </si>
  <si>
    <t>Bölcsődei étkeztetés</t>
  </si>
  <si>
    <t>Mötv. 13.§ (1) 9.</t>
  </si>
  <si>
    <t>Mötv. 13.§ (1) 2.</t>
  </si>
  <si>
    <t>Mötv. 13.§ (1) 11.</t>
  </si>
  <si>
    <t>Mötv. 13.§ (1) 19.</t>
  </si>
  <si>
    <t>Mötv. 13.§ (1) 5., 19.</t>
  </si>
  <si>
    <t>Mötv. 13.§ (1) 2., 11., 9., 12., 5.</t>
  </si>
  <si>
    <t xml:space="preserve">Mötv. 13.§ (1) 4.,  Eü tv. 5.§ (1) </t>
  </si>
  <si>
    <t>Mötv. 13.§ (1) 15.</t>
  </si>
  <si>
    <t>Mötv. 13.§ (1) 7., Közműv. tv. 64.§ (1)</t>
  </si>
  <si>
    <t>Mötv. 13.§ (1) 7., Közműv. tv. 73.§ (2)</t>
  </si>
  <si>
    <t>Szoc. tv. 86.§ (1) b,</t>
  </si>
  <si>
    <t>Mötv. 13.§ (1)13.</t>
  </si>
  <si>
    <t>Mötv. 13.§ (1) 13.</t>
  </si>
  <si>
    <t>Mötv. 13.§ (1) 6.</t>
  </si>
  <si>
    <t>Család- és nővédelmi egészségügyi gondozás (Védőnői Szolg.)</t>
  </si>
  <si>
    <t>3.8. Kamatbevételek</t>
  </si>
  <si>
    <t>3.9. Egyéb működési bevételek</t>
  </si>
  <si>
    <t>Gyvt. 21/A § (3)</t>
  </si>
  <si>
    <t xml:space="preserve">Mötv. 13.§ (1) 8a, Szoc. tv.  45.§, 48.§ </t>
  </si>
  <si>
    <t>Gyvt. 40. §</t>
  </si>
  <si>
    <t>Gyvt. 94. § (3a)</t>
  </si>
  <si>
    <t xml:space="preserve">Gyvt. 38/A § </t>
  </si>
  <si>
    <t>Gyvt. 21/C § (1)</t>
  </si>
  <si>
    <t xml:space="preserve">200/2016.(XII.15.) Kt. hat. Kiskunhalas - Jánoshalma - Mélykút kerékpárút Jánoshalma közigazgatási területét érintő szakaszának tervezési munkái - VIA Futura Mérnöki Tanácsadó és Szolgáltató Kft </t>
  </si>
  <si>
    <t>- Szakmai munkatárs</t>
  </si>
  <si>
    <t>RGYVK-hoz kapcs. természetbeni juttatás (Erzsébet utalvány) megtérítése</t>
  </si>
  <si>
    <t>Felhalmozási célú maradvány igénybevétele</t>
  </si>
  <si>
    <t>Készletértékesítés (búza, kukorica stb.)</t>
  </si>
  <si>
    <t>Naperőmű által termelt többlet energia értékesítésének bevétele</t>
  </si>
  <si>
    <t>Közvetített szolgáltatások értéke</t>
  </si>
  <si>
    <t>Kamatbevétel</t>
  </si>
  <si>
    <t>Működési célú maradvány igénybevétele</t>
  </si>
  <si>
    <t>Intézményi gyermekétkeztetési feladatok támogatása (iskolai étkeztetés)</t>
  </si>
  <si>
    <t>Intézményi gyermekétkeztetési feladatok támogatása (óvodai étkeztetés)</t>
  </si>
  <si>
    <t>Eü. Ágazat</t>
  </si>
  <si>
    <t>Családsegítő- és Gyermekjóléti Szolgálat, Családsegítő- és Gyermekjóléti Központ</t>
  </si>
  <si>
    <t>I.5.</t>
  </si>
  <si>
    <t>Polgármesteri illetmény támogatása</t>
  </si>
  <si>
    <t>II.1 (1)1,2</t>
  </si>
  <si>
    <t>II.1 (2)1,2</t>
  </si>
  <si>
    <t>Bölcsőde, minibölcsőde támogatása</t>
  </si>
  <si>
    <t>Felsőfokú végzettségű kisgyermeknevelők, szaktanácsadók bértámogatása</t>
  </si>
  <si>
    <t>Bölcsődei dajkák, középfokú végzettségű kisgyermeknevelők, szaktanácsadók bértámogatása</t>
  </si>
  <si>
    <t>Bölcsőde üzemeltetési támogatás</t>
  </si>
  <si>
    <t>Intézményi gyermekétkeztetés támogatása</t>
  </si>
  <si>
    <t>Étkeztetési feladatot ellátók után járó bértámogatás</t>
  </si>
  <si>
    <t>A rászoruló gyermekek szünidei étkeztetésének támogatása</t>
  </si>
  <si>
    <t xml:space="preserve">Jánoshalmi tagóvodák                          </t>
  </si>
  <si>
    <t>Gyermeklánc Óvoda és Bölcsőde, Család- és Gyermekjóléti Központ</t>
  </si>
  <si>
    <t>Bölcsődei csoport</t>
  </si>
  <si>
    <t>Felsőfokú végzettségű kisgyermeknevelő</t>
  </si>
  <si>
    <t>Középfokú végzettségű kisgyermeknevelő</t>
  </si>
  <si>
    <t>Bölcsődei dajka</t>
  </si>
  <si>
    <t>Gyermekház vezető</t>
  </si>
  <si>
    <t>Szakmai munkatárs</t>
  </si>
  <si>
    <t>- Esetmenedzser és tanácsadó</t>
  </si>
  <si>
    <t>- Esetmenedzser és tanácsadó (részfoglalk. napi 4 órában)</t>
  </si>
  <si>
    <t>- Szakmai vezető (részfoglalk. napi 4 órában)</t>
  </si>
  <si>
    <t>- MT hatálya alá tartozó munkavállaló</t>
  </si>
  <si>
    <t>Önkormányzati tisztségviselők</t>
  </si>
  <si>
    <t>Igazgatási tevékenység</t>
  </si>
  <si>
    <t>- Szociális segítő</t>
  </si>
  <si>
    <t>- Közfoglalkoztatási ügyintéző</t>
  </si>
  <si>
    <t>Gyermekétkeztetés</t>
  </si>
  <si>
    <t xml:space="preserve">- Könyvtáros                      </t>
  </si>
  <si>
    <t>- Művelődésszervező</t>
  </si>
  <si>
    <t>- Technikus</t>
  </si>
  <si>
    <t>- Adminisztrátor</t>
  </si>
  <si>
    <t>Bio- és megújuló energia felhasználás programelem</t>
  </si>
  <si>
    <t>Belterületi közutak karbantartása programelem</t>
  </si>
  <si>
    <t>Belvízelvezetés programelem</t>
  </si>
  <si>
    <t xml:space="preserve">5.1. Elvonások és befizetések </t>
  </si>
  <si>
    <t>Start-munka program - Téli közfoglalkoztatás</t>
  </si>
  <si>
    <t>Hosszabb időtartamú közfoglalkoztatás</t>
  </si>
  <si>
    <t>063020</t>
  </si>
  <si>
    <t>Víztermelés, -kezelés, -ellátás</t>
  </si>
  <si>
    <t>A gyermekek, fiatalok és családok életminőségét javító programok</t>
  </si>
  <si>
    <t>900090</t>
  </si>
  <si>
    <t>041232</t>
  </si>
  <si>
    <t>041233</t>
  </si>
  <si>
    <t>Óvodai étkeztetés</t>
  </si>
  <si>
    <t>Bölcsődei gyermek étkeztetés</t>
  </si>
  <si>
    <t>Közművelődés- hagyományos közösségi kult. értékek gondozása</t>
  </si>
  <si>
    <t>Mötv. 13.§ (1)12.</t>
  </si>
  <si>
    <t>Mötv. 13.§ (1)11,  21.</t>
  </si>
  <si>
    <t>Áht. 53/A. §</t>
  </si>
  <si>
    <t>Áht.</t>
  </si>
  <si>
    <t>2011. évi CXCV. törvény az államháztartásról</t>
  </si>
  <si>
    <t>Gyermeklánc Óvoda és Bölcsőde, Család- és Gyermekjóléti Központ összesen:</t>
  </si>
  <si>
    <t>Imre Z. Kult. K. és Könyvtár</t>
  </si>
  <si>
    <t>Bölcsőde támogatása</t>
  </si>
  <si>
    <t>"Jánoshalmi Művésztelep energetikai felújítása" projekt támogatása (VP)</t>
  </si>
  <si>
    <t>Ellátási díjak (ált. isk. étkezés)</t>
  </si>
  <si>
    <t>EFOP-1.4.2-16 Integrált térs. gyermekpr. "Együtt könnyebb" támogatása</t>
  </si>
  <si>
    <t>Köztemetés kiadásának megtérítése</t>
  </si>
  <si>
    <t>Könyvtári szolgáltatások ellenértéke</t>
  </si>
  <si>
    <t>Közművelődési szolgáltatások ellenértéke</t>
  </si>
  <si>
    <t xml:space="preserve">Támogatási szerződés szerinti bevételek, kiadások  (Ft)     </t>
  </si>
  <si>
    <t>évenkénti üteme</t>
  </si>
  <si>
    <t>Saját erő</t>
  </si>
  <si>
    <t>EU-s és hazai forrás együtt</t>
  </si>
  <si>
    <t>Források összesen</t>
  </si>
  <si>
    <t>Beruházási kiadások (elszámolható)</t>
  </si>
  <si>
    <t>Dologi kiadások (elszámolható)</t>
  </si>
  <si>
    <t xml:space="preserve">Saját erő </t>
  </si>
  <si>
    <t>Bér+járulék kiadások (elszámolható)</t>
  </si>
  <si>
    <t>Iparterület fejlesztése Jánoshalmán (TOP-1.1.1-15-BK1-2016-00006)</t>
  </si>
  <si>
    <t>Beruházási kiadások (nem elszámolható)</t>
  </si>
  <si>
    <t>Felújítási kiadások (elszámolható)</t>
  </si>
  <si>
    <t>Felújítási kiadások (nem elszámolható)</t>
  </si>
  <si>
    <t>Gyermekvédelmi pénzbeli és természetbeni ellátások</t>
  </si>
  <si>
    <t>2.2. Termőföld bérbead.-ból szárm. jöv. utáni SZJA</t>
  </si>
  <si>
    <t>2.3. Belföldi gépjárművek adójának helyi önk-t megillető része</t>
  </si>
  <si>
    <t>2.4. Egyéb közhatalmi bevételek</t>
  </si>
  <si>
    <t>Polgármesteri Hivatal igazgatási tevékenysége</t>
  </si>
  <si>
    <t>Imre Zoltán Művelődési Központ és Könyvtár</t>
  </si>
  <si>
    <t>Imre Zoltán Művelődési Központ és Könyvtár összesen:</t>
  </si>
  <si>
    <t>Imre Z. Műv. K. és Könyvtár</t>
  </si>
  <si>
    <t>Anyakönyvi szolgáltatás díjbevétele</t>
  </si>
  <si>
    <t>Nyitnikék Gyerekház EMMI-fejezeti támogatása</t>
  </si>
  <si>
    <t>Gyermeklánc Óvoda és Bölcsőde, Család- és Gyermekjóléti Központ kiadásai összesen:</t>
  </si>
  <si>
    <t>- Gazdasági ügyintéző (térítési díjak beszedése, étkezők nyilvántartása)</t>
  </si>
  <si>
    <t>- Technikai dolgozók  (2 fő részfoglalk. napi 4 órában)</t>
  </si>
  <si>
    <t>Jánoshalma Városi Önkormányzat 2019. évi költségvetésében tervezett köponti költségvetési támogatások</t>
  </si>
  <si>
    <t>Településüzemeltetéshez kapcsolódó feladatellátás alaptámogatása</t>
  </si>
  <si>
    <t>A zöldterület-gazdálkodással kapcsolatos feladatok ellátásának alaptámogatása</t>
  </si>
  <si>
    <t>Közvilágítás fenntartásának alaptámogatása</t>
  </si>
  <si>
    <t>Köztemető-fenntartással kapcsolatos feladatok alaptámogatása</t>
  </si>
  <si>
    <t>Közutak fenntartásának alaptámogatása</t>
  </si>
  <si>
    <t>A költségvetési szerveknél foglalkoztatottak 2018. évi áthúzódó és 2019. évi kompenzációja</t>
  </si>
  <si>
    <t>Alapfokú végzettségű pedagógus II. kategóriába sorolt óvodapedagógusok kiegészítő támogatása, akik a minősítést 2018.01.01-ig szerezték meg</t>
  </si>
  <si>
    <t>Alapfokú végzettségű pedagógus II. kategóriába sorolt óvodapedagógusok kiegészítő támogatása, akik a minősítést a 2019. január 1-jei átsorolással szerezték meg</t>
  </si>
  <si>
    <t>Alapfokú végzettségű mesterpedagógus kategóriába sorolt óvodapedagógusok kiegészítő támogatása, akik a minősítést 2018.01.01-ig szerezték meg</t>
  </si>
  <si>
    <t>Alapfokú végzettségű mesterpedagógus kategóriába sorolt óvodapedagógusok kiegészítő támogatása, akik a minősítést a 2019. január 1-jei átsorolással szerezték meg</t>
  </si>
  <si>
    <t>Szociális ágazati összevont pótlék és egészségügyi kiegészítő pótlék</t>
  </si>
  <si>
    <t>III.5.aa</t>
  </si>
  <si>
    <t>III.5.ab</t>
  </si>
  <si>
    <t xml:space="preserve">III.6. </t>
  </si>
  <si>
    <t>III.6. a (1)</t>
  </si>
  <si>
    <t>III.6. a (2)</t>
  </si>
  <si>
    <t>III.6.b</t>
  </si>
  <si>
    <t>IV.3</t>
  </si>
  <si>
    <t>Kulturális illetménypótlék</t>
  </si>
  <si>
    <t>Egyéb önkormányzati feladatok támogatása (beszámítás után)</t>
  </si>
  <si>
    <t>III.3.n</t>
  </si>
  <si>
    <t>Óvodai és iskolai szociális segítő tevékenység támogatása</t>
  </si>
  <si>
    <t>Jánoshalma Városi Önkormányzat és költségvetési szervei 2019. évi költségvetésének bevételi előirányzatai</t>
  </si>
  <si>
    <t>Jánoshalma Városi Önkormányzat és költségvetési szervei 2019. évi költségvetésének kiadási előirányzatai</t>
  </si>
  <si>
    <t>Jánoshalma Város Önkormányzat 2019. évi költségvetése működési és felhalmozási célú bontásban</t>
  </si>
  <si>
    <t>Egyéb műk. c. támogatások államháztartáson belülre</t>
  </si>
  <si>
    <t>5.3. Egyéb műk. célú támogatások államh.-on belülre</t>
  </si>
  <si>
    <t>5.4. Egyéb műk. célú támogatások államh.-on kívülre</t>
  </si>
  <si>
    <t>5.5. Tartalékok</t>
  </si>
  <si>
    <t>Környezetvédelmi alap a 2019. évre tervezett talajterhelési díj bevételből</t>
  </si>
  <si>
    <t>A helyi önkormányzat által irányított költségvetési szervek 2019. évi költségvetési kiadásai feladatonként</t>
  </si>
  <si>
    <t>EFOP-3.9.2-16-2017-00057 "Járásokat összekötő humán kapacitások fejlesztése térségi szemléletben" projekt - 2 fő többletfeladat ellátása</t>
  </si>
  <si>
    <t xml:space="preserve">EFOP-3.3.2-16-2016-00284 "Kultúrával az oktatás színesítéséért" projekt </t>
  </si>
  <si>
    <t>Óvodai nevelés</t>
  </si>
  <si>
    <t xml:space="preserve">EFOP-3.2.9-16-2016-00044 "Segítsd, hogy segíthessen!" c. projekt </t>
  </si>
  <si>
    <t xml:space="preserve">EFOP-3.9.2-16-2017-00057 "Járásokat összekötő humán kapacitások fejlesztése térségi szemléletben" c. projekt </t>
  </si>
  <si>
    <t>EFOP-1.5.3-16-2017-00082 "Együtt vagyunk, otthon vagyunk és itt maradunk" c. projekt - 2 fő alkalmazása a Család- és Gyermekjóléti Szolgálatnál</t>
  </si>
  <si>
    <t>Jánoshalma Városi Önkormányzat  2019. évi költségvetési kiadásai feladatonként</t>
  </si>
  <si>
    <t>Műk. célú tám. ÁH-on belülre</t>
  </si>
  <si>
    <t>Szektorhoz nem köthető komplex gazdaságfejlesztési projektek</t>
  </si>
  <si>
    <t>Szennyvízcsatorna építése, fenntartása, üzemeltetése</t>
  </si>
  <si>
    <t>Környezetszennyezés csökkentésének igazgatása</t>
  </si>
  <si>
    <t>Településfejlesztési projektek és támogatásuk</t>
  </si>
  <si>
    <t>Óvodai nevelés, ellátás működtetési feladatai</t>
  </si>
  <si>
    <t>Iskolarendszeren kívüli egyéb oktatás, képzés</t>
  </si>
  <si>
    <t>Idősek nappali ellátása</t>
  </si>
  <si>
    <t>Hajléktalanok átmeneti ellátása éjjeli menedékhelyen</t>
  </si>
  <si>
    <t>107013</t>
  </si>
  <si>
    <t>107015</t>
  </si>
  <si>
    <t>Hajléktalanok nappali ellátása - Nappali melegedő</t>
  </si>
  <si>
    <t>107052</t>
  </si>
  <si>
    <t>Házi segítségnyújtás</t>
  </si>
  <si>
    <t>107080</t>
  </si>
  <si>
    <t>Esélyegyenlőség elősegítését célzó tevékenységek és programok</t>
  </si>
  <si>
    <t>36</t>
  </si>
  <si>
    <t>37</t>
  </si>
  <si>
    <t>38</t>
  </si>
  <si>
    <t>39</t>
  </si>
  <si>
    <t>40</t>
  </si>
  <si>
    <t>41</t>
  </si>
  <si>
    <t>42</t>
  </si>
  <si>
    <t>43</t>
  </si>
  <si>
    <t>047450</t>
  </si>
  <si>
    <t>053010</t>
  </si>
  <si>
    <t>062020</t>
  </si>
  <si>
    <t>082061</t>
  </si>
  <si>
    <t>082091</t>
  </si>
  <si>
    <t>095020</t>
  </si>
  <si>
    <t>102031</t>
  </si>
  <si>
    <t>2019. évi felhalmozási kiadások feladatonként, felújítási kiadások célonként</t>
  </si>
  <si>
    <t>Q</t>
  </si>
  <si>
    <t>Start-munka program -Téli közfoglalkoztatás - Hulladékgyűjtő konténer beszerzés</t>
  </si>
  <si>
    <t>Vízkárelhárítási terv</t>
  </si>
  <si>
    <t>Csatorna beruházáshoz kapcsolódó visszatérítés (háztartásoknak, vállalkozásoknak)</t>
  </si>
  <si>
    <t>TOP-3.2.1-16-BK1-2017-00059 "Jánoshalma Polgármesteri Hivatal energetikai rendszerek korszerűsítése" c. projekt kiadásai</t>
  </si>
  <si>
    <t>TOP-1.1.1-15-BK1-2016-00006 - "Iparterület fejlesztése Jánoshalmán" c. projekt kiadásai</t>
  </si>
  <si>
    <t>TOP-1.1.2-16-BK1 -2017-00005 "Jánoshalma térségi szerepének erősítése a mezőgazdaságban" c. projekt kiadásai</t>
  </si>
  <si>
    <t>TOP-1.1.3-16-BK1 -2017-00007  "Agrárlogisztikai központ építése Jánoshalmán c. projekt kiadásai</t>
  </si>
  <si>
    <t>TOP-2.1.3-16-BK1 -2017 - 00010  "Jánoshalma belvíz elvezetése I. ütem" c. projekt kiadásai</t>
  </si>
  <si>
    <t xml:space="preserve">120/2018.(VII.18.) Kt. hat. alapján  önerő maradvány - a Konyhafejlesztési VP 6-7.2.1-7.4.1.3-17 kódszámú pályázathoz </t>
  </si>
  <si>
    <t>224/2017.(XII.14) Kt. hat.  és 17/2018(I.25) Kt. határozatok alapján önerő maradvány a VP6-19.2.1-32-1-17  "Települések élhetőbbé tétele" c. pályázathoz (gépjármű tároló építése a Mélykúti u. 7. sz. alatt)</t>
  </si>
  <si>
    <t>TOP-2.1.2-16-BK1 - "Zöld tér felújítása Jánoshalmán" c. projekt kiadásai</t>
  </si>
  <si>
    <t>51/2016.(III.24.) Kt. hat. VP-6-7.4.1.1-16 "Jánoshalmi Művésztelep energetikai felújítása" projekt pályázati  önerő és támogatás kiadási maradványa</t>
  </si>
  <si>
    <t>Viziközművek fejlesztése a viziközművek 2019. évi bérleti díj bevételéből és a Viziközmű fejlesztési tartalékból</t>
  </si>
  <si>
    <t>Jánoshalmi Művésztelep (Kossuth u. 5.sz.) - 2 db ágy, 2 db ruhás szekrény, 5 db asztal, 15 db szék beszerzése</t>
  </si>
  <si>
    <t>63/2018.(IV.26.) Kt. hat. Radnóti utcai óvoda energetikai felújítása (önerő és központi támogatás)</t>
  </si>
  <si>
    <t>EFOP-1.5.3-16-2017-00082  "Együtt vagyunk, otthon vagyunk és itt maradunk" c. projekt felújítási kiadásai</t>
  </si>
  <si>
    <t>Jánoshalma Városi Önkormányzat és költségvetési szerveinek 2019. évi költségvetési kiadásai kötelező-, önként vállalt-, és állami (államigazgatási) feladatok szerinti bontásban</t>
  </si>
  <si>
    <t>Mötv. 13.§ (1) 11. 21.</t>
  </si>
  <si>
    <t>Mötv. 13.§ (1) 1. 7. 9. 14.</t>
  </si>
  <si>
    <t>013320</t>
  </si>
  <si>
    <t>Köztemető-fenntartás és működtetés</t>
  </si>
  <si>
    <t>44</t>
  </si>
  <si>
    <t>Szoc. tv. 86.§ (1) d,</t>
  </si>
  <si>
    <t>Hajléktalanok átmeneti ellátása - éjjeli menedékhelyen</t>
  </si>
  <si>
    <t>Hajléktalanok nappali ellátása</t>
  </si>
  <si>
    <t>Mötv. 13.§ (1) 10.</t>
  </si>
  <si>
    <t>Szoc. tv. 86.§ (1) c,</t>
  </si>
  <si>
    <t>45</t>
  </si>
  <si>
    <t>46</t>
  </si>
  <si>
    <t xml:space="preserve">Óvodai nevelés, ellátás </t>
  </si>
  <si>
    <t>Jánoshalma Városi Önkormányzat  és költségvetési szerveinek 2019. évi költségvetési bevételei és  kiadásai kötelező-, önként vállalt-, és állami (államigazgatási) feladatok szerinti bontásban</t>
  </si>
  <si>
    <t>Intézményi gyermekétkeztetési feladatok támogatása (bölcsődei étkeztetés)</t>
  </si>
  <si>
    <t>Startmunka programok műk. c. támogatása</t>
  </si>
  <si>
    <t>Hosszabb időtartamú közfogl. műk. c.  tám.</t>
  </si>
  <si>
    <t>Startmunka programok felh. c. támogatása</t>
  </si>
  <si>
    <t>VP6-7.2.1-7.4.1.2-16 kódsz. önk-i utak karbantartásához gép beszerzés támogatása</t>
  </si>
  <si>
    <t>EFOP-3.3.2-16-2016-00284 "Kulturával az oktatás színesítéséért"pr.műk. c.támogatása</t>
  </si>
  <si>
    <t>EFOP-3.3.2-16-2016-00284 "Kulturával az oktatás színesítéséért"pr. felh. c.  támogatása</t>
  </si>
  <si>
    <t>A 2019. évi költségvetésben tervezett, EU-forrásból finanszírozott  támogatással megvalósuló projektek kiadásai, a helyi önkormányzat ilyen projektekhez történő hozzájárulásai</t>
  </si>
  <si>
    <t>Jánoshalma Városi Önkormányzat ASP központhoz való csatlakozása (KÖFOP-1.2.1-VEKOP-16-2017-00938)</t>
  </si>
  <si>
    <t>Integrált térségi gyermekprogramok  - "Együtt könnyebb" komplex prevenciós és társadalmi felzárkóztató program a gyermekszegénység ellen (EFOP-1.4.2-16-2016-00020)</t>
  </si>
  <si>
    <t>"Együtt vagyunk, otthon vagyunk és itt maradunk" c. projekt (EFOP-1.5.3-16-2017-00082)</t>
  </si>
  <si>
    <t xml:space="preserve">"Járásokat összekötő humán kapacitások fejlesztése térségi szemléletben" c. projekt (EFOP-3.9.2-16-2017-00057) </t>
  </si>
  <si>
    <t>Támogatás (elszámolható)</t>
  </si>
  <si>
    <t xml:space="preserve">"Kulturával az oktatás színesítéséért" c. projekt (EFOP-3.3.2-16-2016-00284) </t>
  </si>
  <si>
    <t>Jánoshalma térségi szerepének erősítése a mg-ban (TOP-1.1.2-16-BK1-2017-00005)</t>
  </si>
  <si>
    <t>Agrárlogisztikai központ építése Jánoshalmán (TOP-1.1.3-16-BK1-2017-00007)</t>
  </si>
  <si>
    <t>Zöld tér felújítása Jánoshalmán (TOP-2.1.2-16-BK1-2017-00003)</t>
  </si>
  <si>
    <t>Jánoshalma belvíz elvezetése I. ütem (TOP-2.1.3-16-BK1-2017-00010)</t>
  </si>
  <si>
    <t>Jánoshalma Polgármesteri Hivatal energetikai rendszerek korszerűsítése (TOP-3.2.1-16-BK1-2017-00059)</t>
  </si>
  <si>
    <t>Együtt a közösségeinkért (TOP-5.3.1-16-BK1-2017-00015) Hajós- Jánoshalma- Borota- Kéleshalom konzorciumban</t>
  </si>
  <si>
    <t>"Segítsd, hogy segíthessen!" c. projekt (EFOP-3.2.9-16-2016-00044)</t>
  </si>
  <si>
    <t>2019. évi költségvetésben tervezett 2018. évi maradvány igénybevétel</t>
  </si>
  <si>
    <t xml:space="preserve">2019. évi költségvetésben tervezett bevételi előirányzatok    </t>
  </si>
  <si>
    <t xml:space="preserve">2019. évi költségvetésben tervezett kiadási előirányzatok   </t>
  </si>
  <si>
    <t>"Közétkeztetés fejlesztése" (Vidékfejlesztési Program VP6-7.2.1-7.4.1.3-17)</t>
  </si>
  <si>
    <t>"A Jánoshalmi Művésztelep energetikai felújítása" (Vidékfejlesztési Program VP6-7.2.1-7.4.1.1-16)</t>
  </si>
  <si>
    <t>"Önkormányzati utak karbantartásához szükséges erő- és munkagépek beszerzése" (Vidékfejlesztési Program VP6-7.2.1-7.4.1.2-16)</t>
  </si>
  <si>
    <t>Bér+járulék kiadások (elszámolható) Polgármesteri Hivatalnál</t>
  </si>
  <si>
    <t>Bér+járulék kiadások (elszámolható) Gyermekjóléti Szolgálatnál</t>
  </si>
  <si>
    <t>EFOP-1.4.2-16-2016-00020 "Együtt könnyebb" komplex prevenciós és társadalmi felzárkóztató program a gyermekszegénység ellen (GYEP-II.)</t>
  </si>
  <si>
    <t>- Szakterületi koordinátor  / és Coach (1 fő napi 4 órában/ heti 20 órában)</t>
  </si>
  <si>
    <t>EFOP-1.5.3-16-2017-00082 "Együtt vagyunk, otthon vagyunk és itt maradunk" projekt</t>
  </si>
  <si>
    <t>Szakmai vezető</t>
  </si>
  <si>
    <t>Ifjúsági referens</t>
  </si>
  <si>
    <t>Közösségszervező</t>
  </si>
  <si>
    <t>Közösség szervező munkatárs</t>
  </si>
  <si>
    <t>TOP-5.3.1-16-BK1-2017-00015 "Együtt a közösségeinkért" projekt</t>
  </si>
  <si>
    <t>Közösségfejlesztő</t>
  </si>
  <si>
    <t>EFOP-3.9.2-16-2017-00057 "Járásokat összekötő humán kapacitások fejlesztése térségi szemléletben" projekt</t>
  </si>
  <si>
    <t>EFOP-3.3.2-16-2016-00284 "Kultúrával az oktatás színesítéséért" projekt</t>
  </si>
  <si>
    <t>Start-munka program - Téli közfoglalkoztatás (2018. évről áthúzódó programok 2019.02.28-ig)</t>
  </si>
  <si>
    <t>Illegális hulladéklerakó-helyek felszámolása programelem</t>
  </si>
  <si>
    <t>Hosszabb időtartamú közfoglalkoztatás (2018. évről áthúzódó programok 2019.02.28-ig)</t>
  </si>
  <si>
    <t xml:space="preserve">23 fő álláskereső közfoglalkoztatása </t>
  </si>
  <si>
    <t>Család- és Gyermekjóléti Központ (EFOP 3.2.9-16-2016-00044 pr.)</t>
  </si>
  <si>
    <t>Iskolarendszeren kívüli egyéb oktatás, képzés (EFOP-3.9.2-16-2017-00057 pr.)</t>
  </si>
  <si>
    <t>A települési önkormányzatok szociális feladatainak egyéb támogatása</t>
  </si>
  <si>
    <t>- Iskolai és óvodai szoc. segítő tev.</t>
  </si>
  <si>
    <t>EFOP-3.2.9-16-2016-00044 "Segítsd hogy segíthessen" projekt</t>
  </si>
  <si>
    <t>Szociális segítő</t>
  </si>
  <si>
    <t>Szociális segítő (1 fő részm. napi 4 óra)</t>
  </si>
  <si>
    <t>Fejlesztő pedagógus</t>
  </si>
  <si>
    <t>Fejlesztő pedagógus (2 fő nap 4 órában)</t>
  </si>
  <si>
    <t>Kiegészítő fejlesztés zeneovi és angol (2 fő heti 2 és 1 órában)</t>
  </si>
  <si>
    <t>Gyógypedagógus (1 fő heti 10 órában)</t>
  </si>
  <si>
    <t>Szakmai koordinátor (1 fő heti 20 órában)</t>
  </si>
  <si>
    <t>Pénzügyi asszisztens (napi 4 óra)</t>
  </si>
  <si>
    <t>Nem elszámolható kiadásokra további önkormányzati forrás biztosítása</t>
  </si>
  <si>
    <t>- Önkormányzati EFOP-1.5.3-16-2017-00082 projekt 2 fő prevenciós munkatárs</t>
  </si>
  <si>
    <t>- Pénzügyi vezető (részm. napi 4 órában)</t>
  </si>
  <si>
    <t>- Projektmenedzser (részm. napi 4 órában)</t>
  </si>
  <si>
    <t xml:space="preserve">- Szakterületi koordinátor </t>
  </si>
  <si>
    <t>- Szakmai asszisztens (2 fő, ebből 1 fő napi 4 órában)</t>
  </si>
  <si>
    <t>Angol nyelvtanár (2 fő részm. napi 1 órában)</t>
  </si>
  <si>
    <t>Mentor  (4 fő részm. napi 1 órában)</t>
  </si>
  <si>
    <t xml:space="preserve">20 fő álláskereső közfoglalkoztatása </t>
  </si>
  <si>
    <t>Gyermeklánc Óvoda és Bölcsőde, Család- és Gyermekjóléti Központ  összesen:</t>
  </si>
  <si>
    <t>Működési célú tartalék - elektronikus közbeszerzés rendszerhasználati díja</t>
  </si>
  <si>
    <t xml:space="preserve">16/2019.(I.24.) Kt. hat. alapján további 1 millió Ft-os keret a VP 6-7.2.1-7.4.1.3-17 kódszámú "Közétkeztetés fejlesztése" pályázat megvalósítása során felmerült plusz kiadásokhoz </t>
  </si>
  <si>
    <t>Imre Zoltán Művelődési Központ és Könyvtár kiadásai össz.:</t>
  </si>
  <si>
    <t>utak használata ellenében beszedett használati díj, pótdíj, elektr. útdíj</t>
  </si>
  <si>
    <t>Alaptevékenység maradványából képzett tartalék</t>
  </si>
  <si>
    <t>Vállalkozási tevékenység maradványából képzett tartalék</t>
  </si>
  <si>
    <t>Működési célú tartalék - EFOP-2-1-2-16-2018-00075 projekt tartaléka</t>
  </si>
  <si>
    <t>Önkormányzatok elszámolásai a központi költségvetéssel</t>
  </si>
  <si>
    <t>018010</t>
  </si>
  <si>
    <t>061040</t>
  </si>
  <si>
    <t>Telepszerű lakókörnyezetek felszámolását célzó programok</t>
  </si>
  <si>
    <t>Céltartalék -EFOP-2.1.2-16-2018-00075 pr. taraléka</t>
  </si>
  <si>
    <t>Alaptev. maradványból képzett tartalék</t>
  </si>
  <si>
    <t>Vállalk. maradv-ból képzett tartalék</t>
  </si>
  <si>
    <t>Céltartalék -Téli rezsi csökk. tartaléka</t>
  </si>
  <si>
    <t>24. Egészségügyi ellátás</t>
  </si>
  <si>
    <t>Európai Parlament tagjainak 2019. évi választása</t>
  </si>
  <si>
    <t>EFOP-1.4.2-16-2016-00020 "Együtt könnyebb" projekt - 1 fő többletfeladat ellátása</t>
  </si>
  <si>
    <t>Ve.</t>
  </si>
  <si>
    <t>2013. évi XXXVI.törvány a választási eljárásról</t>
  </si>
  <si>
    <t>47</t>
  </si>
  <si>
    <t>48</t>
  </si>
  <si>
    <t>EFOP-2.1.2-16-2018-00075  "Egy fedél alatt" c. pr. támogatása</t>
  </si>
  <si>
    <t>2019.évi és 2018. áthúzódó bérkompenzáció</t>
  </si>
  <si>
    <t>Szociális ágazati összevont pótlék</t>
  </si>
  <si>
    <t>Kulturális ágazati illetménypótlék</t>
  </si>
  <si>
    <t>Állami kv-ből megigényelt bérkiegyenlítő alap</t>
  </si>
  <si>
    <t xml:space="preserve">I.Szent István király szobor felállításának támogatása </t>
  </si>
  <si>
    <t xml:space="preserve">Európai Parlament tagjainak 2019. választására </t>
  </si>
  <si>
    <t>Hosszabb időtartamú közfoglalkoztatás (2019. március 1-től indult programok 2020.02.29-ig)</t>
  </si>
  <si>
    <t>Start-munka program - Téli közfoglalkoztatás (2019. március 1-től indult programok 2020.02.29-ig)</t>
  </si>
  <si>
    <t>48 fő álláskereső közfoglalkoztatása</t>
  </si>
  <si>
    <t>Szociális jellegű program programelem</t>
  </si>
  <si>
    <t>2019. márc. 1-től induló Start-munka program kisértékű tárgyi eszköz beszerzése</t>
  </si>
  <si>
    <t>3. melléklet jogcímei mindösszesen:</t>
  </si>
  <si>
    <t xml:space="preserve">I.12. </t>
  </si>
  <si>
    <t>Kiegyenlítő bérrendezési alap</t>
  </si>
  <si>
    <t xml:space="preserve">"Egy fedél alatt" c. projekt (EFOP-2.1.2-16-2018-00075) </t>
  </si>
  <si>
    <t>Tartalék (elszámolható)</t>
  </si>
  <si>
    <t>Környezetvédelmi alap (előző évek maradványa)</t>
  </si>
  <si>
    <t>Környezetvédelmi alap összesen:</t>
  </si>
  <si>
    <t>Céltartalék (működési) összesen:</t>
  </si>
  <si>
    <t>Elektronikus közbeszerzési eljárás során fizetendő rendszerhasználati díj összesen:</t>
  </si>
  <si>
    <t>2018. évi alaptevékenység maradványából tartalék képzés</t>
  </si>
  <si>
    <t>2018. évi maradványt terhelő kötelezettségek</t>
  </si>
  <si>
    <t>2018. évi vállalkozási tevékenység maradványából tartalék képzés</t>
  </si>
  <si>
    <t>54/2019.(IV.25) Kt. hat. Önk-i feladatellátást szolgáló fejlesztések támogatása pályázati önerő (Óvoda épület hőszigetelése)</t>
  </si>
  <si>
    <t>56/2019.(IV.25) Kt. hat. Főépítészi szerződés megkötése új Rendezési Terv készítéséhez</t>
  </si>
  <si>
    <t>58/2019.(IV.25) Kt. hat. Parkban lévő kutak vízjogi engedélyezési eljárása</t>
  </si>
  <si>
    <t>EFOP-2.1.2-16-2018-00075 "Egy fedél alatt" c. projekt tartaléka</t>
  </si>
  <si>
    <t>EFOP-2.1.2-16-2018-00075 "Egy fedél alatt" c. projekt tartaléka összesen:</t>
  </si>
  <si>
    <t>Téli rezsicsökkentési támogatás tartaléka (2018. évi maradvány)</t>
  </si>
  <si>
    <t>Téli rezsicsökkentési támogatás - 2019. évi felhasználás</t>
  </si>
  <si>
    <t>Téli rezsicsökkentési támogatás tartaléka összesen:</t>
  </si>
  <si>
    <t>EFOP-1.5.3-16-2017-00082 "Együtt vagyunk, otthon vagyunk és itt maradunk" projekt - 2 fő többletfeladat ellátása</t>
  </si>
  <si>
    <t>Nyári diákmunka program</t>
  </si>
  <si>
    <t>90/2019.(V.23) Kt. hat. Jh belvíz elvezetése I. ütem - közbeszerzési szakértő</t>
  </si>
  <si>
    <t xml:space="preserve">Elektronikus közbeszerzési eljárás során fizetendő rendszerhasználati díj </t>
  </si>
  <si>
    <t>5 db TOP projekt elektronikus közbeszerzési eljárás során fizetendő rendszerhasználati díja</t>
  </si>
  <si>
    <t xml:space="preserve">93/2019.(V.23.) Kt. hat. alapján további pénzügyi fedezet biztosítása a TOP-3.2.1-16-BK1-2017-00059 "Jánoshalma Polgármesteri Hivatal energetikai rendszerek korszerűsítése" c. projekt megvalósítása során felmerült plusz kiadásokhoz </t>
  </si>
  <si>
    <t>VP6-19.2.1-32-2-17 "Kulturális értékmegőrző rendezvények lebonyolítása" c. pályázat keretében a 2019. évi Jh-i Napok lebonyolításához fény- és hangtechnikai eszközök beszerzése</t>
  </si>
  <si>
    <t>Készletértékesítés (homok értékesítés)</t>
  </si>
  <si>
    <t>Áfa visszatérítés</t>
  </si>
  <si>
    <t>Önkormányzati tűzoltóságok támogatása</t>
  </si>
  <si>
    <t>VP6-19.2.1-32-2-17 "Kulturális értékmegőrző rendezvények lebonyolítása" támogatása</t>
  </si>
  <si>
    <t>Nyári diákmunka program támogatása</t>
  </si>
  <si>
    <t xml:space="preserve">I.10. a, </t>
  </si>
  <si>
    <t>Önkormányzatok rendkívüli támogatása - önkormányzati tűzoltóságok támogatása</t>
  </si>
  <si>
    <t>a Magyarország 2019. évi központi költségvetéséről szóló 2018. évi L. törvény 2. és 3. sz. mellékletének jogcímei szerint</t>
  </si>
  <si>
    <t>Dologi kiadások (nem elszámolható)</t>
  </si>
  <si>
    <t>"Kulturális értékmegőrző rendezvények lebonyolítása" (Vidékfejlesztési Program VP6-19.2.1-32-2-17)</t>
  </si>
  <si>
    <t>Dologi kiadások (elszámolható) Fizetendő Áfa</t>
  </si>
  <si>
    <t>Önkormányzati feladatellátást szolgáló fejlesztések támogatása - Óvoda épület hőszigetelése</t>
  </si>
  <si>
    <t xml:space="preserve">II.2.a, </t>
  </si>
  <si>
    <t xml:space="preserve">Önkormányzati feladatellátást szolgáló fejlesztések - óvodafelújítás támogatása </t>
  </si>
  <si>
    <t>Ételszállításhoz 20 literes duplafalú HGI badella beszerzése</t>
  </si>
  <si>
    <t>NYÁRI DIÁKMUNKÁSOK LÉTSZÁMA ÖSSZESEN:</t>
  </si>
  <si>
    <t>ASP rendszer működtetéséhez szükséges eszközbeszerzés - 5 db USB igazolvány olvasó, router beszerzése</t>
  </si>
  <si>
    <t>A helyi önkormányzati képviselők és a polgármesterek általános választása, valamint a nemzetiségi önkormányzati képviselők általános választása</t>
  </si>
  <si>
    <t>A helyi önk-i képviselők és a polgármesterek ált. választása és a nemzetiségi önk-i képviselők ált. választása</t>
  </si>
  <si>
    <t>Esélyegyenlőség elősegítését célzó tev. és progr. (EFOP-1.5.3-16-2017-00082 pr.)</t>
  </si>
  <si>
    <t>2019. évi és 2018. évről áthúzódó bérkompenzáció</t>
  </si>
  <si>
    <t>Jánoshalmi Polgármesteri Hivatal</t>
  </si>
  <si>
    <t>Jánoshalmi Polgárm. Hiv. kiadásai össz.:</t>
  </si>
  <si>
    <t>8. melléklet a 9/2019. (IX.30.) önkormányzati rendelethez</t>
  </si>
  <si>
    <t>Mentor vezető (részm. napi 4 órában)</t>
  </si>
  <si>
    <t>Mentor (10 fő részm. napi 2 órában)</t>
  </si>
  <si>
    <t>Út, autópálya építése (kerékpárút, járda)</t>
  </si>
  <si>
    <t>Út, autópálya építése (kerékpárút)</t>
  </si>
  <si>
    <t>Szélessávú internet hálózat értékesítése kapcsán JKT-tól átvett pénzeszköz</t>
  </si>
  <si>
    <t xml:space="preserve">124/2019.(IX.26.) Kt. hat. Jánoshalma Polgármesteri Hivatal korszerűsítése </t>
  </si>
  <si>
    <t>130/2019.(IX.26.) Kt. hat. "Jánoshalma belvíz elvezetése I. ütem"  - többlet pénzügyi fedezet biztosítása</t>
  </si>
  <si>
    <t>132/2019.(IX.26.) Kt. hat. Játszótéri játékok  (Rugós játék - kisautó- (központi játszótér))</t>
  </si>
  <si>
    <t>132/2019.(IX.26.) Kt. hat. Játszótéri játékok  felújítása</t>
  </si>
  <si>
    <t>141/2019.(X.08.) Kt. hat. Sportpálya kerítés alapzata</t>
  </si>
  <si>
    <t>Háziorvosi Ügyeleti szolgálat - tápegység és ruoter beszerzése</t>
  </si>
  <si>
    <t>Védőnői szolgálat - Office csomagok beszerzése</t>
  </si>
  <si>
    <t>2 db elektronikus aláíráshoz kapcsolódó tanúsítvány, kávéfőző, gumiabroncs (MOM-744), diktafon, GIROLock felhasználói tanúsítvány +  tanúsítványhordozó beszerzése</t>
  </si>
  <si>
    <t>63/2018.(IV.26.) Kt. hat. Radnóti utcai óvoda energetikai felújítása keretében 2 db villanybojler beszerzése</t>
  </si>
  <si>
    <t>Tűzoltóság önkormányzati támogatásának csökkenéséből</t>
  </si>
  <si>
    <t>Többlet kiadásokra további önkormányzati forrás biztosítása</t>
  </si>
  <si>
    <t xml:space="preserve"> Család- és Gyermekjóléti Szolgálat beruházási kiadásai - 2 db optikai egér, zselés akkumulátor</t>
  </si>
  <si>
    <t>Települési támogatás (Szoc. tv. 45.§)</t>
  </si>
  <si>
    <t>Környezet- védelmi alap</t>
  </si>
  <si>
    <t>Céltartalék -elektr. közbesz. rendszer- használati díja</t>
  </si>
  <si>
    <t>Vállalkozási tev. - Növénytermesztés és kapcsolódó szolgáltatások</t>
  </si>
  <si>
    <t>Intézményen kívüli (szünidei) gyermekétkeztetés</t>
  </si>
  <si>
    <t>Közművelődés - közösségi és társadalmi részvétel fejlesztése</t>
  </si>
  <si>
    <t>Üdülői szálláshely-szolgáltatás és étkeztetés (Kunfehértó Ifj. Tábor)</t>
  </si>
  <si>
    <t>Család- és nővédelmi egészségügyi gondozás (Védőnői Szolgálat)</t>
  </si>
  <si>
    <t>Zöldterület-kezelés</t>
  </si>
  <si>
    <t>Önkormányzati vagyonnal való gazdálkodással kapcsolatos feladatok</t>
  </si>
  <si>
    <t>Ttv. 2.§ (2) bek.,  Mötv. 13.§ (1) 12.</t>
  </si>
  <si>
    <t>Üdülői szálláshely szolgáltatás és étkeztetés (Kunfehértói Ifjúsági Tábor)</t>
  </si>
  <si>
    <t>"Szabadságkoncert" könnyűzenei pr. támogatása</t>
  </si>
  <si>
    <t>TOP-3.2.1.-16 Polg. Hiv. energetikai korsz. projekt, TOP-2.1.2-16 "Zöld tér felújítása projekt, TOP-2.1.3-16 "Jh. belvíz elvezetése I. ütem" c. projekt és VP 6-7.2.1-7.4.1.3-17  Konyha- fejlesztési pályázat támogatása</t>
  </si>
  <si>
    <t>Ügyeleti ellátáshoz önkormányzatoktól átvett pénzeszköz</t>
  </si>
  <si>
    <t>Család- és nővédelmi eü. gondozáshoz NEA-finanszírozás</t>
  </si>
  <si>
    <t>Lajtha L. Non-profit Kft. - fel nem haszn. támog. vt.</t>
  </si>
  <si>
    <t>Közvetített szolgáltatások és Szüreti Napok szolgáltatás ellenértéke</t>
  </si>
  <si>
    <t>Polgármesteri Hivatal udvarán garázs kialakítása</t>
  </si>
  <si>
    <t>Rendezési Terv ("Jánoshalma város településfejlesztési koncepció, új településrendezési eszközök elkészítése" - Városökológia Bt.)</t>
  </si>
  <si>
    <t>Energiamegtakarítási intézkedési terv készíttetése</t>
  </si>
  <si>
    <t>EFOP-1.4.2-16-2016 - 00020  "Együtt a közösségeinkért" c. projekt beruházási kiadásai</t>
  </si>
  <si>
    <t>EFOP-1.5.3-16-2017-00082  "Együtt vagyunk, otthon vagyunk és itt maradunk" c. projekt beruh. kiadásai</t>
  </si>
  <si>
    <t>EFOP-2.1.2-16-2018-00075  "Egy fedél alatt" c. projekt beruházási kiadásai</t>
  </si>
  <si>
    <t>106/2019.(VII.18.) Kt. hat. alapján Diákélelmezési Konyha épületének trafófejlesztése</t>
  </si>
  <si>
    <t>Számítógép, monitor, irodai székek, porszívó, további kisebb eszközbeszerzések</t>
  </si>
  <si>
    <t>Hordozható mikrofon, kontroll hangfal, fénytechnika beszerzése</t>
  </si>
  <si>
    <t>EFOP-3.3.2-16-2016-00284  "Kultúrával az oktatás színesítéséért" c. projekt beruházási kiadásai</t>
  </si>
  <si>
    <t>EFOP-1.5.3 pályázat -  KIT Ifjúsági Találkozókkal kapcsolatos eszközbeszerzések</t>
  </si>
  <si>
    <t>Óvodai nevelés beruházási kiadásai - 2 db beépített tárolószekrény, 1 db Karcher szárazporszívó, 1 db igazolványolvasó, 2 db álló ventillátor, 3 db fém karnis szett, függönyrúd, szőnyeg, hosszabbító, router, vízforraló, Toshiba kamerarögzítő, 2 db WIFI TP-LINK, 1 db TP-LINK, 1 db HSW D-LINK, MS Office, Canon nyomtató</t>
  </si>
  <si>
    <t xml:space="preserve"> Család- és Gyermekjóléti Központ beruházási kiadásai - külső merevlemez, kávéfőző, Kyocera fénymásológéphez papírkazetta, 2 db ventilátor és 2 db akkumulátor </t>
  </si>
  <si>
    <t>Polgármesteri Hivatal épületének festése, folyósói ablak cseréje</t>
  </si>
  <si>
    <t>54/2019.(IV.25.) Kt. hat. Önk-i feladatellátást szolgáló fejlesztések támogatása - Óvoda épület hőszigetelése (önerő és központi támogatás)</t>
  </si>
  <si>
    <t>2 db öltözőben a linóleum járólapra történő cseréje</t>
  </si>
  <si>
    <t>2018. évi állami támogatások elszámolásának MÁK általi felülvizsgálata kapcsán visszafizetendő összeg és kamata</t>
  </si>
  <si>
    <t>1. melléklet a  14/2019.(XII.16.) önkormányzati rendelethez</t>
  </si>
  <si>
    <t>2. melléklet a 14/2019.(XII.16.) önkormányzati rendelethez</t>
  </si>
  <si>
    <t>3. melléklet a 14/2019.(XII.16.) önkormányzati rendelethez</t>
  </si>
  <si>
    <t>4. melléklet a 14/2019.(XII.16.) önkormányzati rendelethez</t>
  </si>
  <si>
    <t>5. melléklet a 14/2019.(XII.16.) önkormányzati rendelethez</t>
  </si>
  <si>
    <t>6. melléklet a 14/2019.(XII.16.) önkormányzati rendelethez</t>
  </si>
  <si>
    <t>8. melléklet a 14/2019.(XII.16.) önkormányzati rendelethez</t>
  </si>
  <si>
    <t>7. melléklet a 14/2019.(XII.16.) önkormányzati rendelethez</t>
  </si>
  <si>
    <t>9. melléklet a 14/2019.(XII.16.) önkormányzati rendelethez</t>
  </si>
  <si>
    <t>10. melléklet a 14/2019. (XII.16.) önkormányzati rendelethez</t>
  </si>
  <si>
    <t>11. melléklet a 14/2019. (XII.16.) önkormányzati rendelethez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</si>
</sst>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Ft&quot;"/>
    <numFmt numFmtId="167" formatCode="0.0"/>
    <numFmt numFmtId="168" formatCode="#,##0.0\ &quot;Ft&quot;"/>
    <numFmt numFmtId="169" formatCode="#,##0.0\ _F_t"/>
    <numFmt numFmtId="170" formatCode="#,##0\ _F_t"/>
    <numFmt numFmtId="171" formatCode="#,##0.0"/>
    <numFmt numFmtId="172" formatCode="yyyy/\ mmmm\ d\."/>
    <numFmt numFmtId="173" formatCode="mmm/yyyy"/>
    <numFmt numFmtId="174" formatCode="[$-40E]yyyy\.\ mmmm\ d\."/>
    <numFmt numFmtId="175" formatCode="&quot;H-&quot;0000"/>
    <numFmt numFmtId="176" formatCode="0.0000"/>
    <numFmt numFmtId="177" formatCode="#,##0.0000"/>
    <numFmt numFmtId="178" formatCode="#,##0.00000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#,##0.00\ [$CHF]"/>
    <numFmt numFmtId="183" formatCode="#,##0.00\ &quot;Ft&quot;"/>
    <numFmt numFmtId="184" formatCode="#,##0_ ;\-#,##0\ "/>
    <numFmt numFmtId="185" formatCode="_-* #,##0.000\ _F_t_-;\-* #,##0.000\ _F_t_-;_-* &quot;-&quot;??\ _F_t_-;_-@_-"/>
    <numFmt numFmtId="186" formatCode="_-* #,##0.0\ _F_t_-;\-* #,##0.0\ _F_t_-;_-* &quot;-&quot;??\ _F_t_-;_-@_-"/>
    <numFmt numFmtId="187" formatCode="_-* #,##0\ _F_t_-;\-* #,##0\ _F_t_-;_-* &quot;-&quot;??\ _F_t_-;_-@_-"/>
    <numFmt numFmtId="188" formatCode="[$€-2]\ #\ ##,000_);[Red]\([$€-2]\ #\ ##,000\)"/>
    <numFmt numFmtId="189" formatCode="#,##0\ [$CHF]"/>
    <numFmt numFmtId="190" formatCode="0.0000000%"/>
    <numFmt numFmtId="191" formatCode="0.000000%"/>
    <numFmt numFmtId="192" formatCode="[$¥€-2]\ #\ ##,000_);[Red]\([$€-2]\ #\ ##,000\)"/>
  </numFmts>
  <fonts count="112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12"/>
      <name val="Arial CE"/>
      <family val="2"/>
    </font>
    <font>
      <b/>
      <sz val="9"/>
      <name val="Times New Roman CE"/>
      <family val="1"/>
    </font>
    <font>
      <sz val="9"/>
      <name val="Arial CE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b/>
      <sz val="9"/>
      <name val="Arial"/>
      <family val="2"/>
    </font>
    <font>
      <sz val="8"/>
      <name val="Arial CE"/>
      <family val="0"/>
    </font>
    <font>
      <b/>
      <sz val="13"/>
      <name val="Arial CE"/>
      <family val="2"/>
    </font>
    <font>
      <sz val="11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name val="Times New Roman CE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8"/>
      <color indexed="4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8"/>
      <color rgb="FF00B0F0"/>
      <name val="Times New Roman"/>
      <family val="1"/>
    </font>
    <font>
      <b/>
      <sz val="10"/>
      <color rgb="FF0070C0"/>
      <name val="Times New Roman"/>
      <family val="1"/>
    </font>
    <font>
      <sz val="11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n"/>
      <right style="thick"/>
      <top style="thin"/>
      <bottom style="medium"/>
    </border>
    <border>
      <left style="medium"/>
      <right style="medium"/>
      <top style="thick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  <border>
      <left/>
      <right style="medium"/>
      <top style="thick"/>
      <bottom style="thick"/>
    </border>
    <border>
      <left style="thin"/>
      <right/>
      <top>
        <color indexed="63"/>
      </top>
      <bottom style="medium"/>
    </border>
    <border>
      <left style="medium"/>
      <right>
        <color indexed="63"/>
      </right>
      <top style="thick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3" fillId="19" borderId="1" applyNumberFormat="0" applyAlignment="0" applyProtection="0"/>
    <xf numFmtId="0" fontId="94" fillId="0" borderId="0" applyNumberFormat="0" applyFill="0" applyBorder="0" applyAlignment="0" applyProtection="0"/>
    <xf numFmtId="0" fontId="95" fillId="0" borderId="2" applyNumberFormat="0" applyFill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7" fillId="0" borderId="0" applyNumberFormat="0" applyFill="0" applyBorder="0" applyAlignment="0" applyProtection="0"/>
    <xf numFmtId="0" fontId="98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0" fillId="21" borderId="7" applyNumberFormat="0" applyFont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101" fillId="28" borderId="0" applyNumberFormat="0" applyBorder="0" applyAlignment="0" applyProtection="0"/>
    <xf numFmtId="0" fontId="102" fillId="29" borderId="8" applyNumberFormat="0" applyAlignment="0" applyProtection="0"/>
    <xf numFmtId="0" fontId="1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0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30" borderId="0" applyNumberFormat="0" applyBorder="0" applyAlignment="0" applyProtection="0"/>
    <xf numFmtId="0" fontId="106" fillId="31" borderId="0" applyNumberFormat="0" applyBorder="0" applyAlignment="0" applyProtection="0"/>
    <xf numFmtId="0" fontId="107" fillId="29" borderId="1" applyNumberFormat="0" applyAlignment="0" applyProtection="0"/>
    <xf numFmtId="9" fontId="0" fillId="0" borderId="0" applyFont="0" applyFill="0" applyBorder="0" applyAlignment="0" applyProtection="0"/>
  </cellStyleXfs>
  <cellXfs count="139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left" vertical="center"/>
    </xf>
    <xf numFmtId="3" fontId="8" fillId="0" borderId="12" xfId="0" applyNumberFormat="1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1" fillId="0" borderId="0" xfId="61" applyFont="1">
      <alignment/>
      <protection/>
    </xf>
    <xf numFmtId="0" fontId="11" fillId="0" borderId="0" xfId="61" applyFont="1" applyAlignment="1">
      <alignment horizont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21" xfId="61" applyFont="1" applyBorder="1" applyAlignment="1">
      <alignment horizontal="center" vertical="center" wrapText="1"/>
      <protection/>
    </xf>
    <xf numFmtId="0" fontId="1" fillId="0" borderId="17" xfId="61" applyFont="1" applyBorder="1" applyAlignment="1">
      <alignment horizontal="center" vertical="center" wrapText="1"/>
      <protection/>
    </xf>
    <xf numFmtId="0" fontId="1" fillId="0" borderId="22" xfId="61" applyFont="1" applyBorder="1" applyAlignment="1">
      <alignment horizontal="center" vertical="center" wrapText="1"/>
      <protection/>
    </xf>
    <xf numFmtId="0" fontId="1" fillId="0" borderId="23" xfId="61" applyFont="1" applyBorder="1" applyAlignment="1">
      <alignment horizontal="center" vertical="center" wrapText="1"/>
      <protection/>
    </xf>
    <xf numFmtId="0" fontId="1" fillId="0" borderId="0" xfId="61" applyFont="1" applyAlignment="1">
      <alignment horizontal="center" vertical="center"/>
      <protection/>
    </xf>
    <xf numFmtId="49" fontId="14" fillId="0" borderId="22" xfId="61" applyNumberFormat="1" applyBorder="1" applyAlignment="1">
      <alignment vertical="center"/>
      <protection/>
    </xf>
    <xf numFmtId="3" fontId="14" fillId="0" borderId="0" xfId="61" applyNumberFormat="1">
      <alignment/>
      <protection/>
    </xf>
    <xf numFmtId="0" fontId="14" fillId="0" borderId="0" xfId="61">
      <alignment/>
      <protection/>
    </xf>
    <xf numFmtId="3" fontId="2" fillId="0" borderId="0" xfId="61" applyNumberFormat="1" applyFont="1">
      <alignment/>
      <protection/>
    </xf>
    <xf numFmtId="3" fontId="1" fillId="0" borderId="0" xfId="61" applyNumberFormat="1" applyFont="1">
      <alignment/>
      <protection/>
    </xf>
    <xf numFmtId="0" fontId="2" fillId="0" borderId="0" xfId="61" applyFont="1">
      <alignment/>
      <protection/>
    </xf>
    <xf numFmtId="49" fontId="14" fillId="0" borderId="0" xfId="61" applyNumberFormat="1">
      <alignment/>
      <protection/>
    </xf>
    <xf numFmtId="0" fontId="29" fillId="0" borderId="0" xfId="0" applyFont="1" applyFill="1" applyAlignment="1">
      <alignment vertical="center"/>
    </xf>
    <xf numFmtId="0" fontId="17" fillId="0" borderId="0" xfId="57" applyFont="1">
      <alignment/>
      <protection/>
    </xf>
    <xf numFmtId="0" fontId="16" fillId="0" borderId="0" xfId="57" applyFont="1" applyAlignment="1">
      <alignment vertical="center"/>
      <protection/>
    </xf>
    <xf numFmtId="0" fontId="18" fillId="0" borderId="22" xfId="57" applyFont="1" applyBorder="1" applyAlignment="1">
      <alignment horizontal="center" vertical="center" wrapText="1"/>
      <protection/>
    </xf>
    <xf numFmtId="0" fontId="20" fillId="0" borderId="22" xfId="57" applyFont="1" applyBorder="1" applyAlignment="1">
      <alignment horizontal="center" vertical="center" wrapText="1"/>
      <protection/>
    </xf>
    <xf numFmtId="0" fontId="20" fillId="0" borderId="0" xfId="57" applyFont="1" applyAlignment="1">
      <alignment horizontal="center" vertical="center" wrapText="1"/>
      <protection/>
    </xf>
    <xf numFmtId="0" fontId="20" fillId="0" borderId="0" xfId="57" applyFont="1">
      <alignment/>
      <protection/>
    </xf>
    <xf numFmtId="0" fontId="19" fillId="0" borderId="22" xfId="57" applyFont="1" applyBorder="1">
      <alignment/>
      <protection/>
    </xf>
    <xf numFmtId="0" fontId="19" fillId="0" borderId="0" xfId="57" applyFont="1">
      <alignment/>
      <protection/>
    </xf>
    <xf numFmtId="0" fontId="23" fillId="0" borderId="0" xfId="57" applyFont="1">
      <alignment/>
      <protection/>
    </xf>
    <xf numFmtId="0" fontId="24" fillId="0" borderId="0" xfId="57" applyFont="1">
      <alignment/>
      <protection/>
    </xf>
    <xf numFmtId="0" fontId="23" fillId="0" borderId="22" xfId="57" applyFont="1" applyBorder="1">
      <alignment/>
      <protection/>
    </xf>
    <xf numFmtId="0" fontId="25" fillId="0" borderId="0" xfId="57" applyFont="1">
      <alignment/>
      <protection/>
    </xf>
    <xf numFmtId="0" fontId="19" fillId="0" borderId="0" xfId="57" applyFont="1" applyBorder="1">
      <alignment/>
      <protection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23" fillId="0" borderId="22" xfId="57" applyFont="1" applyBorder="1" applyAlignment="1">
      <alignment horizontal="left" vertical="center" indent="2"/>
      <protection/>
    </xf>
    <xf numFmtId="16" fontId="23" fillId="0" borderId="22" xfId="57" applyNumberFormat="1" applyFont="1" applyBorder="1" applyAlignment="1">
      <alignment horizontal="left" vertical="center" indent="2"/>
      <protection/>
    </xf>
    <xf numFmtId="0" fontId="23" fillId="0" borderId="22" xfId="57" applyFont="1" applyBorder="1" applyAlignment="1">
      <alignment horizontal="left" indent="2"/>
      <protection/>
    </xf>
    <xf numFmtId="3" fontId="20" fillId="0" borderId="22" xfId="42" applyNumberFormat="1" applyFont="1" applyBorder="1" applyAlignment="1">
      <alignment horizontal="right"/>
    </xf>
    <xf numFmtId="3" fontId="19" fillId="0" borderId="22" xfId="42" applyNumberFormat="1" applyFont="1" applyBorder="1" applyAlignment="1">
      <alignment horizontal="right"/>
    </xf>
    <xf numFmtId="3" fontId="23" fillId="0" borderId="22" xfId="42" applyNumberFormat="1" applyFont="1" applyBorder="1" applyAlignment="1">
      <alignment horizontal="right"/>
    </xf>
    <xf numFmtId="0" fontId="30" fillId="0" borderId="22" xfId="57" applyFont="1" applyBorder="1" applyAlignment="1">
      <alignment horizontal="left" vertical="center" wrapText="1"/>
      <protection/>
    </xf>
    <xf numFmtId="0" fontId="30" fillId="0" borderId="0" xfId="57" applyFont="1" applyAlignment="1">
      <alignment horizontal="center" vertical="center" wrapText="1"/>
      <protection/>
    </xf>
    <xf numFmtId="3" fontId="30" fillId="0" borderId="22" xfId="42" applyNumberFormat="1" applyFont="1" applyBorder="1" applyAlignment="1">
      <alignment horizontal="right"/>
    </xf>
    <xf numFmtId="0" fontId="30" fillId="0" borderId="22" xfId="57" applyFont="1" applyBorder="1">
      <alignment/>
      <protection/>
    </xf>
    <xf numFmtId="0" fontId="31" fillId="0" borderId="0" xfId="57" applyFont="1">
      <alignment/>
      <protection/>
    </xf>
    <xf numFmtId="0" fontId="32" fillId="0" borderId="22" xfId="57" applyFont="1" applyBorder="1" applyAlignment="1">
      <alignment horizontal="right"/>
      <protection/>
    </xf>
    <xf numFmtId="0" fontId="33" fillId="0" borderId="0" xfId="57" applyFont="1">
      <alignment/>
      <protection/>
    </xf>
    <xf numFmtId="0" fontId="34" fillId="0" borderId="22" xfId="57" applyFont="1" applyBorder="1" applyAlignment="1">
      <alignment vertical="center"/>
      <protection/>
    </xf>
    <xf numFmtId="3" fontId="34" fillId="0" borderId="22" xfId="42" applyNumberFormat="1" applyFont="1" applyBorder="1" applyAlignment="1">
      <alignment horizontal="right"/>
    </xf>
    <xf numFmtId="0" fontId="34" fillId="0" borderId="22" xfId="57" applyFont="1" applyBorder="1">
      <alignment/>
      <protection/>
    </xf>
    <xf numFmtId="0" fontId="34" fillId="0" borderId="0" xfId="57" applyFont="1">
      <alignment/>
      <protection/>
    </xf>
    <xf numFmtId="0" fontId="34" fillId="0" borderId="22" xfId="57" applyFont="1" applyBorder="1" applyAlignment="1">
      <alignment vertical="center" wrapText="1"/>
      <protection/>
    </xf>
    <xf numFmtId="0" fontId="34" fillId="0" borderId="22" xfId="57" applyFont="1" applyBorder="1" applyAlignment="1">
      <alignment horizontal="left" vertical="center"/>
      <protection/>
    </xf>
    <xf numFmtId="0" fontId="35" fillId="0" borderId="0" xfId="57" applyFont="1">
      <alignment/>
      <protection/>
    </xf>
    <xf numFmtId="0" fontId="34" fillId="0" borderId="22" xfId="57" applyFont="1" applyBorder="1" applyAlignment="1">
      <alignment horizontal="left" vertical="center" wrapText="1"/>
      <protection/>
    </xf>
    <xf numFmtId="0" fontId="36" fillId="0" borderId="0" xfId="57" applyFont="1">
      <alignment/>
      <protection/>
    </xf>
    <xf numFmtId="0" fontId="20" fillId="0" borderId="22" xfId="57" applyFont="1" applyBorder="1" applyAlignment="1">
      <alignment horizontal="left" vertical="center" indent="1"/>
      <protection/>
    </xf>
    <xf numFmtId="0" fontId="20" fillId="0" borderId="22" xfId="57" applyFont="1" applyBorder="1" applyAlignment="1">
      <alignment horizontal="left" indent="1"/>
      <protection/>
    </xf>
    <xf numFmtId="3" fontId="37" fillId="0" borderId="22" xfId="57" applyNumberFormat="1" applyFont="1" applyBorder="1" applyAlignment="1">
      <alignment horizontal="right" vertical="center"/>
      <protection/>
    </xf>
    <xf numFmtId="0" fontId="30" fillId="0" borderId="22" xfId="57" applyFont="1" applyBorder="1" applyAlignment="1">
      <alignment vertical="top"/>
      <protection/>
    </xf>
    <xf numFmtId="3" fontId="37" fillId="0" borderId="22" xfId="42" applyNumberFormat="1" applyFont="1" applyBorder="1" applyAlignment="1">
      <alignment horizontal="right"/>
    </xf>
    <xf numFmtId="0" fontId="20" fillId="0" borderId="22" xfId="57" applyFont="1" applyBorder="1" applyAlignment="1">
      <alignment horizontal="left" vertical="top" indent="1"/>
      <protection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17" fillId="0" borderId="22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21" fillId="0" borderId="22" xfId="57" applyFont="1" applyBorder="1" applyAlignment="1">
      <alignment horizontal="center" vertical="center" wrapText="1"/>
      <protection/>
    </xf>
    <xf numFmtId="0" fontId="2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horizontal="center"/>
      <protection/>
    </xf>
    <xf numFmtId="0" fontId="21" fillId="0" borderId="22" xfId="57" applyFont="1" applyBorder="1" applyAlignment="1">
      <alignment horizontal="center"/>
      <protection/>
    </xf>
    <xf numFmtId="0" fontId="7" fillId="0" borderId="2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17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3" fillId="0" borderId="14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3" fillId="0" borderId="23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0" xfId="61" applyFont="1" applyAlignment="1">
      <alignment horizontal="center" vertical="center"/>
      <protection/>
    </xf>
    <xf numFmtId="0" fontId="22" fillId="0" borderId="22" xfId="0" applyFont="1" applyBorder="1" applyAlignment="1">
      <alignment horizontal="center"/>
    </xf>
    <xf numFmtId="0" fontId="22" fillId="32" borderId="22" xfId="0" applyFont="1" applyFill="1" applyBorder="1" applyAlignment="1">
      <alignment/>
    </xf>
    <xf numFmtId="0" fontId="27" fillId="0" borderId="22" xfId="0" applyFont="1" applyBorder="1" applyAlignment="1">
      <alignment/>
    </xf>
    <xf numFmtId="0" fontId="22" fillId="0" borderId="22" xfId="0" applyFont="1" applyFill="1" applyBorder="1" applyAlignment="1">
      <alignment/>
    </xf>
    <xf numFmtId="0" fontId="22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/>
    </xf>
    <xf numFmtId="0" fontId="14" fillId="0" borderId="22" xfId="61" applyFont="1" applyBorder="1">
      <alignment/>
      <protection/>
    </xf>
    <xf numFmtId="0" fontId="14" fillId="0" borderId="14" xfId="61" applyFont="1" applyBorder="1">
      <alignment/>
      <protection/>
    </xf>
    <xf numFmtId="49" fontId="22" fillId="0" borderId="22" xfId="61" applyNumberFormat="1" applyFont="1" applyBorder="1" applyAlignment="1">
      <alignment vertical="center"/>
      <protection/>
    </xf>
    <xf numFmtId="0" fontId="22" fillId="0" borderId="22" xfId="61" applyFont="1" applyBorder="1">
      <alignment/>
      <protection/>
    </xf>
    <xf numFmtId="0" fontId="22" fillId="0" borderId="14" xfId="61" applyFont="1" applyBorder="1" applyAlignment="1">
      <alignment wrapText="1"/>
      <protection/>
    </xf>
    <xf numFmtId="3" fontId="22" fillId="0" borderId="0" xfId="61" applyNumberFormat="1" applyFont="1">
      <alignment/>
      <protection/>
    </xf>
    <xf numFmtId="0" fontId="22" fillId="0" borderId="0" xfId="61" applyFont="1">
      <alignment/>
      <protection/>
    </xf>
    <xf numFmtId="0" fontId="22" fillId="0" borderId="14" xfId="61" applyFont="1" applyBorder="1">
      <alignment/>
      <protection/>
    </xf>
    <xf numFmtId="3" fontId="22" fillId="0" borderId="0" xfId="61" applyNumberFormat="1" applyFont="1" applyAlignment="1">
      <alignment vertical="center"/>
      <protection/>
    </xf>
    <xf numFmtId="0" fontId="22" fillId="0" borderId="0" xfId="61" applyFont="1" applyAlignment="1">
      <alignment vertical="center"/>
      <protection/>
    </xf>
    <xf numFmtId="49" fontId="22" fillId="0" borderId="22" xfId="61" applyNumberFormat="1" applyFont="1" applyBorder="1" applyAlignment="1">
      <alignment horizontal="center" vertical="center"/>
      <protection/>
    </xf>
    <xf numFmtId="49" fontId="22" fillId="33" borderId="22" xfId="61" applyNumberFormat="1" applyFont="1" applyFill="1" applyBorder="1" applyAlignment="1">
      <alignment horizontal="center" vertical="center"/>
      <protection/>
    </xf>
    <xf numFmtId="0" fontId="22" fillId="33" borderId="22" xfId="61" applyFont="1" applyFill="1" applyBorder="1" applyAlignment="1">
      <alignment vertical="center"/>
      <protection/>
    </xf>
    <xf numFmtId="0" fontId="22" fillId="33" borderId="14" xfId="61" applyFont="1" applyFill="1" applyBorder="1" applyAlignment="1">
      <alignment vertical="center" wrapText="1"/>
      <protection/>
    </xf>
    <xf numFmtId="3" fontId="22" fillId="33" borderId="21" xfId="61" applyNumberFormat="1" applyFont="1" applyFill="1" applyBorder="1" applyAlignment="1">
      <alignment vertical="center"/>
      <protection/>
    </xf>
    <xf numFmtId="3" fontId="22" fillId="33" borderId="22" xfId="61" applyNumberFormat="1" applyFont="1" applyFill="1" applyBorder="1" applyAlignment="1">
      <alignment vertical="center"/>
      <protection/>
    </xf>
    <xf numFmtId="3" fontId="22" fillId="33" borderId="23" xfId="61" applyNumberFormat="1" applyFont="1" applyFill="1" applyBorder="1" applyAlignment="1">
      <alignment vertical="center"/>
      <protection/>
    </xf>
    <xf numFmtId="3" fontId="22" fillId="33" borderId="17" xfId="61" applyNumberFormat="1" applyFont="1" applyFill="1" applyBorder="1" applyAlignment="1">
      <alignment vertical="center"/>
      <protection/>
    </xf>
    <xf numFmtId="0" fontId="14" fillId="33" borderId="22" xfId="61" applyFill="1" applyBorder="1">
      <alignment/>
      <protection/>
    </xf>
    <xf numFmtId="0" fontId="22" fillId="33" borderId="22" xfId="61" applyFont="1" applyFill="1" applyBorder="1">
      <alignment/>
      <protection/>
    </xf>
    <xf numFmtId="3" fontId="18" fillId="0" borderId="22" xfId="57" applyNumberFormat="1" applyFont="1" applyBorder="1" applyAlignment="1">
      <alignment vertical="center"/>
      <protection/>
    </xf>
    <xf numFmtId="0" fontId="22" fillId="32" borderId="22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 wrapText="1"/>
    </xf>
    <xf numFmtId="0" fontId="22" fillId="0" borderId="21" xfId="0" applyFont="1" applyBorder="1" applyAlignment="1">
      <alignment horizontal="center"/>
    </xf>
    <xf numFmtId="0" fontId="27" fillId="0" borderId="21" xfId="0" applyFont="1" applyBorder="1" applyAlignment="1">
      <alignment wrapText="1"/>
    </xf>
    <xf numFmtId="0" fontId="22" fillId="32" borderId="21" xfId="0" applyFont="1" applyFill="1" applyBorder="1" applyAlignment="1">
      <alignment vertical="center" wrapText="1"/>
    </xf>
    <xf numFmtId="49" fontId="27" fillId="0" borderId="21" xfId="0" applyNumberFormat="1" applyFont="1" applyBorder="1" applyAlignment="1">
      <alignment/>
    </xf>
    <xf numFmtId="49" fontId="27" fillId="0" borderId="21" xfId="0" applyNumberFormat="1" applyFont="1" applyBorder="1" applyAlignment="1">
      <alignment wrapText="1"/>
    </xf>
    <xf numFmtId="0" fontId="22" fillId="0" borderId="21" xfId="0" applyFont="1" applyFill="1" applyBorder="1" applyAlignment="1">
      <alignment/>
    </xf>
    <xf numFmtId="49" fontId="28" fillId="0" borderId="21" xfId="0" applyNumberFormat="1" applyFont="1" applyBorder="1" applyAlignment="1">
      <alignment/>
    </xf>
    <xf numFmtId="0" fontId="22" fillId="5" borderId="21" xfId="0" applyFont="1" applyFill="1" applyBorder="1" applyAlignment="1">
      <alignment wrapText="1"/>
    </xf>
    <xf numFmtId="0" fontId="38" fillId="0" borderId="30" xfId="61" applyFont="1" applyBorder="1" applyAlignment="1">
      <alignment horizontal="center" vertical="center" wrapText="1"/>
      <protection/>
    </xf>
    <xf numFmtId="3" fontId="22" fillId="33" borderId="31" xfId="61" applyNumberFormat="1" applyFont="1" applyFill="1" applyBorder="1" applyAlignment="1">
      <alignment vertical="center"/>
      <protection/>
    </xf>
    <xf numFmtId="3" fontId="108" fillId="0" borderId="0" xfId="61" applyNumberFormat="1" applyFont="1">
      <alignment/>
      <protection/>
    </xf>
    <xf numFmtId="3" fontId="108" fillId="0" borderId="0" xfId="61" applyNumberFormat="1" applyFont="1" applyAlignment="1">
      <alignment vertical="center"/>
      <protection/>
    </xf>
    <xf numFmtId="0" fontId="41" fillId="0" borderId="0" xfId="0" applyFont="1" applyAlignment="1">
      <alignment/>
    </xf>
    <xf numFmtId="0" fontId="27" fillId="0" borderId="22" xfId="0" applyFont="1" applyFill="1" applyBorder="1" applyAlignment="1">
      <alignment/>
    </xf>
    <xf numFmtId="0" fontId="14" fillId="0" borderId="14" xfId="61" applyFont="1" applyBorder="1" applyAlignment="1">
      <alignment wrapText="1"/>
      <protection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32" borderId="21" xfId="0" applyFont="1" applyFill="1" applyBorder="1" applyAlignment="1">
      <alignment vertical="center"/>
    </xf>
    <xf numFmtId="49" fontId="14" fillId="34" borderId="21" xfId="0" applyNumberFormat="1" applyFont="1" applyFill="1" applyBorder="1" applyAlignment="1">
      <alignment vertical="center" wrapText="1"/>
    </xf>
    <xf numFmtId="0" fontId="14" fillId="34" borderId="22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27" fillId="0" borderId="0" xfId="0" applyFont="1" applyFill="1" applyAlignment="1">
      <alignment/>
    </xf>
    <xf numFmtId="49" fontId="27" fillId="0" borderId="21" xfId="0" applyNumberFormat="1" applyFont="1" applyBorder="1" applyAlignment="1">
      <alignment/>
    </xf>
    <xf numFmtId="0" fontId="22" fillId="0" borderId="0" xfId="0" applyFont="1" applyFill="1" applyAlignment="1">
      <alignment vertical="center"/>
    </xf>
    <xf numFmtId="3" fontId="14" fillId="0" borderId="0" xfId="61" applyNumberFormat="1" applyFont="1">
      <alignment/>
      <protection/>
    </xf>
    <xf numFmtId="0" fontId="14" fillId="0" borderId="0" xfId="61" applyAlignment="1">
      <alignment/>
      <protection/>
    </xf>
    <xf numFmtId="166" fontId="17" fillId="0" borderId="22" xfId="0" applyNumberFormat="1" applyFont="1" applyBorder="1" applyAlignment="1">
      <alignment vertical="center"/>
    </xf>
    <xf numFmtId="166" fontId="18" fillId="0" borderId="22" xfId="0" applyNumberFormat="1" applyFont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2" fillId="0" borderId="22" xfId="58" applyFont="1" applyBorder="1">
      <alignment/>
      <protection/>
    </xf>
    <xf numFmtId="0" fontId="42" fillId="0" borderId="14" xfId="58" applyFont="1" applyBorder="1" applyAlignment="1">
      <alignment horizontal="left"/>
      <protection/>
    </xf>
    <xf numFmtId="0" fontId="42" fillId="0" borderId="17" xfId="58" applyFont="1" applyBorder="1" applyAlignment="1">
      <alignment horizontal="left"/>
      <protection/>
    </xf>
    <xf numFmtId="3" fontId="42" fillId="0" borderId="22" xfId="58" applyNumberFormat="1" applyFont="1" applyBorder="1">
      <alignment/>
      <protection/>
    </xf>
    <xf numFmtId="3" fontId="20" fillId="0" borderId="22" xfId="58" applyNumberFormat="1" applyFont="1" applyBorder="1">
      <alignment/>
      <protection/>
    </xf>
    <xf numFmtId="0" fontId="19" fillId="0" borderId="0" xfId="0" applyFont="1" applyAlignment="1">
      <alignment/>
    </xf>
    <xf numFmtId="0" fontId="43" fillId="0" borderId="22" xfId="58" applyFont="1" applyBorder="1">
      <alignment/>
      <protection/>
    </xf>
    <xf numFmtId="3" fontId="43" fillId="0" borderId="22" xfId="58" applyNumberFormat="1" applyFont="1" applyBorder="1">
      <alignment/>
      <protection/>
    </xf>
    <xf numFmtId="0" fontId="44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42" fillId="0" borderId="0" xfId="58" applyFont="1" applyFill="1" applyAlignment="1">
      <alignment horizontal="center" vertical="center"/>
      <protection/>
    </xf>
    <xf numFmtId="0" fontId="19" fillId="0" borderId="0" xfId="58" applyFont="1" applyFill="1" applyAlignment="1">
      <alignment vertical="center"/>
      <protection/>
    </xf>
    <xf numFmtId="0" fontId="21" fillId="0" borderId="22" xfId="0" applyFont="1" applyFill="1" applyBorder="1" applyAlignment="1">
      <alignment horizontal="center" vertical="center" wrapText="1"/>
    </xf>
    <xf numFmtId="0" fontId="21" fillId="0" borderId="22" xfId="58" applyFont="1" applyFill="1" applyBorder="1" applyAlignment="1">
      <alignment horizontal="center" vertical="center" wrapText="1"/>
      <protection/>
    </xf>
    <xf numFmtId="0" fontId="17" fillId="0" borderId="14" xfId="58" applyFont="1" applyFill="1" applyBorder="1" applyAlignment="1">
      <alignment horizontal="center" vertical="center" wrapText="1"/>
      <protection/>
    </xf>
    <xf numFmtId="0" fontId="17" fillId="0" borderId="22" xfId="58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20" fillId="0" borderId="22" xfId="58" applyFont="1" applyBorder="1">
      <alignment/>
      <protection/>
    </xf>
    <xf numFmtId="3" fontId="47" fillId="0" borderId="22" xfId="58" applyNumberFormat="1" applyFont="1" applyBorder="1">
      <alignment/>
      <protection/>
    </xf>
    <xf numFmtId="0" fontId="48" fillId="0" borderId="22" xfId="58" applyFont="1" applyBorder="1">
      <alignment/>
      <protection/>
    </xf>
    <xf numFmtId="0" fontId="48" fillId="0" borderId="22" xfId="58" applyFont="1" applyBorder="1" applyAlignment="1">
      <alignment horizontal="left"/>
      <protection/>
    </xf>
    <xf numFmtId="3" fontId="48" fillId="0" borderId="22" xfId="58" applyNumberFormat="1" applyFont="1" applyBorder="1">
      <alignment/>
      <protection/>
    </xf>
    <xf numFmtId="0" fontId="19" fillId="0" borderId="22" xfId="58" applyFont="1" applyBorder="1">
      <alignment/>
      <protection/>
    </xf>
    <xf numFmtId="0" fontId="48" fillId="0" borderId="22" xfId="58" applyFont="1" applyBorder="1" applyAlignment="1">
      <alignment horizontal="right"/>
      <protection/>
    </xf>
    <xf numFmtId="0" fontId="48" fillId="0" borderId="14" xfId="58" applyFont="1" applyBorder="1" applyAlignment="1">
      <alignment horizontal="left"/>
      <protection/>
    </xf>
    <xf numFmtId="0" fontId="48" fillId="0" borderId="17" xfId="58" applyFont="1" applyBorder="1" applyAlignment="1">
      <alignment horizontal="left"/>
      <protection/>
    </xf>
    <xf numFmtId="0" fontId="19" fillId="0" borderId="14" xfId="58" applyFont="1" applyBorder="1">
      <alignment/>
      <protection/>
    </xf>
    <xf numFmtId="0" fontId="19" fillId="0" borderId="0" xfId="58" applyFont="1">
      <alignment/>
      <protection/>
    </xf>
    <xf numFmtId="3" fontId="20" fillId="0" borderId="14" xfId="58" applyNumberFormat="1" applyFont="1" applyBorder="1">
      <alignment/>
      <protection/>
    </xf>
    <xf numFmtId="3" fontId="19" fillId="0" borderId="16" xfId="58" applyNumberFormat="1" applyFont="1" applyBorder="1">
      <alignment/>
      <protection/>
    </xf>
    <xf numFmtId="3" fontId="20" fillId="0" borderId="17" xfId="58" applyNumberFormat="1" applyFont="1" applyBorder="1">
      <alignment/>
      <protection/>
    </xf>
    <xf numFmtId="3" fontId="16" fillId="0" borderId="22" xfId="58" applyNumberFormat="1" applyFont="1" applyBorder="1">
      <alignment/>
      <protection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/>
    </xf>
    <xf numFmtId="3" fontId="49" fillId="0" borderId="22" xfId="0" applyNumberFormat="1" applyFont="1" applyBorder="1" applyAlignment="1">
      <alignment/>
    </xf>
    <xf numFmtId="0" fontId="50" fillId="0" borderId="0" xfId="0" applyFont="1" applyAlignment="1">
      <alignment/>
    </xf>
    <xf numFmtId="0" fontId="42" fillId="0" borderId="22" xfId="0" applyFont="1" applyBorder="1" applyAlignment="1">
      <alignment/>
    </xf>
    <xf numFmtId="3" fontId="42" fillId="0" borderId="22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0" fontId="43" fillId="0" borderId="22" xfId="0" applyFont="1" applyBorder="1" applyAlignment="1">
      <alignment/>
    </xf>
    <xf numFmtId="3" fontId="43" fillId="0" borderId="22" xfId="0" applyNumberFormat="1" applyFont="1" applyBorder="1" applyAlignment="1">
      <alignment/>
    </xf>
    <xf numFmtId="3" fontId="47" fillId="0" borderId="22" xfId="0" applyNumberFormat="1" applyFont="1" applyBorder="1" applyAlignment="1">
      <alignment/>
    </xf>
    <xf numFmtId="0" fontId="51" fillId="0" borderId="22" xfId="0" applyFont="1" applyBorder="1" applyAlignment="1">
      <alignment/>
    </xf>
    <xf numFmtId="0" fontId="19" fillId="0" borderId="22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22" xfId="0" applyFont="1" applyBorder="1" applyAlignment="1">
      <alignment horizontal="left"/>
    </xf>
    <xf numFmtId="3" fontId="48" fillId="0" borderId="22" xfId="0" applyNumberFormat="1" applyFont="1" applyBorder="1" applyAlignment="1">
      <alignment/>
    </xf>
    <xf numFmtId="3" fontId="52" fillId="0" borderId="22" xfId="0" applyNumberFormat="1" applyFont="1" applyBorder="1" applyAlignment="1">
      <alignment/>
    </xf>
    <xf numFmtId="0" fontId="48" fillId="0" borderId="22" xfId="0" applyFont="1" applyFill="1" applyBorder="1" applyAlignment="1">
      <alignment/>
    </xf>
    <xf numFmtId="0" fontId="48" fillId="0" borderId="22" xfId="0" applyFont="1" applyFill="1" applyBorder="1" applyAlignment="1">
      <alignment horizontal="left"/>
    </xf>
    <xf numFmtId="0" fontId="23" fillId="0" borderId="22" xfId="0" applyFont="1" applyBorder="1" applyAlignment="1">
      <alignment/>
    </xf>
    <xf numFmtId="0" fontId="48" fillId="0" borderId="22" xfId="0" applyFont="1" applyBorder="1" applyAlignment="1">
      <alignment horizontal="left" vertical="center" wrapText="1"/>
    </xf>
    <xf numFmtId="3" fontId="48" fillId="35" borderId="22" xfId="0" applyNumberFormat="1" applyFont="1" applyFill="1" applyBorder="1" applyAlignment="1">
      <alignment/>
    </xf>
    <xf numFmtId="0" fontId="48" fillId="0" borderId="22" xfId="0" applyFont="1" applyBorder="1" applyAlignment="1">
      <alignment horizontal="left" vertical="top"/>
    </xf>
    <xf numFmtId="0" fontId="48" fillId="0" borderId="22" xfId="0" applyFont="1" applyBorder="1" applyAlignment="1">
      <alignment horizontal="left" wrapText="1"/>
    </xf>
    <xf numFmtId="3" fontId="48" fillId="0" borderId="32" xfId="0" applyNumberFormat="1" applyFont="1" applyFill="1" applyBorder="1" applyAlignment="1">
      <alignment/>
    </xf>
    <xf numFmtId="0" fontId="53" fillId="0" borderId="22" xfId="0" applyFont="1" applyBorder="1" applyAlignment="1">
      <alignment/>
    </xf>
    <xf numFmtId="3" fontId="53" fillId="0" borderId="22" xfId="0" applyNumberFormat="1" applyFont="1" applyBorder="1" applyAlignment="1">
      <alignment/>
    </xf>
    <xf numFmtId="3" fontId="54" fillId="0" borderId="22" xfId="0" applyNumberFormat="1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22" xfId="0" applyFont="1" applyBorder="1" applyAlignment="1">
      <alignment horizontal="right"/>
    </xf>
    <xf numFmtId="3" fontId="55" fillId="0" borderId="22" xfId="0" applyNumberFormat="1" applyFont="1" applyBorder="1" applyAlignment="1">
      <alignment/>
    </xf>
    <xf numFmtId="3" fontId="56" fillId="0" borderId="22" xfId="0" applyNumberFormat="1" applyFont="1" applyBorder="1" applyAlignment="1">
      <alignment/>
    </xf>
    <xf numFmtId="0" fontId="23" fillId="0" borderId="0" xfId="0" applyFont="1" applyAlignment="1">
      <alignment/>
    </xf>
    <xf numFmtId="3" fontId="20" fillId="0" borderId="22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6" fillId="0" borderId="22" xfId="0" applyNumberFormat="1" applyFont="1" applyBorder="1" applyAlignment="1">
      <alignment/>
    </xf>
    <xf numFmtId="0" fontId="15" fillId="0" borderId="0" xfId="0" applyFont="1" applyAlignment="1">
      <alignment/>
    </xf>
    <xf numFmtId="0" fontId="57" fillId="0" borderId="22" xfId="58" applyFont="1" applyBorder="1" applyAlignment="1">
      <alignment horizontal="left"/>
      <protection/>
    </xf>
    <xf numFmtId="49" fontId="42" fillId="0" borderId="0" xfId="60" applyNumberFormat="1" applyFont="1" applyFill="1" applyAlignment="1">
      <alignment horizontal="center" vertical="center"/>
      <protection/>
    </xf>
    <xf numFmtId="0" fontId="42" fillId="0" borderId="0" xfId="60" applyFont="1" applyFill="1" applyAlignment="1">
      <alignment vertical="center"/>
      <protection/>
    </xf>
    <xf numFmtId="0" fontId="58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horizontal="left" vertical="center"/>
      <protection/>
    </xf>
    <xf numFmtId="0" fontId="19" fillId="0" borderId="0" xfId="60" applyFont="1" applyAlignment="1">
      <alignment horizontal="left"/>
      <protection/>
    </xf>
    <xf numFmtId="0" fontId="20" fillId="0" borderId="0" xfId="60" applyFont="1" applyFill="1" applyAlignment="1">
      <alignment vertical="center"/>
      <protection/>
    </xf>
    <xf numFmtId="0" fontId="20" fillId="0" borderId="0" xfId="60" applyFont="1" applyFill="1" applyAlignment="1">
      <alignment horizontal="left" vertical="center"/>
      <protection/>
    </xf>
    <xf numFmtId="0" fontId="43" fillId="0" borderId="33" xfId="60" applyFont="1" applyFill="1" applyBorder="1" applyAlignment="1">
      <alignment horizontal="center" vertical="center"/>
      <protection/>
    </xf>
    <xf numFmtId="0" fontId="21" fillId="0" borderId="29" xfId="60" applyFont="1" applyFill="1" applyBorder="1" applyAlignment="1">
      <alignment horizontal="center" vertical="center" wrapText="1"/>
      <protection/>
    </xf>
    <xf numFmtId="0" fontId="21" fillId="0" borderId="18" xfId="60" applyFont="1" applyFill="1" applyBorder="1" applyAlignment="1">
      <alignment horizontal="center" vertical="center" wrapText="1"/>
      <protection/>
    </xf>
    <xf numFmtId="0" fontId="21" fillId="0" borderId="34" xfId="60" applyFont="1" applyFill="1" applyBorder="1" applyAlignment="1">
      <alignment horizontal="center" vertical="center" wrapText="1"/>
      <protection/>
    </xf>
    <xf numFmtId="0" fontId="21" fillId="0" borderId="20" xfId="60" applyFont="1" applyFill="1" applyBorder="1" applyAlignment="1">
      <alignment horizontal="center" vertical="center" wrapText="1"/>
      <protection/>
    </xf>
    <xf numFmtId="49" fontId="42" fillId="0" borderId="35" xfId="60" applyNumberFormat="1" applyFont="1" applyFill="1" applyBorder="1" applyAlignment="1">
      <alignment horizontal="center" vertical="center"/>
      <protection/>
    </xf>
    <xf numFmtId="0" fontId="21" fillId="0" borderId="36" xfId="60" applyFont="1" applyFill="1" applyBorder="1" applyAlignment="1">
      <alignment vertical="center" wrapText="1"/>
      <protection/>
    </xf>
    <xf numFmtId="3" fontId="43" fillId="0" borderId="10" xfId="60" applyNumberFormat="1" applyFont="1" applyFill="1" applyBorder="1" applyAlignment="1">
      <alignment vertical="center" wrapText="1"/>
      <protection/>
    </xf>
    <xf numFmtId="3" fontId="43" fillId="0" borderId="37" xfId="60" applyNumberFormat="1" applyFont="1" applyFill="1" applyBorder="1" applyAlignment="1">
      <alignment vertical="center" wrapText="1"/>
      <protection/>
    </xf>
    <xf numFmtId="3" fontId="43" fillId="0" borderId="38" xfId="60" applyNumberFormat="1" applyFont="1" applyFill="1" applyBorder="1" applyAlignment="1">
      <alignment vertical="center" wrapText="1"/>
      <protection/>
    </xf>
    <xf numFmtId="3" fontId="43" fillId="0" borderId="23" xfId="60" applyNumberFormat="1" applyFont="1" applyFill="1" applyBorder="1" applyAlignment="1">
      <alignment vertical="center" wrapText="1"/>
      <protection/>
    </xf>
    <xf numFmtId="3" fontId="43" fillId="0" borderId="39" xfId="60" applyNumberFormat="1" applyFont="1" applyFill="1" applyBorder="1" applyAlignment="1">
      <alignment vertical="center" wrapText="1"/>
      <protection/>
    </xf>
    <xf numFmtId="3" fontId="42" fillId="0" borderId="39" xfId="60" applyNumberFormat="1" applyFont="1" applyFill="1" applyBorder="1" applyAlignment="1">
      <alignment vertical="center"/>
      <protection/>
    </xf>
    <xf numFmtId="3" fontId="42" fillId="0" borderId="38" xfId="60" applyNumberFormat="1" applyFont="1" applyFill="1" applyBorder="1" applyAlignment="1">
      <alignment vertical="center"/>
      <protection/>
    </xf>
    <xf numFmtId="3" fontId="21" fillId="0" borderId="31" xfId="60" applyNumberFormat="1" applyFont="1" applyFill="1" applyBorder="1" applyAlignment="1">
      <alignment vertical="center"/>
      <protection/>
    </xf>
    <xf numFmtId="49" fontId="42" fillId="0" borderId="37" xfId="60" applyNumberFormat="1" applyFont="1" applyFill="1" applyBorder="1" applyAlignment="1">
      <alignment horizontal="center" vertical="center"/>
      <protection/>
    </xf>
    <xf numFmtId="3" fontId="43" fillId="0" borderId="40" xfId="60" applyNumberFormat="1" applyFont="1" applyFill="1" applyBorder="1" applyAlignment="1">
      <alignment vertical="center" wrapText="1"/>
      <protection/>
    </xf>
    <xf numFmtId="0" fontId="21" fillId="0" borderId="14" xfId="60" applyFont="1" applyFill="1" applyBorder="1" applyAlignment="1">
      <alignment vertical="center" wrapText="1"/>
      <protection/>
    </xf>
    <xf numFmtId="3" fontId="59" fillId="0" borderId="23" xfId="60" applyNumberFormat="1" applyFont="1" applyFill="1" applyBorder="1" applyAlignment="1">
      <alignment vertical="center"/>
      <protection/>
    </xf>
    <xf numFmtId="49" fontId="42" fillId="0" borderId="21" xfId="60" applyNumberFormat="1" applyFont="1" applyFill="1" applyBorder="1" applyAlignment="1">
      <alignment horizontal="center" vertical="center"/>
      <protection/>
    </xf>
    <xf numFmtId="3" fontId="43" fillId="0" borderId="21" xfId="60" applyNumberFormat="1" applyFont="1" applyFill="1" applyBorder="1" applyAlignment="1">
      <alignment vertical="center" wrapText="1"/>
      <protection/>
    </xf>
    <xf numFmtId="3" fontId="43" fillId="0" borderId="22" xfId="60" applyNumberFormat="1" applyFont="1" applyFill="1" applyBorder="1" applyAlignment="1">
      <alignment vertical="center" wrapText="1"/>
      <protection/>
    </xf>
    <xf numFmtId="3" fontId="43" fillId="0" borderId="17" xfId="60" applyNumberFormat="1" applyFont="1" applyFill="1" applyBorder="1" applyAlignment="1">
      <alignment vertical="center" wrapText="1"/>
      <protection/>
    </xf>
    <xf numFmtId="3" fontId="42" fillId="0" borderId="17" xfId="60" applyNumberFormat="1" applyFont="1" applyFill="1" applyBorder="1" applyAlignment="1">
      <alignment vertical="center"/>
      <protection/>
    </xf>
    <xf numFmtId="3" fontId="42" fillId="0" borderId="22" xfId="60" applyNumberFormat="1" applyFont="1" applyFill="1" applyBorder="1" applyAlignment="1">
      <alignment vertical="center"/>
      <protection/>
    </xf>
    <xf numFmtId="0" fontId="21" fillId="0" borderId="15" xfId="60" applyFont="1" applyFill="1" applyBorder="1" applyAlignment="1">
      <alignment vertical="center" wrapText="1"/>
      <protection/>
    </xf>
    <xf numFmtId="3" fontId="43" fillId="0" borderId="23" xfId="60" applyNumberFormat="1" applyFont="1" applyFill="1" applyBorder="1" applyAlignment="1">
      <alignment vertical="center"/>
      <protection/>
    </xf>
    <xf numFmtId="3" fontId="43" fillId="0" borderId="17" xfId="60" applyNumberFormat="1" applyFont="1" applyFill="1" applyBorder="1" applyAlignment="1">
      <alignment horizontal="right" vertical="center" wrapText="1"/>
      <protection/>
    </xf>
    <xf numFmtId="3" fontId="43" fillId="0" borderId="23" xfId="60" applyNumberFormat="1" applyFont="1" applyFill="1" applyBorder="1" applyAlignment="1">
      <alignment horizontal="left" vertical="center" wrapText="1"/>
      <protection/>
    </xf>
    <xf numFmtId="3" fontId="43" fillId="0" borderId="21" xfId="60" applyNumberFormat="1" applyFont="1" applyFill="1" applyBorder="1" applyAlignment="1">
      <alignment vertical="center"/>
      <protection/>
    </xf>
    <xf numFmtId="3" fontId="43" fillId="0" borderId="22" xfId="60" applyNumberFormat="1" applyFont="1" applyFill="1" applyBorder="1" applyAlignment="1">
      <alignment vertical="center"/>
      <protection/>
    </xf>
    <xf numFmtId="3" fontId="43" fillId="0" borderId="17" xfId="60" applyNumberFormat="1" applyFont="1" applyFill="1" applyBorder="1" applyAlignment="1">
      <alignment vertical="center"/>
      <protection/>
    </xf>
    <xf numFmtId="3" fontId="43" fillId="35" borderId="40" xfId="60" applyNumberFormat="1" applyFont="1" applyFill="1" applyBorder="1" applyAlignment="1">
      <alignment vertical="center" wrapText="1"/>
      <protection/>
    </xf>
    <xf numFmtId="0" fontId="21" fillId="0" borderId="14" xfId="60" applyFont="1" applyFill="1" applyBorder="1" applyAlignment="1">
      <alignment horizontal="left" vertical="center" wrapText="1"/>
      <protection/>
    </xf>
    <xf numFmtId="3" fontId="59" fillId="0" borderId="22" xfId="60" applyNumberFormat="1" applyFont="1" applyFill="1" applyBorder="1" applyAlignment="1">
      <alignment vertical="center"/>
      <protection/>
    </xf>
    <xf numFmtId="3" fontId="57" fillId="0" borderId="17" xfId="60" applyNumberFormat="1" applyFont="1" applyFill="1" applyBorder="1" applyAlignment="1">
      <alignment vertical="center"/>
      <protection/>
    </xf>
    <xf numFmtId="3" fontId="59" fillId="0" borderId="17" xfId="60" applyNumberFormat="1" applyFont="1" applyFill="1" applyBorder="1" applyAlignment="1">
      <alignment vertical="center"/>
      <protection/>
    </xf>
    <xf numFmtId="3" fontId="53" fillId="0" borderId="34" xfId="60" applyNumberFormat="1" applyFont="1" applyFill="1" applyBorder="1" applyAlignment="1">
      <alignment vertical="center"/>
      <protection/>
    </xf>
    <xf numFmtId="3" fontId="43" fillId="0" borderId="35" xfId="60" applyNumberFormat="1" applyFont="1" applyFill="1" applyBorder="1" applyAlignment="1">
      <alignment vertical="center" wrapText="1"/>
      <protection/>
    </xf>
    <xf numFmtId="3" fontId="43" fillId="0" borderId="36" xfId="60" applyNumberFormat="1" applyFont="1" applyFill="1" applyBorder="1" applyAlignment="1">
      <alignment vertical="center" wrapText="1"/>
      <protection/>
    </xf>
    <xf numFmtId="0" fontId="21" fillId="0" borderId="22" xfId="60" applyFont="1" applyFill="1" applyBorder="1" applyAlignment="1">
      <alignment vertical="center" wrapText="1"/>
      <protection/>
    </xf>
    <xf numFmtId="3" fontId="43" fillId="0" borderId="11" xfId="60" applyNumberFormat="1" applyFont="1" applyFill="1" applyBorder="1" applyAlignment="1">
      <alignment vertical="center" wrapText="1"/>
      <protection/>
    </xf>
    <xf numFmtId="3" fontId="24" fillId="0" borderId="41" xfId="60" applyNumberFormat="1" applyFont="1" applyFill="1" applyBorder="1" applyAlignment="1">
      <alignment vertical="center"/>
      <protection/>
    </xf>
    <xf numFmtId="3" fontId="24" fillId="0" borderId="42" xfId="60" applyNumberFormat="1" applyFont="1" applyFill="1" applyBorder="1" applyAlignment="1">
      <alignment vertical="center"/>
      <protection/>
    </xf>
    <xf numFmtId="3" fontId="43" fillId="0" borderId="43" xfId="60" applyNumberFormat="1" applyFont="1" applyFill="1" applyBorder="1" applyAlignment="1">
      <alignment vertical="center" wrapText="1"/>
      <protection/>
    </xf>
    <xf numFmtId="0" fontId="21" fillId="0" borderId="44" xfId="60" applyFont="1" applyFill="1" applyBorder="1" applyAlignment="1">
      <alignment vertical="center" wrapText="1"/>
      <protection/>
    </xf>
    <xf numFmtId="3" fontId="43" fillId="0" borderId="45" xfId="60" applyNumberFormat="1" applyFont="1" applyFill="1" applyBorder="1" applyAlignment="1">
      <alignment vertical="center" wrapText="1"/>
      <protection/>
    </xf>
    <xf numFmtId="3" fontId="43" fillId="0" borderId="44" xfId="60" applyNumberFormat="1" applyFont="1" applyFill="1" applyBorder="1" applyAlignment="1">
      <alignment vertical="center" wrapText="1"/>
      <protection/>
    </xf>
    <xf numFmtId="3" fontId="24" fillId="0" borderId="46" xfId="60" applyNumberFormat="1" applyFont="1" applyFill="1" applyBorder="1" applyAlignment="1">
      <alignment horizontal="right" vertical="center"/>
      <protection/>
    </xf>
    <xf numFmtId="3" fontId="60" fillId="0" borderId="26" xfId="60" applyNumberFormat="1" applyFont="1" applyFill="1" applyBorder="1" applyAlignment="1">
      <alignment vertical="center"/>
      <protection/>
    </xf>
    <xf numFmtId="3" fontId="60" fillId="0" borderId="33" xfId="60" applyNumberFormat="1" applyFont="1" applyFill="1" applyBorder="1" applyAlignment="1">
      <alignment vertical="center"/>
      <protection/>
    </xf>
    <xf numFmtId="3" fontId="60" fillId="0" borderId="42" xfId="60" applyNumberFormat="1" applyFont="1" applyFill="1" applyBorder="1" applyAlignment="1">
      <alignment vertical="center"/>
      <protection/>
    </xf>
    <xf numFmtId="166" fontId="7" fillId="0" borderId="23" xfId="0" applyNumberFormat="1" applyFont="1" applyFill="1" applyBorder="1" applyAlignment="1">
      <alignment vertical="center"/>
    </xf>
    <xf numFmtId="166" fontId="8" fillId="0" borderId="23" xfId="0" applyNumberFormat="1" applyFont="1" applyFill="1" applyBorder="1" applyAlignment="1">
      <alignment vertical="center"/>
    </xf>
    <xf numFmtId="166" fontId="8" fillId="0" borderId="23" xfId="0" applyNumberFormat="1" applyFont="1" applyFill="1" applyBorder="1" applyAlignment="1">
      <alignment vertical="center"/>
    </xf>
    <xf numFmtId="166" fontId="7" fillId="0" borderId="47" xfId="0" applyNumberFormat="1" applyFont="1" applyFill="1" applyBorder="1" applyAlignment="1">
      <alignment vertical="center"/>
    </xf>
    <xf numFmtId="166" fontId="8" fillId="0" borderId="40" xfId="0" applyNumberFormat="1" applyFont="1" applyFill="1" applyBorder="1" applyAlignment="1">
      <alignment horizontal="right" vertical="center"/>
    </xf>
    <xf numFmtId="166" fontId="7" fillId="0" borderId="48" xfId="0" applyNumberFormat="1" applyFont="1" applyFill="1" applyBorder="1" applyAlignment="1">
      <alignment vertical="center"/>
    </xf>
    <xf numFmtId="166" fontId="7" fillId="0" borderId="13" xfId="0" applyNumberFormat="1" applyFont="1" applyFill="1" applyBorder="1" applyAlignment="1">
      <alignment vertical="center"/>
    </xf>
    <xf numFmtId="3" fontId="43" fillId="0" borderId="43" xfId="60" applyNumberFormat="1" applyFont="1" applyFill="1" applyBorder="1" applyAlignment="1">
      <alignment vertical="center"/>
      <protection/>
    </xf>
    <xf numFmtId="0" fontId="19" fillId="0" borderId="0" xfId="0" applyFont="1" applyBorder="1" applyAlignment="1">
      <alignment/>
    </xf>
    <xf numFmtId="0" fontId="19" fillId="0" borderId="49" xfId="0" applyFont="1" applyBorder="1" applyAlignment="1">
      <alignment/>
    </xf>
    <xf numFmtId="0" fontId="20" fillId="0" borderId="50" xfId="59" applyFont="1" applyBorder="1" applyAlignment="1">
      <alignment horizontal="center"/>
      <protection/>
    </xf>
    <xf numFmtId="0" fontId="20" fillId="0" borderId="51" xfId="60" applyFont="1" applyFill="1" applyBorder="1" applyAlignment="1">
      <alignment horizontal="center" vertical="center" wrapText="1"/>
      <protection/>
    </xf>
    <xf numFmtId="0" fontId="23" fillId="0" borderId="52" xfId="59" applyFont="1" applyBorder="1">
      <alignment/>
      <protection/>
    </xf>
    <xf numFmtId="0" fontId="23" fillId="0" borderId="0" xfId="59" applyFont="1" applyBorder="1">
      <alignment/>
      <protection/>
    </xf>
    <xf numFmtId="0" fontId="23" fillId="0" borderId="53" xfId="59" applyFont="1" applyBorder="1">
      <alignment/>
      <protection/>
    </xf>
    <xf numFmtId="0" fontId="23" fillId="0" borderId="54" xfId="59" applyFont="1" applyBorder="1">
      <alignment/>
      <protection/>
    </xf>
    <xf numFmtId="0" fontId="23" fillId="0" borderId="55" xfId="59" applyFont="1" applyBorder="1">
      <alignment/>
      <protection/>
    </xf>
    <xf numFmtId="3" fontId="23" fillId="0" borderId="0" xfId="59" applyNumberFormat="1" applyFont="1" applyBorder="1">
      <alignment/>
      <protection/>
    </xf>
    <xf numFmtId="3" fontId="23" fillId="0" borderId="56" xfId="59" applyNumberFormat="1" applyFont="1" applyBorder="1">
      <alignment/>
      <protection/>
    </xf>
    <xf numFmtId="0" fontId="23" fillId="0" borderId="0" xfId="59" applyFont="1" applyBorder="1" applyAlignment="1">
      <alignment horizontal="left"/>
      <protection/>
    </xf>
    <xf numFmtId="3" fontId="16" fillId="0" borderId="57" xfId="59" applyNumberFormat="1" applyFont="1" applyBorder="1" applyAlignment="1">
      <alignment horizontal="right" vertical="center"/>
      <protection/>
    </xf>
    <xf numFmtId="3" fontId="16" fillId="0" borderId="32" xfId="59" applyNumberFormat="1" applyFont="1" applyBorder="1" applyAlignment="1">
      <alignment horizontal="right" vertical="center"/>
      <protection/>
    </xf>
    <xf numFmtId="3" fontId="16" fillId="0" borderId="0" xfId="59" applyNumberFormat="1" applyFont="1" applyBorder="1" applyAlignment="1">
      <alignment horizontal="right" vertical="center"/>
      <protection/>
    </xf>
    <xf numFmtId="0" fontId="16" fillId="0" borderId="57" xfId="60" applyFont="1" applyFill="1" applyBorder="1" applyAlignment="1">
      <alignment horizontal="center" vertical="center" wrapText="1"/>
      <protection/>
    </xf>
    <xf numFmtId="0" fontId="16" fillId="0" borderId="32" xfId="60" applyFont="1" applyFill="1" applyBorder="1" applyAlignment="1">
      <alignment horizontal="center" vertical="center" wrapText="1"/>
      <protection/>
    </xf>
    <xf numFmtId="0" fontId="16" fillId="0" borderId="58" xfId="60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/>
    </xf>
    <xf numFmtId="3" fontId="16" fillId="0" borderId="52" xfId="59" applyNumberFormat="1" applyFont="1" applyBorder="1" applyAlignment="1">
      <alignment horizontal="right" vertical="center"/>
      <protection/>
    </xf>
    <xf numFmtId="3" fontId="23" fillId="0" borderId="59" xfId="59" applyNumberFormat="1" applyFont="1" applyBorder="1">
      <alignment/>
      <protection/>
    </xf>
    <xf numFmtId="0" fontId="23" fillId="0" borderId="32" xfId="59" applyFont="1" applyBorder="1">
      <alignment/>
      <protection/>
    </xf>
    <xf numFmtId="0" fontId="60" fillId="0" borderId="55" xfId="59" applyFont="1" applyBorder="1" applyAlignment="1">
      <alignment horizontal="right" vertical="center"/>
      <protection/>
    </xf>
    <xf numFmtId="0" fontId="24" fillId="0" borderId="52" xfId="59" applyFont="1" applyBorder="1" applyAlignment="1">
      <alignment horizontal="right"/>
      <protection/>
    </xf>
    <xf numFmtId="0" fontId="24" fillId="0" borderId="0" xfId="59" applyFont="1" applyBorder="1" applyAlignment="1">
      <alignment horizontal="right"/>
      <protection/>
    </xf>
    <xf numFmtId="0" fontId="24" fillId="0" borderId="54" xfId="59" applyFont="1" applyBorder="1" applyAlignment="1">
      <alignment horizontal="right"/>
      <protection/>
    </xf>
    <xf numFmtId="3" fontId="20" fillId="0" borderId="54" xfId="59" applyNumberFormat="1" applyFont="1" applyBorder="1" applyAlignment="1">
      <alignment horizontal="right"/>
      <protection/>
    </xf>
    <xf numFmtId="3" fontId="20" fillId="0" borderId="0" xfId="59" applyNumberFormat="1" applyFont="1" applyBorder="1">
      <alignment/>
      <protection/>
    </xf>
    <xf numFmtId="3" fontId="20" fillId="0" borderId="55" xfId="59" applyNumberFormat="1" applyFont="1" applyBorder="1">
      <alignment/>
      <protection/>
    </xf>
    <xf numFmtId="3" fontId="60" fillId="0" borderId="52" xfId="59" applyNumberFormat="1" applyFont="1" applyBorder="1" applyAlignment="1">
      <alignment horizontal="right" vertical="center"/>
      <protection/>
    </xf>
    <xf numFmtId="3" fontId="60" fillId="0" borderId="32" xfId="59" applyNumberFormat="1" applyFont="1" applyBorder="1" applyAlignment="1">
      <alignment horizontal="right" vertical="center"/>
      <protection/>
    </xf>
    <xf numFmtId="3" fontId="23" fillId="0" borderId="52" xfId="59" applyNumberFormat="1" applyFont="1" applyBorder="1">
      <alignment/>
      <protection/>
    </xf>
    <xf numFmtId="3" fontId="23" fillId="0" borderId="32" xfId="59" applyNumberFormat="1" applyFont="1" applyBorder="1">
      <alignment/>
      <protection/>
    </xf>
    <xf numFmtId="3" fontId="60" fillId="0" borderId="55" xfId="59" applyNumberFormat="1" applyFont="1" applyBorder="1" applyAlignment="1">
      <alignment horizontal="right" vertical="center"/>
      <protection/>
    </xf>
    <xf numFmtId="0" fontId="23" fillId="0" borderId="52" xfId="59" applyFont="1" applyBorder="1" applyAlignment="1">
      <alignment horizontal="right"/>
      <protection/>
    </xf>
    <xf numFmtId="0" fontId="23" fillId="0" borderId="0" xfId="59" applyFont="1" applyBorder="1" applyAlignment="1">
      <alignment horizontal="right"/>
      <protection/>
    </xf>
    <xf numFmtId="0" fontId="23" fillId="0" borderId="54" xfId="59" applyFont="1" applyBorder="1" applyAlignment="1">
      <alignment horizontal="right"/>
      <protection/>
    </xf>
    <xf numFmtId="0" fontId="60" fillId="0" borderId="55" xfId="59" applyFont="1" applyBorder="1">
      <alignment/>
      <protection/>
    </xf>
    <xf numFmtId="3" fontId="23" fillId="0" borderId="60" xfId="59" applyNumberFormat="1" applyFont="1" applyBorder="1">
      <alignment/>
      <protection/>
    </xf>
    <xf numFmtId="3" fontId="60" fillId="0" borderId="52" xfId="59" applyNumberFormat="1" applyFont="1" applyBorder="1">
      <alignment/>
      <protection/>
    </xf>
    <xf numFmtId="3" fontId="60" fillId="0" borderId="32" xfId="59" applyNumberFormat="1" applyFont="1" applyBorder="1">
      <alignment/>
      <protection/>
    </xf>
    <xf numFmtId="3" fontId="60" fillId="0" borderId="59" xfId="59" applyNumberFormat="1" applyFont="1" applyBorder="1">
      <alignment/>
      <protection/>
    </xf>
    <xf numFmtId="3" fontId="60" fillId="0" borderId="55" xfId="59" applyNumberFormat="1" applyFont="1" applyBorder="1">
      <alignment/>
      <protection/>
    </xf>
    <xf numFmtId="0" fontId="19" fillId="0" borderId="52" xfId="59" applyFont="1" applyBorder="1" applyAlignment="1">
      <alignment horizontal="right"/>
      <protection/>
    </xf>
    <xf numFmtId="0" fontId="19" fillId="0" borderId="0" xfId="59" applyFont="1" applyBorder="1" applyAlignment="1">
      <alignment horizontal="right"/>
      <protection/>
    </xf>
    <xf numFmtId="0" fontId="19" fillId="0" borderId="54" xfId="59" applyFont="1" applyBorder="1" applyAlignment="1">
      <alignment horizontal="right"/>
      <protection/>
    </xf>
    <xf numFmtId="0" fontId="19" fillId="0" borderId="0" xfId="59" applyFont="1" applyBorder="1">
      <alignment/>
      <protection/>
    </xf>
    <xf numFmtId="0" fontId="19" fillId="0" borderId="55" xfId="59" applyFont="1" applyBorder="1">
      <alignment/>
      <protection/>
    </xf>
    <xf numFmtId="3" fontId="61" fillId="0" borderId="0" xfId="59" applyNumberFormat="1" applyFont="1" applyBorder="1">
      <alignment/>
      <protection/>
    </xf>
    <xf numFmtId="0" fontId="61" fillId="0" borderId="52" xfId="59" applyFont="1" applyBorder="1" applyAlignment="1">
      <alignment horizontal="left"/>
      <protection/>
    </xf>
    <xf numFmtId="0" fontId="61" fillId="0" borderId="0" xfId="59" applyFont="1" applyBorder="1" applyAlignment="1">
      <alignment horizontal="left"/>
      <protection/>
    </xf>
    <xf numFmtId="3" fontId="23" fillId="0" borderId="61" xfId="59" applyNumberFormat="1" applyFont="1" applyBorder="1">
      <alignment/>
      <protection/>
    </xf>
    <xf numFmtId="0" fontId="61" fillId="0" borderId="0" xfId="59" applyFont="1" applyBorder="1">
      <alignment/>
      <protection/>
    </xf>
    <xf numFmtId="0" fontId="19" fillId="0" borderId="49" xfId="59" applyFont="1" applyBorder="1" applyAlignment="1">
      <alignment horizontal="right"/>
      <protection/>
    </xf>
    <xf numFmtId="0" fontId="19" fillId="0" borderId="62" xfId="59" applyFont="1" applyBorder="1" applyAlignment="1">
      <alignment horizontal="right"/>
      <protection/>
    </xf>
    <xf numFmtId="0" fontId="19" fillId="0" borderId="49" xfId="59" applyFont="1" applyBorder="1">
      <alignment/>
      <protection/>
    </xf>
    <xf numFmtId="0" fontId="19" fillId="0" borderId="63" xfId="59" applyFont="1" applyBorder="1">
      <alignment/>
      <protection/>
    </xf>
    <xf numFmtId="0" fontId="23" fillId="0" borderId="49" xfId="59" applyFont="1" applyBorder="1" applyAlignment="1">
      <alignment horizontal="left"/>
      <protection/>
    </xf>
    <xf numFmtId="0" fontId="61" fillId="0" borderId="64" xfId="59" applyFont="1" applyBorder="1" applyAlignment="1">
      <alignment horizontal="left"/>
      <protection/>
    </xf>
    <xf numFmtId="0" fontId="61" fillId="0" borderId="49" xfId="59" applyFont="1" applyBorder="1" applyAlignment="1">
      <alignment horizontal="left"/>
      <protection/>
    </xf>
    <xf numFmtId="3" fontId="61" fillId="0" borderId="49" xfId="59" applyNumberFormat="1" applyFont="1" applyFill="1" applyBorder="1">
      <alignment/>
      <protection/>
    </xf>
    <xf numFmtId="3" fontId="16" fillId="0" borderId="64" xfId="59" applyNumberFormat="1" applyFont="1" applyBorder="1" applyAlignment="1">
      <alignment horizontal="right" vertical="center"/>
      <protection/>
    </xf>
    <xf numFmtId="3" fontId="60" fillId="0" borderId="65" xfId="59" applyNumberFormat="1" applyFont="1" applyBorder="1" applyAlignment="1">
      <alignment horizontal="right" vertical="center"/>
      <protection/>
    </xf>
    <xf numFmtId="3" fontId="60" fillId="0" borderId="66" xfId="59" applyNumberFormat="1" applyFont="1" applyBorder="1" applyAlignment="1">
      <alignment horizontal="right" vertical="center"/>
      <protection/>
    </xf>
    <xf numFmtId="3" fontId="23" fillId="0" borderId="67" xfId="59" applyNumberFormat="1" applyFont="1" applyBorder="1">
      <alignment/>
      <protection/>
    </xf>
    <xf numFmtId="3" fontId="23" fillId="0" borderId="65" xfId="59" applyNumberFormat="1" applyFont="1" applyBorder="1">
      <alignment/>
      <protection/>
    </xf>
    <xf numFmtId="3" fontId="23" fillId="0" borderId="66" xfId="59" applyNumberFormat="1" applyFont="1" applyBorder="1">
      <alignment/>
      <protection/>
    </xf>
    <xf numFmtId="3" fontId="60" fillId="0" borderId="63" xfId="59" applyNumberFormat="1" applyFont="1" applyBorder="1" applyAlignment="1">
      <alignment horizontal="right" vertical="center"/>
      <protection/>
    </xf>
    <xf numFmtId="3" fontId="60" fillId="0" borderId="68" xfId="59" applyNumberFormat="1" applyFont="1" applyBorder="1" applyAlignment="1">
      <alignment horizontal="right" vertical="center"/>
      <protection/>
    </xf>
    <xf numFmtId="0" fontId="19" fillId="0" borderId="69" xfId="59" applyFont="1" applyBorder="1">
      <alignment/>
      <protection/>
    </xf>
    <xf numFmtId="0" fontId="19" fillId="0" borderId="54" xfId="59" applyFont="1" applyBorder="1">
      <alignment/>
      <protection/>
    </xf>
    <xf numFmtId="0" fontId="19" fillId="0" borderId="32" xfId="59" applyFont="1" applyBorder="1">
      <alignment/>
      <protection/>
    </xf>
    <xf numFmtId="3" fontId="61" fillId="0" borderId="60" xfId="59" applyNumberFormat="1" applyFont="1" applyBorder="1" applyAlignment="1">
      <alignment/>
      <protection/>
    </xf>
    <xf numFmtId="0" fontId="19" fillId="0" borderId="70" xfId="59" applyFont="1" applyBorder="1">
      <alignment/>
      <protection/>
    </xf>
    <xf numFmtId="0" fontId="19" fillId="0" borderId="66" xfId="59" applyFont="1" applyBorder="1">
      <alignment/>
      <protection/>
    </xf>
    <xf numFmtId="0" fontId="19" fillId="0" borderId="71" xfId="59" applyFont="1" applyBorder="1">
      <alignment/>
      <protection/>
    </xf>
    <xf numFmtId="3" fontId="20" fillId="0" borderId="32" xfId="59" applyNumberFormat="1" applyFont="1" applyBorder="1" applyAlignment="1">
      <alignment horizontal="right"/>
      <protection/>
    </xf>
    <xf numFmtId="0" fontId="23" fillId="0" borderId="52" xfId="59" applyFont="1" applyBorder="1" applyAlignment="1">
      <alignment horizontal="left"/>
      <protection/>
    </xf>
    <xf numFmtId="3" fontId="60" fillId="0" borderId="72" xfId="59" applyNumberFormat="1" applyFont="1" applyBorder="1" applyAlignment="1">
      <alignment horizontal="right"/>
      <protection/>
    </xf>
    <xf numFmtId="3" fontId="60" fillId="0" borderId="52" xfId="59" applyNumberFormat="1" applyFont="1" applyBorder="1" applyAlignment="1">
      <alignment horizontal="right"/>
      <protection/>
    </xf>
    <xf numFmtId="0" fontId="19" fillId="36" borderId="73" xfId="59" applyFont="1" applyFill="1" applyBorder="1">
      <alignment/>
      <protection/>
    </xf>
    <xf numFmtId="3" fontId="60" fillId="36" borderId="74" xfId="59" applyNumberFormat="1" applyFont="1" applyFill="1" applyBorder="1" applyAlignment="1">
      <alignment horizontal="right"/>
      <protection/>
    </xf>
    <xf numFmtId="3" fontId="60" fillId="36" borderId="75" xfId="59" applyNumberFormat="1" applyFont="1" applyFill="1" applyBorder="1">
      <alignment/>
      <protection/>
    </xf>
    <xf numFmtId="3" fontId="60" fillId="36" borderId="76" xfId="59" applyNumberFormat="1" applyFont="1" applyFill="1" applyBorder="1">
      <alignment/>
      <protection/>
    </xf>
    <xf numFmtId="3" fontId="60" fillId="36" borderId="74" xfId="59" applyNumberFormat="1" applyFont="1" applyFill="1" applyBorder="1">
      <alignment/>
      <protection/>
    </xf>
    <xf numFmtId="0" fontId="19" fillId="0" borderId="77" xfId="0" applyFont="1" applyBorder="1" applyAlignment="1">
      <alignment/>
    </xf>
    <xf numFmtId="0" fontId="16" fillId="0" borderId="0" xfId="59" applyFont="1" applyBorder="1" applyAlignment="1">
      <alignment horizontal="right" vertical="center"/>
      <protection/>
    </xf>
    <xf numFmtId="0" fontId="16" fillId="0" borderId="78" xfId="59" applyFont="1" applyBorder="1" applyAlignment="1">
      <alignment horizontal="right" vertical="center"/>
      <protection/>
    </xf>
    <xf numFmtId="0" fontId="23" fillId="0" borderId="59" xfId="59" applyFont="1" applyBorder="1">
      <alignment/>
      <protection/>
    </xf>
    <xf numFmtId="0" fontId="19" fillId="0" borderId="52" xfId="59" applyFont="1" applyBorder="1">
      <alignment/>
      <protection/>
    </xf>
    <xf numFmtId="0" fontId="19" fillId="0" borderId="32" xfId="59" applyFont="1" applyBorder="1" applyAlignment="1">
      <alignment horizontal="right"/>
      <protection/>
    </xf>
    <xf numFmtId="3" fontId="60" fillId="0" borderId="0" xfId="59" applyNumberFormat="1" applyFont="1" applyBorder="1" applyAlignment="1">
      <alignment horizontal="right" vertical="center"/>
      <protection/>
    </xf>
    <xf numFmtId="3" fontId="19" fillId="0" borderId="32" xfId="59" applyNumberFormat="1" applyFont="1" applyBorder="1" applyAlignment="1">
      <alignment horizontal="right"/>
      <protection/>
    </xf>
    <xf numFmtId="3" fontId="19" fillId="0" borderId="0" xfId="59" applyNumberFormat="1" applyFont="1" applyBorder="1">
      <alignment/>
      <protection/>
    </xf>
    <xf numFmtId="3" fontId="19" fillId="0" borderId="55" xfId="59" applyNumberFormat="1" applyFont="1" applyBorder="1">
      <alignment/>
      <protection/>
    </xf>
    <xf numFmtId="0" fontId="23" fillId="0" borderId="0" xfId="0" applyFont="1" applyFill="1" applyBorder="1" applyAlignment="1">
      <alignment/>
    </xf>
    <xf numFmtId="0" fontId="19" fillId="0" borderId="79" xfId="59" applyFont="1" applyBorder="1">
      <alignment/>
      <protection/>
    </xf>
    <xf numFmtId="0" fontId="19" fillId="0" borderId="80" xfId="59" applyFont="1" applyBorder="1" applyAlignment="1">
      <alignment horizontal="right"/>
      <protection/>
    </xf>
    <xf numFmtId="0" fontId="19" fillId="0" borderId="81" xfId="59" applyFont="1" applyBorder="1" applyAlignment="1">
      <alignment horizontal="right"/>
      <protection/>
    </xf>
    <xf numFmtId="0" fontId="19" fillId="0" borderId="80" xfId="59" applyFont="1" applyBorder="1">
      <alignment/>
      <protection/>
    </xf>
    <xf numFmtId="0" fontId="19" fillId="0" borderId="68" xfId="59" applyFont="1" applyBorder="1">
      <alignment/>
      <protection/>
    </xf>
    <xf numFmtId="0" fontId="19" fillId="0" borderId="80" xfId="59" applyFont="1" applyBorder="1" applyAlignment="1">
      <alignment/>
      <protection/>
    </xf>
    <xf numFmtId="0" fontId="16" fillId="0" borderId="82" xfId="59" applyFont="1" applyBorder="1" applyAlignment="1">
      <alignment horizontal="right"/>
      <protection/>
    </xf>
    <xf numFmtId="0" fontId="19" fillId="0" borderId="83" xfId="59" applyFont="1" applyBorder="1">
      <alignment/>
      <protection/>
    </xf>
    <xf numFmtId="3" fontId="16" fillId="0" borderId="84" xfId="59" applyNumberFormat="1" applyFont="1" applyBorder="1" applyAlignment="1">
      <alignment horizontal="right"/>
      <protection/>
    </xf>
    <xf numFmtId="0" fontId="16" fillId="0" borderId="80" xfId="59" applyFont="1" applyBorder="1" applyAlignment="1">
      <alignment horizontal="right"/>
      <protection/>
    </xf>
    <xf numFmtId="0" fontId="16" fillId="0" borderId="81" xfId="59" applyFont="1" applyBorder="1" applyAlignment="1">
      <alignment horizontal="right"/>
      <protection/>
    </xf>
    <xf numFmtId="0" fontId="19" fillId="0" borderId="85" xfId="59" applyFont="1" applyBorder="1">
      <alignment/>
      <protection/>
    </xf>
    <xf numFmtId="0" fontId="19" fillId="0" borderId="81" xfId="59" applyFont="1" applyBorder="1">
      <alignment/>
      <protection/>
    </xf>
    <xf numFmtId="0" fontId="60" fillId="0" borderId="86" xfId="59" applyFont="1" applyBorder="1" applyAlignment="1">
      <alignment horizontal="right" vertical="center"/>
      <protection/>
    </xf>
    <xf numFmtId="0" fontId="19" fillId="0" borderId="0" xfId="59" applyFont="1">
      <alignment/>
      <protection/>
    </xf>
    <xf numFmtId="0" fontId="19" fillId="0" borderId="59" xfId="59" applyFont="1" applyBorder="1">
      <alignment/>
      <protection/>
    </xf>
    <xf numFmtId="0" fontId="23" fillId="0" borderId="60" xfId="59" applyFont="1" applyBorder="1">
      <alignment/>
      <protection/>
    </xf>
    <xf numFmtId="3" fontId="60" fillId="0" borderId="0" xfId="59" applyNumberFormat="1" applyFont="1" applyBorder="1">
      <alignment/>
      <protection/>
    </xf>
    <xf numFmtId="3" fontId="60" fillId="0" borderId="72" xfId="59" applyNumberFormat="1" applyFont="1" applyBorder="1">
      <alignment/>
      <protection/>
    </xf>
    <xf numFmtId="0" fontId="19" fillId="0" borderId="0" xfId="0" applyFont="1" applyBorder="1" applyAlignment="1">
      <alignment horizontal="right"/>
    </xf>
    <xf numFmtId="0" fontId="19" fillId="0" borderId="60" xfId="59" applyFont="1" applyBorder="1">
      <alignment/>
      <protection/>
    </xf>
    <xf numFmtId="0" fontId="24" fillId="0" borderId="57" xfId="59" applyFont="1" applyBorder="1" applyAlignment="1">
      <alignment horizontal="right"/>
      <protection/>
    </xf>
    <xf numFmtId="0" fontId="19" fillId="0" borderId="56" xfId="0" applyFont="1" applyBorder="1" applyAlignment="1">
      <alignment horizontal="right"/>
    </xf>
    <xf numFmtId="3" fontId="20" fillId="0" borderId="78" xfId="59" applyNumberFormat="1" applyFont="1" applyBorder="1" applyAlignment="1">
      <alignment horizontal="right"/>
      <protection/>
    </xf>
    <xf numFmtId="3" fontId="20" fillId="0" borderId="56" xfId="59" applyNumberFormat="1" applyFont="1" applyBorder="1">
      <alignment/>
      <protection/>
    </xf>
    <xf numFmtId="3" fontId="20" fillId="0" borderId="58" xfId="59" applyNumberFormat="1" applyFont="1" applyBorder="1">
      <alignment/>
      <protection/>
    </xf>
    <xf numFmtId="3" fontId="23" fillId="0" borderId="61" xfId="59" applyNumberFormat="1" applyFont="1" applyBorder="1" applyAlignment="1">
      <alignment/>
      <protection/>
    </xf>
    <xf numFmtId="0" fontId="19" fillId="0" borderId="87" xfId="59" applyFont="1" applyBorder="1">
      <alignment/>
      <protection/>
    </xf>
    <xf numFmtId="0" fontId="19" fillId="0" borderId="56" xfId="59" applyFont="1" applyBorder="1">
      <alignment/>
      <protection/>
    </xf>
    <xf numFmtId="0" fontId="19" fillId="0" borderId="61" xfId="59" applyFont="1" applyBorder="1">
      <alignment/>
      <protection/>
    </xf>
    <xf numFmtId="3" fontId="61" fillId="0" borderId="0" xfId="59" applyNumberFormat="1" applyFont="1" applyBorder="1" applyAlignment="1">
      <alignment/>
      <protection/>
    </xf>
    <xf numFmtId="0" fontId="19" fillId="36" borderId="88" xfId="59" applyFont="1" applyFill="1" applyBorder="1">
      <alignment/>
      <protection/>
    </xf>
    <xf numFmtId="3" fontId="46" fillId="0" borderId="89" xfId="59" applyNumberFormat="1" applyFont="1" applyBorder="1" applyAlignment="1">
      <alignment horizontal="center"/>
      <protection/>
    </xf>
    <xf numFmtId="0" fontId="19" fillId="0" borderId="90" xfId="59" applyFont="1" applyBorder="1">
      <alignment/>
      <protection/>
    </xf>
    <xf numFmtId="3" fontId="16" fillId="0" borderId="91" xfId="59" applyNumberFormat="1" applyFont="1" applyBorder="1">
      <alignment/>
      <protection/>
    </xf>
    <xf numFmtId="0" fontId="19" fillId="0" borderId="77" xfId="59" applyFont="1" applyBorder="1">
      <alignment/>
      <protection/>
    </xf>
    <xf numFmtId="3" fontId="46" fillId="0" borderId="89" xfId="59" applyNumberFormat="1" applyFont="1" applyBorder="1">
      <alignment/>
      <protection/>
    </xf>
    <xf numFmtId="3" fontId="46" fillId="0" borderId="92" xfId="59" applyNumberFormat="1" applyFont="1" applyBorder="1">
      <alignment/>
      <protection/>
    </xf>
    <xf numFmtId="0" fontId="23" fillId="0" borderId="49" xfId="59" applyFont="1" applyBorder="1">
      <alignment/>
      <protection/>
    </xf>
    <xf numFmtId="0" fontId="20" fillId="0" borderId="0" xfId="59" applyFont="1" applyAlignment="1">
      <alignment horizontal="center"/>
      <protection/>
    </xf>
    <xf numFmtId="0" fontId="20" fillId="0" borderId="0" xfId="59" applyFont="1" applyAlignment="1">
      <alignment horizontal="right"/>
      <protection/>
    </xf>
    <xf numFmtId="0" fontId="15" fillId="0" borderId="0" xfId="59" applyFont="1">
      <alignment/>
      <protection/>
    </xf>
    <xf numFmtId="0" fontId="20" fillId="0" borderId="0" xfId="59" applyFont="1" applyAlignment="1">
      <alignment horizontal="left"/>
      <protection/>
    </xf>
    <xf numFmtId="3" fontId="19" fillId="0" borderId="0" xfId="59" applyNumberFormat="1" applyFont="1">
      <alignment/>
      <protection/>
    </xf>
    <xf numFmtId="0" fontId="23" fillId="0" borderId="0" xfId="59" applyFont="1" applyFill="1" applyBorder="1">
      <alignment/>
      <protection/>
    </xf>
    <xf numFmtId="0" fontId="42" fillId="0" borderId="27" xfId="59" applyFont="1" applyBorder="1">
      <alignment/>
      <protection/>
    </xf>
    <xf numFmtId="3" fontId="19" fillId="0" borderId="27" xfId="59" applyNumberFormat="1" applyFont="1" applyBorder="1">
      <alignment/>
      <protection/>
    </xf>
    <xf numFmtId="0" fontId="19" fillId="0" borderId="27" xfId="59" applyFont="1" applyBorder="1">
      <alignment/>
      <protection/>
    </xf>
    <xf numFmtId="0" fontId="19" fillId="0" borderId="0" xfId="59" applyFont="1" applyAlignment="1">
      <alignment horizontal="right"/>
      <protection/>
    </xf>
    <xf numFmtId="0" fontId="19" fillId="0" borderId="0" xfId="59" applyFont="1" applyAlignment="1">
      <alignment/>
      <protection/>
    </xf>
    <xf numFmtId="0" fontId="19" fillId="0" borderId="0" xfId="0" applyFont="1" applyAlignment="1">
      <alignment horizontal="left"/>
    </xf>
    <xf numFmtId="0" fontId="20" fillId="0" borderId="0" xfId="59" applyFont="1">
      <alignment/>
      <protection/>
    </xf>
    <xf numFmtId="3" fontId="20" fillId="0" borderId="0" xfId="59" applyNumberFormat="1" applyFont="1">
      <alignment/>
      <protection/>
    </xf>
    <xf numFmtId="0" fontId="20" fillId="0" borderId="93" xfId="59" applyFont="1" applyBorder="1" applyAlignment="1">
      <alignment horizontal="center"/>
      <protection/>
    </xf>
    <xf numFmtId="0" fontId="20" fillId="0" borderId="94" xfId="59" applyFont="1" applyBorder="1" applyAlignment="1">
      <alignment horizontal="center" vertical="center"/>
      <protection/>
    </xf>
    <xf numFmtId="0" fontId="20" fillId="0" borderId="93" xfId="59" applyFont="1" applyBorder="1" applyAlignment="1">
      <alignment horizontal="center" vertical="center"/>
      <protection/>
    </xf>
    <xf numFmtId="49" fontId="27" fillId="0" borderId="21" xfId="0" applyNumberFormat="1" applyFont="1" applyBorder="1" applyAlignment="1">
      <alignment vertical="center" wrapText="1"/>
    </xf>
    <xf numFmtId="0" fontId="27" fillId="0" borderId="22" xfId="0" applyFont="1" applyBorder="1" applyAlignment="1">
      <alignment vertical="center"/>
    </xf>
    <xf numFmtId="0" fontId="22" fillId="5" borderId="22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3" fillId="0" borderId="69" xfId="59" applyFont="1" applyBorder="1" applyAlignment="1">
      <alignment horizontal="left" wrapText="1"/>
      <protection/>
    </xf>
    <xf numFmtId="0" fontId="61" fillId="0" borderId="69" xfId="59" applyFont="1" applyBorder="1" applyAlignment="1">
      <alignment horizontal="left" wrapText="1"/>
      <protection/>
    </xf>
    <xf numFmtId="0" fontId="61" fillId="0" borderId="0" xfId="59" applyFont="1" applyBorder="1" applyAlignment="1">
      <alignment horizontal="left" wrapText="1"/>
      <protection/>
    </xf>
    <xf numFmtId="3" fontId="20" fillId="36" borderId="74" xfId="59" applyNumberFormat="1" applyFont="1" applyFill="1" applyBorder="1" applyAlignment="1">
      <alignment horizontal="right"/>
      <protection/>
    </xf>
    <xf numFmtId="3" fontId="23" fillId="0" borderId="61" xfId="0" applyNumberFormat="1" applyFont="1" applyBorder="1" applyAlignment="1">
      <alignment/>
    </xf>
    <xf numFmtId="3" fontId="23" fillId="0" borderId="60" xfId="0" applyNumberFormat="1" applyFont="1" applyBorder="1" applyAlignment="1">
      <alignment/>
    </xf>
    <xf numFmtId="0" fontId="23" fillId="36" borderId="76" xfId="59" applyFont="1" applyFill="1" applyBorder="1" applyAlignment="1">
      <alignment horizontal="left"/>
      <protection/>
    </xf>
    <xf numFmtId="3" fontId="16" fillId="36" borderId="95" xfId="59" applyNumberFormat="1" applyFont="1" applyFill="1" applyBorder="1" applyAlignment="1">
      <alignment horizontal="right"/>
      <protection/>
    </xf>
    <xf numFmtId="3" fontId="16" fillId="36" borderId="96" xfId="59" applyNumberFormat="1" applyFont="1" applyFill="1" applyBorder="1" applyAlignment="1">
      <alignment horizontal="right"/>
      <protection/>
    </xf>
    <xf numFmtId="3" fontId="60" fillId="36" borderId="88" xfId="59" applyNumberFormat="1" applyFont="1" applyFill="1" applyBorder="1" applyAlignment="1">
      <alignment horizontal="right"/>
      <protection/>
    </xf>
    <xf numFmtId="3" fontId="60" fillId="36" borderId="97" xfId="59" applyNumberFormat="1" applyFont="1" applyFill="1" applyBorder="1" applyAlignment="1">
      <alignment horizontal="right" vertical="center"/>
      <protection/>
    </xf>
    <xf numFmtId="0" fontId="19" fillId="0" borderId="53" xfId="0" applyFont="1" applyBorder="1" applyAlignment="1">
      <alignment horizontal="right"/>
    </xf>
    <xf numFmtId="0" fontId="19" fillId="36" borderId="73" xfId="59" applyFont="1" applyFill="1" applyBorder="1" applyAlignment="1">
      <alignment vertical="center"/>
      <protection/>
    </xf>
    <xf numFmtId="3" fontId="16" fillId="36" borderId="95" xfId="59" applyNumberFormat="1" applyFont="1" applyFill="1" applyBorder="1" applyAlignment="1">
      <alignment vertical="center"/>
      <protection/>
    </xf>
    <xf numFmtId="0" fontId="19" fillId="36" borderId="88" xfId="59" applyFont="1" applyFill="1" applyBorder="1" applyAlignment="1">
      <alignment vertical="center"/>
      <protection/>
    </xf>
    <xf numFmtId="3" fontId="60" fillId="36" borderId="98" xfId="59" applyNumberFormat="1" applyFont="1" applyFill="1" applyBorder="1" applyAlignment="1">
      <alignment vertical="center"/>
      <protection/>
    </xf>
    <xf numFmtId="3" fontId="60" fillId="36" borderId="89" xfId="59" applyNumberFormat="1" applyFont="1" applyFill="1" applyBorder="1" applyAlignment="1">
      <alignment vertical="center"/>
      <protection/>
    </xf>
    <xf numFmtId="3" fontId="60" fillId="36" borderId="86" xfId="59" applyNumberFormat="1" applyFont="1" applyFill="1" applyBorder="1" applyAlignment="1">
      <alignment vertical="center"/>
      <protection/>
    </xf>
    <xf numFmtId="3" fontId="60" fillId="36" borderId="99" xfId="59" applyNumberFormat="1" applyFont="1" applyFill="1" applyBorder="1" applyAlignment="1">
      <alignment vertical="center"/>
      <protection/>
    </xf>
    <xf numFmtId="0" fontId="19" fillId="0" borderId="0" xfId="0" applyFont="1" applyBorder="1" applyAlignment="1">
      <alignment vertical="center"/>
    </xf>
    <xf numFmtId="0" fontId="23" fillId="0" borderId="69" xfId="59" applyFont="1" applyBorder="1" applyAlignment="1">
      <alignment wrapText="1"/>
      <protection/>
    </xf>
    <xf numFmtId="0" fontId="23" fillId="0" borderId="0" xfId="59" applyFont="1" applyBorder="1" applyAlignment="1">
      <alignment wrapText="1"/>
      <protection/>
    </xf>
    <xf numFmtId="3" fontId="23" fillId="0" borderId="0" xfId="59" applyNumberFormat="1" applyFont="1" applyBorder="1" applyAlignment="1">
      <alignment horizontal="right" vertical="center"/>
      <protection/>
    </xf>
    <xf numFmtId="3" fontId="23" fillId="0" borderId="60" xfId="59" applyNumberFormat="1" applyFont="1" applyBorder="1" applyAlignment="1">
      <alignment/>
      <protection/>
    </xf>
    <xf numFmtId="3" fontId="23" fillId="0" borderId="60" xfId="59" applyNumberFormat="1" applyFont="1" applyBorder="1" applyAlignment="1">
      <alignment vertical="center"/>
      <protection/>
    </xf>
    <xf numFmtId="3" fontId="23" fillId="0" borderId="48" xfId="59" applyNumberFormat="1" applyFont="1" applyFill="1" applyBorder="1" applyAlignment="1">
      <alignment vertical="center"/>
      <protection/>
    </xf>
    <xf numFmtId="3" fontId="23" fillId="0" borderId="60" xfId="59" applyNumberFormat="1" applyFont="1" applyFill="1" applyBorder="1" applyAlignment="1">
      <alignment vertical="center"/>
      <protection/>
    </xf>
    <xf numFmtId="3" fontId="23" fillId="0" borderId="60" xfId="59" applyNumberFormat="1" applyFont="1" applyFill="1" applyBorder="1" applyAlignment="1">
      <alignment horizontal="right" vertical="center"/>
      <protection/>
    </xf>
    <xf numFmtId="3" fontId="23" fillId="0" borderId="0" xfId="59" applyNumberFormat="1" applyFont="1" applyBorder="1" applyAlignment="1">
      <alignment vertical="center"/>
      <protection/>
    </xf>
    <xf numFmtId="3" fontId="23" fillId="0" borderId="61" xfId="59" applyNumberFormat="1" applyFont="1" applyFill="1" applyBorder="1" applyAlignment="1">
      <alignment vertical="center"/>
      <protection/>
    </xf>
    <xf numFmtId="0" fontId="45" fillId="0" borderId="0" xfId="60" applyFont="1" applyFill="1" applyAlignment="1">
      <alignment vertical="center" wrapText="1"/>
      <protection/>
    </xf>
    <xf numFmtId="0" fontId="45" fillId="0" borderId="80" xfId="60" applyFont="1" applyFill="1" applyBorder="1" applyAlignment="1">
      <alignment vertical="center" wrapText="1"/>
      <protection/>
    </xf>
    <xf numFmtId="0" fontId="19" fillId="0" borderId="65" xfId="59" applyFont="1" applyBorder="1" applyAlignment="1">
      <alignment horizontal="right"/>
      <protection/>
    </xf>
    <xf numFmtId="3" fontId="23" fillId="0" borderId="100" xfId="0" applyNumberFormat="1" applyFont="1" applyBorder="1" applyAlignment="1">
      <alignment/>
    </xf>
    <xf numFmtId="3" fontId="24" fillId="0" borderId="101" xfId="60" applyNumberFormat="1" applyFont="1" applyFill="1" applyBorder="1" applyAlignment="1">
      <alignment horizontal="right" vertical="center"/>
      <protection/>
    </xf>
    <xf numFmtId="3" fontId="24" fillId="0" borderId="93" xfId="60" applyNumberFormat="1" applyFont="1" applyFill="1" applyBorder="1" applyAlignment="1">
      <alignment horizontal="right" vertical="center"/>
      <protection/>
    </xf>
    <xf numFmtId="3" fontId="60" fillId="0" borderId="41" xfId="60" applyNumberFormat="1" applyFont="1" applyFill="1" applyBorder="1" applyAlignment="1">
      <alignment vertical="center"/>
      <protection/>
    </xf>
    <xf numFmtId="3" fontId="23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42" fillId="0" borderId="0" xfId="0" applyFont="1" applyFill="1" applyAlignment="1">
      <alignment vertical="center"/>
    </xf>
    <xf numFmtId="49" fontId="42" fillId="0" borderId="0" xfId="0" applyNumberFormat="1" applyFont="1" applyFill="1" applyAlignment="1">
      <alignment vertical="center"/>
    </xf>
    <xf numFmtId="49" fontId="42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0" fontId="47" fillId="0" borderId="44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49" fontId="42" fillId="0" borderId="27" xfId="0" applyNumberFormat="1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3" fontId="43" fillId="0" borderId="38" xfId="0" applyNumberFormat="1" applyFont="1" applyFill="1" applyBorder="1" applyAlignment="1">
      <alignment horizontal="center" vertical="center"/>
    </xf>
    <xf numFmtId="0" fontId="43" fillId="0" borderId="102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49" fontId="42" fillId="0" borderId="37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vertical="center" wrapText="1"/>
    </xf>
    <xf numFmtId="3" fontId="58" fillId="0" borderId="24" xfId="0" applyNumberFormat="1" applyFont="1" applyFill="1" applyBorder="1" applyAlignment="1">
      <alignment vertical="center"/>
    </xf>
    <xf numFmtId="3" fontId="43" fillId="0" borderId="39" xfId="0" applyNumberFormat="1" applyFont="1" applyFill="1" applyBorder="1" applyAlignment="1">
      <alignment vertical="center"/>
    </xf>
    <xf numFmtId="3" fontId="43" fillId="0" borderId="38" xfId="0" applyNumberFormat="1" applyFont="1" applyFill="1" applyBorder="1" applyAlignment="1">
      <alignment vertical="center"/>
    </xf>
    <xf numFmtId="3" fontId="43" fillId="0" borderId="22" xfId="0" applyNumberFormat="1" applyFont="1" applyFill="1" applyBorder="1" applyAlignment="1">
      <alignment vertical="center"/>
    </xf>
    <xf numFmtId="3" fontId="21" fillId="0" borderId="23" xfId="0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49" fontId="42" fillId="0" borderId="21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vertical="center" wrapText="1"/>
    </xf>
    <xf numFmtId="3" fontId="58" fillId="0" borderId="11" xfId="0" applyNumberFormat="1" applyFont="1" applyFill="1" applyBorder="1" applyAlignment="1">
      <alignment vertical="center"/>
    </xf>
    <xf numFmtId="3" fontId="43" fillId="0" borderId="17" xfId="0" applyNumberFormat="1" applyFont="1" applyFill="1" applyBorder="1" applyAlignment="1">
      <alignment vertical="center"/>
    </xf>
    <xf numFmtId="3" fontId="58" fillId="0" borderId="16" xfId="0" applyNumberFormat="1" applyFont="1" applyFill="1" applyBorder="1" applyAlignment="1">
      <alignment vertical="center"/>
    </xf>
    <xf numFmtId="3" fontId="42" fillId="0" borderId="0" xfId="0" applyNumberFormat="1" applyFont="1" applyFill="1" applyAlignment="1">
      <alignment vertical="center"/>
    </xf>
    <xf numFmtId="3" fontId="58" fillId="0" borderId="22" xfId="0" applyNumberFormat="1" applyFont="1" applyFill="1" applyBorder="1" applyAlignment="1">
      <alignment vertical="center"/>
    </xf>
    <xf numFmtId="3" fontId="58" fillId="0" borderId="22" xfId="0" applyNumberFormat="1" applyFont="1" applyFill="1" applyBorder="1" applyAlignment="1">
      <alignment horizontal="right" vertical="center" wrapText="1"/>
    </xf>
    <xf numFmtId="0" fontId="21" fillId="0" borderId="22" xfId="0" applyFont="1" applyFill="1" applyBorder="1" applyAlignment="1">
      <alignment horizontal="left" vertical="center" wrapText="1"/>
    </xf>
    <xf numFmtId="3" fontId="43" fillId="0" borderId="22" xfId="0" applyNumberFormat="1" applyFont="1" applyFill="1" applyBorder="1" applyAlignment="1">
      <alignment horizontal="right" vertical="center"/>
    </xf>
    <xf numFmtId="49" fontId="42" fillId="0" borderId="45" xfId="0" applyNumberFormat="1" applyFont="1" applyFill="1" applyBorder="1" applyAlignment="1">
      <alignment horizontal="center" vertical="center"/>
    </xf>
    <xf numFmtId="3" fontId="43" fillId="0" borderId="44" xfId="0" applyNumberFormat="1" applyFont="1" applyFill="1" applyBorder="1" applyAlignment="1">
      <alignment vertical="center"/>
    </xf>
    <xf numFmtId="3" fontId="58" fillId="0" borderId="15" xfId="0" applyNumberFormat="1" applyFont="1" applyFill="1" applyBorder="1" applyAlignment="1">
      <alignment vertical="center"/>
    </xf>
    <xf numFmtId="3" fontId="43" fillId="0" borderId="25" xfId="0" applyNumberFormat="1" applyFont="1" applyFill="1" applyBorder="1" applyAlignment="1">
      <alignment vertical="center"/>
    </xf>
    <xf numFmtId="49" fontId="20" fillId="0" borderId="0" xfId="0" applyNumberFormat="1" applyFont="1" applyFill="1" applyAlignment="1">
      <alignment vertical="center"/>
    </xf>
    <xf numFmtId="0" fontId="21" fillId="0" borderId="44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49" fontId="20" fillId="0" borderId="29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/>
    </xf>
    <xf numFmtId="3" fontId="65" fillId="0" borderId="34" xfId="0" applyNumberFormat="1" applyFont="1" applyFill="1" applyBorder="1" applyAlignment="1">
      <alignment vertical="center"/>
    </xf>
    <xf numFmtId="3" fontId="20" fillId="0" borderId="20" xfId="0" applyNumberFormat="1" applyFont="1" applyFill="1" applyBorder="1" applyAlignment="1">
      <alignment vertical="center"/>
    </xf>
    <xf numFmtId="3" fontId="20" fillId="0" borderId="34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56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3" fontId="58" fillId="0" borderId="0" xfId="0" applyNumberFormat="1" applyFont="1" applyFill="1" applyAlignment="1">
      <alignment vertical="center"/>
    </xf>
    <xf numFmtId="0" fontId="19" fillId="0" borderId="0" xfId="61" applyFont="1" applyAlignment="1">
      <alignment/>
      <protection/>
    </xf>
    <xf numFmtId="0" fontId="17" fillId="0" borderId="0" xfId="61" applyFont="1" applyAlignment="1">
      <alignment/>
      <protection/>
    </xf>
    <xf numFmtId="0" fontId="12" fillId="0" borderId="37" xfId="0" applyFont="1" applyFill="1" applyBorder="1" applyAlignment="1">
      <alignment horizontal="center" vertical="center"/>
    </xf>
    <xf numFmtId="4" fontId="22" fillId="0" borderId="21" xfId="61" applyNumberFormat="1" applyFont="1" applyBorder="1" applyAlignment="1">
      <alignment vertical="center"/>
      <protection/>
    </xf>
    <xf numFmtId="3" fontId="22" fillId="0" borderId="22" xfId="61" applyNumberFormat="1" applyFont="1" applyBorder="1" applyAlignment="1">
      <alignment vertical="center"/>
      <protection/>
    </xf>
    <xf numFmtId="3" fontId="22" fillId="0" borderId="23" xfId="61" applyNumberFormat="1" applyFont="1" applyBorder="1" applyAlignment="1">
      <alignment vertical="center"/>
      <protection/>
    </xf>
    <xf numFmtId="3" fontId="22" fillId="0" borderId="21" xfId="61" applyNumberFormat="1" applyFont="1" applyBorder="1" applyAlignment="1">
      <alignment vertical="center"/>
      <protection/>
    </xf>
    <xf numFmtId="3" fontId="22" fillId="0" borderId="17" xfId="61" applyNumberFormat="1" applyFont="1" applyBorder="1" applyAlignment="1">
      <alignment vertical="center"/>
      <protection/>
    </xf>
    <xf numFmtId="3" fontId="22" fillId="0" borderId="31" xfId="61" applyNumberFormat="1" applyFont="1" applyBorder="1" applyAlignment="1">
      <alignment vertical="center"/>
      <protection/>
    </xf>
    <xf numFmtId="3" fontId="14" fillId="0" borderId="21" xfId="61" applyNumberFormat="1" applyBorder="1" applyAlignment="1">
      <alignment vertical="center"/>
      <protection/>
    </xf>
    <xf numFmtId="3" fontId="14" fillId="0" borderId="22" xfId="61" applyNumberFormat="1" applyBorder="1" applyAlignment="1">
      <alignment vertical="center"/>
      <protection/>
    </xf>
    <xf numFmtId="3" fontId="14" fillId="0" borderId="23" xfId="61" applyNumberFormat="1" applyBorder="1" applyAlignment="1">
      <alignment vertical="center"/>
      <protection/>
    </xf>
    <xf numFmtId="3" fontId="14" fillId="0" borderId="17" xfId="61" applyNumberFormat="1" applyBorder="1" applyAlignment="1">
      <alignment vertical="center"/>
      <protection/>
    </xf>
    <xf numFmtId="3" fontId="14" fillId="0" borderId="31" xfId="61" applyNumberFormat="1" applyBorder="1" applyAlignment="1">
      <alignment vertical="center"/>
      <protection/>
    </xf>
    <xf numFmtId="3" fontId="14" fillId="33" borderId="21" xfId="61" applyNumberFormat="1" applyFill="1" applyBorder="1" applyAlignment="1">
      <alignment vertical="center"/>
      <protection/>
    </xf>
    <xf numFmtId="3" fontId="14" fillId="33" borderId="22" xfId="61" applyNumberFormat="1" applyFill="1" applyBorder="1" applyAlignment="1">
      <alignment vertical="center"/>
      <protection/>
    </xf>
    <xf numFmtId="3" fontId="14" fillId="33" borderId="17" xfId="61" applyNumberFormat="1" applyFill="1" applyBorder="1" applyAlignment="1">
      <alignment vertical="center"/>
      <protection/>
    </xf>
    <xf numFmtId="171" fontId="14" fillId="0" borderId="21" xfId="61" applyNumberFormat="1" applyBorder="1" applyAlignment="1">
      <alignment vertical="center"/>
      <protection/>
    </xf>
    <xf numFmtId="171" fontId="14" fillId="0" borderId="17" xfId="61" applyNumberFormat="1" applyBorder="1" applyAlignment="1">
      <alignment vertical="center"/>
      <protection/>
    </xf>
    <xf numFmtId="3" fontId="22" fillId="0" borderId="21" xfId="61" applyNumberFormat="1" applyFont="1" applyFill="1" applyBorder="1" applyAlignment="1">
      <alignment vertical="center"/>
      <protection/>
    </xf>
    <xf numFmtId="3" fontId="22" fillId="0" borderId="22" xfId="61" applyNumberFormat="1" applyFont="1" applyFill="1" applyBorder="1" applyAlignment="1">
      <alignment vertical="center"/>
      <protection/>
    </xf>
    <xf numFmtId="171" fontId="22" fillId="0" borderId="21" xfId="61" applyNumberFormat="1" applyFont="1" applyBorder="1" applyAlignment="1">
      <alignment vertical="center"/>
      <protection/>
    </xf>
    <xf numFmtId="171" fontId="22" fillId="0" borderId="17" xfId="61" applyNumberFormat="1" applyFont="1" applyBorder="1" applyAlignment="1">
      <alignment vertical="center"/>
      <protection/>
    </xf>
    <xf numFmtId="3" fontId="22" fillId="0" borderId="21" xfId="61" applyNumberFormat="1" applyFont="1" applyFill="1" applyBorder="1" applyAlignment="1">
      <alignment horizontal="center" vertical="center"/>
      <protection/>
    </xf>
    <xf numFmtId="3" fontId="22" fillId="0" borderId="22" xfId="61" applyNumberFormat="1" applyFont="1" applyFill="1" applyBorder="1" applyAlignment="1">
      <alignment horizontal="center" vertical="center"/>
      <protection/>
    </xf>
    <xf numFmtId="4" fontId="22" fillId="33" borderId="21" xfId="61" applyNumberFormat="1" applyFont="1" applyFill="1" applyBorder="1" applyAlignment="1">
      <alignment vertical="center"/>
      <protection/>
    </xf>
    <xf numFmtId="4" fontId="22" fillId="33" borderId="17" xfId="61" applyNumberFormat="1" applyFont="1" applyFill="1" applyBorder="1" applyAlignment="1">
      <alignment vertical="center"/>
      <protection/>
    </xf>
    <xf numFmtId="2" fontId="14" fillId="0" borderId="21" xfId="61" applyNumberFormat="1" applyBorder="1" applyAlignment="1">
      <alignment vertical="center"/>
      <protection/>
    </xf>
    <xf numFmtId="2" fontId="14" fillId="0" borderId="17" xfId="61" applyNumberFormat="1" applyBorder="1" applyAlignment="1">
      <alignment vertical="center"/>
      <protection/>
    </xf>
    <xf numFmtId="4" fontId="14" fillId="0" borderId="21" xfId="61" applyNumberFormat="1" applyBorder="1" applyAlignment="1">
      <alignment vertical="center"/>
      <protection/>
    </xf>
    <xf numFmtId="3" fontId="14" fillId="0" borderId="22" xfId="61" applyNumberFormat="1" applyFill="1" applyBorder="1" applyAlignment="1">
      <alignment vertical="center"/>
      <protection/>
    </xf>
    <xf numFmtId="3" fontId="14" fillId="0" borderId="31" xfId="61" applyNumberFormat="1" applyFont="1" applyBorder="1" applyAlignment="1">
      <alignment vertical="center"/>
      <protection/>
    </xf>
    <xf numFmtId="4" fontId="14" fillId="0" borderId="21" xfId="61" applyNumberFormat="1" applyFill="1" applyBorder="1" applyAlignment="1">
      <alignment vertical="center"/>
      <protection/>
    </xf>
    <xf numFmtId="3" fontId="14" fillId="0" borderId="17" xfId="61" applyNumberFormat="1" applyFill="1" applyBorder="1" applyAlignment="1">
      <alignment vertical="center"/>
      <protection/>
    </xf>
    <xf numFmtId="3" fontId="2" fillId="33" borderId="21" xfId="61" applyNumberFormat="1" applyFont="1" applyFill="1" applyBorder="1" applyAlignment="1">
      <alignment horizontal="center" vertical="center"/>
      <protection/>
    </xf>
    <xf numFmtId="3" fontId="2" fillId="33" borderId="22" xfId="61" applyNumberFormat="1" applyFont="1" applyFill="1" applyBorder="1" applyAlignment="1">
      <alignment horizontal="center" vertical="center"/>
      <protection/>
    </xf>
    <xf numFmtId="3" fontId="1" fillId="33" borderId="23" xfId="61" applyNumberFormat="1" applyFont="1" applyFill="1" applyBorder="1" applyAlignment="1">
      <alignment vertical="center"/>
      <protection/>
    </xf>
    <xf numFmtId="3" fontId="2" fillId="33" borderId="17" xfId="61" applyNumberFormat="1" applyFont="1" applyFill="1" applyBorder="1" applyAlignment="1">
      <alignment horizontal="center" vertical="center"/>
      <protection/>
    </xf>
    <xf numFmtId="3" fontId="22" fillId="33" borderId="31" xfId="61" applyNumberFormat="1" applyFont="1" applyFill="1" applyBorder="1" applyAlignment="1">
      <alignment vertical="center"/>
      <protection/>
    </xf>
    <xf numFmtId="3" fontId="40" fillId="33" borderId="21" xfId="61" applyNumberFormat="1" applyFont="1" applyFill="1" applyBorder="1" applyAlignment="1">
      <alignment horizontal="center" vertical="center"/>
      <protection/>
    </xf>
    <xf numFmtId="3" fontId="40" fillId="33" borderId="22" xfId="61" applyNumberFormat="1" applyFont="1" applyFill="1" applyBorder="1" applyAlignment="1">
      <alignment horizontal="center" vertical="center"/>
      <protection/>
    </xf>
    <xf numFmtId="3" fontId="40" fillId="33" borderId="23" xfId="61" applyNumberFormat="1" applyFont="1" applyFill="1" applyBorder="1" applyAlignment="1">
      <alignment vertical="center"/>
      <protection/>
    </xf>
    <xf numFmtId="3" fontId="40" fillId="33" borderId="17" xfId="61" applyNumberFormat="1" applyFont="1" applyFill="1" applyBorder="1" applyAlignment="1">
      <alignment horizontal="center" vertical="center"/>
      <protection/>
    </xf>
    <xf numFmtId="0" fontId="42" fillId="0" borderId="22" xfId="0" applyFont="1" applyBorder="1" applyAlignment="1">
      <alignment horizontal="left"/>
    </xf>
    <xf numFmtId="49" fontId="66" fillId="34" borderId="21" xfId="0" applyNumberFormat="1" applyFont="1" applyFill="1" applyBorder="1" applyAlignment="1">
      <alignment vertical="center" wrapText="1"/>
    </xf>
    <xf numFmtId="0" fontId="66" fillId="34" borderId="22" xfId="0" applyFont="1" applyFill="1" applyBorder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Alignment="1">
      <alignment/>
    </xf>
    <xf numFmtId="0" fontId="17" fillId="0" borderId="0" xfId="0" applyFont="1" applyBorder="1" applyAlignment="1">
      <alignment/>
    </xf>
    <xf numFmtId="3" fontId="49" fillId="0" borderId="103" xfId="0" applyNumberFormat="1" applyFont="1" applyBorder="1" applyAlignment="1">
      <alignment/>
    </xf>
    <xf numFmtId="3" fontId="21" fillId="0" borderId="103" xfId="0" applyNumberFormat="1" applyFont="1" applyBorder="1" applyAlignment="1">
      <alignment/>
    </xf>
    <xf numFmtId="3" fontId="47" fillId="0" borderId="103" xfId="0" applyNumberFormat="1" applyFont="1" applyBorder="1" applyAlignment="1">
      <alignment/>
    </xf>
    <xf numFmtId="3" fontId="52" fillId="0" borderId="103" xfId="0" applyNumberFormat="1" applyFont="1" applyBorder="1" applyAlignment="1">
      <alignment/>
    </xf>
    <xf numFmtId="3" fontId="54" fillId="0" borderId="103" xfId="0" applyNumberFormat="1" applyFont="1" applyBorder="1" applyAlignment="1">
      <alignment/>
    </xf>
    <xf numFmtId="3" fontId="56" fillId="0" borderId="103" xfId="0" applyNumberFormat="1" applyFont="1" applyBorder="1" applyAlignment="1">
      <alignment/>
    </xf>
    <xf numFmtId="3" fontId="20" fillId="0" borderId="103" xfId="0" applyNumberFormat="1" applyFont="1" applyBorder="1" applyAlignment="1">
      <alignment/>
    </xf>
    <xf numFmtId="3" fontId="16" fillId="0" borderId="103" xfId="0" applyNumberFormat="1" applyFont="1" applyBorder="1" applyAlignment="1">
      <alignment/>
    </xf>
    <xf numFmtId="0" fontId="17" fillId="0" borderId="0" xfId="0" applyFont="1" applyFill="1" applyAlignment="1">
      <alignment horizontal="right" vertical="center"/>
    </xf>
    <xf numFmtId="0" fontId="17" fillId="0" borderId="0" xfId="0" applyFont="1" applyAlignment="1">
      <alignment horizontal="right"/>
    </xf>
    <xf numFmtId="0" fontId="23" fillId="0" borderId="0" xfId="59" applyFont="1" applyBorder="1" applyAlignment="1">
      <alignment horizontal="left" wrapText="1"/>
      <protection/>
    </xf>
    <xf numFmtId="0" fontId="23" fillId="0" borderId="57" xfId="59" applyFont="1" applyBorder="1" applyAlignment="1">
      <alignment horizontal="left"/>
      <protection/>
    </xf>
    <xf numFmtId="0" fontId="23" fillId="0" borderId="56" xfId="59" applyFont="1" applyBorder="1" applyAlignment="1">
      <alignment horizontal="left"/>
      <protection/>
    </xf>
    <xf numFmtId="0" fontId="19" fillId="0" borderId="54" xfId="0" applyFont="1" applyBorder="1" applyAlignment="1">
      <alignment horizontal="right"/>
    </xf>
    <xf numFmtId="0" fontId="48" fillId="0" borderId="17" xfId="58" applyFont="1" applyBorder="1" applyAlignment="1">
      <alignment horizontal="left" wrapText="1"/>
      <protection/>
    </xf>
    <xf numFmtId="3" fontId="20" fillId="0" borderId="103" xfId="58" applyNumberFormat="1" applyFont="1" applyBorder="1">
      <alignment/>
      <protection/>
    </xf>
    <xf numFmtId="3" fontId="47" fillId="0" borderId="103" xfId="58" applyNumberFormat="1" applyFont="1" applyBorder="1">
      <alignment/>
      <protection/>
    </xf>
    <xf numFmtId="0" fontId="17" fillId="0" borderId="0" xfId="0" applyFont="1" applyFill="1" applyAlignment="1">
      <alignment vertical="center"/>
    </xf>
    <xf numFmtId="49" fontId="17" fillId="0" borderId="0" xfId="0" applyNumberFormat="1" applyFont="1" applyFill="1" applyAlignment="1">
      <alignment vertical="center"/>
    </xf>
    <xf numFmtId="49" fontId="17" fillId="0" borderId="21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 wrapText="1"/>
    </xf>
    <xf numFmtId="3" fontId="17" fillId="0" borderId="17" xfId="0" applyNumberFormat="1" applyFont="1" applyFill="1" applyBorder="1" applyAlignment="1">
      <alignment vertical="center"/>
    </xf>
    <xf numFmtId="3" fontId="17" fillId="0" borderId="22" xfId="0" applyNumberFormat="1" applyFont="1" applyFill="1" applyBorder="1" applyAlignment="1">
      <alignment vertical="center"/>
    </xf>
    <xf numFmtId="3" fontId="18" fillId="0" borderId="23" xfId="0" applyNumberFormat="1" applyFont="1" applyFill="1" applyBorder="1" applyAlignment="1">
      <alignment vertical="center"/>
    </xf>
    <xf numFmtId="49" fontId="17" fillId="0" borderId="45" xfId="0" applyNumberFormat="1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vertical="center" wrapText="1"/>
    </xf>
    <xf numFmtId="3" fontId="17" fillId="0" borderId="25" xfId="0" applyNumberFormat="1" applyFont="1" applyFill="1" applyBorder="1" applyAlignment="1">
      <alignment vertical="center"/>
    </xf>
    <xf numFmtId="3" fontId="18" fillId="0" borderId="43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49" fontId="18" fillId="0" borderId="41" xfId="0" applyNumberFormat="1" applyFont="1" applyFill="1" applyBorder="1" applyAlignment="1">
      <alignment horizontal="center" vertical="center"/>
    </xf>
    <xf numFmtId="0" fontId="18" fillId="0" borderId="93" xfId="0" applyFont="1" applyFill="1" applyBorder="1" applyAlignment="1">
      <alignment vertical="center"/>
    </xf>
    <xf numFmtId="3" fontId="18" fillId="0" borderId="104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" fontId="109" fillId="0" borderId="37" xfId="60" applyNumberFormat="1" applyFont="1" applyFill="1" applyBorder="1" applyAlignment="1">
      <alignment vertical="center" wrapText="1"/>
      <protection/>
    </xf>
    <xf numFmtId="3" fontId="109" fillId="0" borderId="38" xfId="60" applyNumberFormat="1" applyFont="1" applyFill="1" applyBorder="1" applyAlignment="1">
      <alignment vertical="center" wrapText="1"/>
      <protection/>
    </xf>
    <xf numFmtId="3" fontId="109" fillId="0" borderId="21" xfId="60" applyNumberFormat="1" applyFont="1" applyFill="1" applyBorder="1" applyAlignment="1">
      <alignment vertical="center" wrapText="1"/>
      <protection/>
    </xf>
    <xf numFmtId="3" fontId="109" fillId="0" borderId="22" xfId="60" applyNumberFormat="1" applyFont="1" applyFill="1" applyBorder="1" applyAlignment="1">
      <alignment vertical="center" wrapText="1"/>
      <protection/>
    </xf>
    <xf numFmtId="3" fontId="109" fillId="0" borderId="21" xfId="60" applyNumberFormat="1" applyFont="1" applyFill="1" applyBorder="1" applyAlignment="1">
      <alignment vertical="center"/>
      <protection/>
    </xf>
    <xf numFmtId="3" fontId="109" fillId="0" borderId="22" xfId="60" applyNumberFormat="1" applyFont="1" applyFill="1" applyBorder="1" applyAlignment="1">
      <alignment vertical="center"/>
      <protection/>
    </xf>
    <xf numFmtId="3" fontId="109" fillId="0" borderId="39" xfId="60" applyNumberFormat="1" applyFont="1" applyFill="1" applyBorder="1" applyAlignment="1">
      <alignment vertical="center" wrapText="1"/>
      <protection/>
    </xf>
    <xf numFmtId="3" fontId="109" fillId="0" borderId="17" xfId="60" applyNumberFormat="1" applyFont="1" applyFill="1" applyBorder="1" applyAlignment="1">
      <alignment vertical="center" wrapText="1"/>
      <protection/>
    </xf>
    <xf numFmtId="3" fontId="109" fillId="35" borderId="17" xfId="60" applyNumberFormat="1" applyFont="1" applyFill="1" applyBorder="1" applyAlignment="1">
      <alignment horizontal="right" vertical="center" wrapText="1"/>
      <protection/>
    </xf>
    <xf numFmtId="3" fontId="109" fillId="0" borderId="17" xfId="60" applyNumberFormat="1" applyFont="1" applyFill="1" applyBorder="1" applyAlignment="1">
      <alignment vertical="center"/>
      <protection/>
    </xf>
    <xf numFmtId="3" fontId="60" fillId="0" borderId="105" xfId="60" applyNumberFormat="1" applyFont="1" applyFill="1" applyBorder="1" applyAlignment="1">
      <alignment vertical="center"/>
      <protection/>
    </xf>
    <xf numFmtId="3" fontId="60" fillId="0" borderId="104" xfId="60" applyNumberFormat="1" applyFont="1" applyFill="1" applyBorder="1" applyAlignment="1">
      <alignment vertical="center"/>
      <protection/>
    </xf>
    <xf numFmtId="3" fontId="60" fillId="0" borderId="106" xfId="60" applyNumberFormat="1" applyFont="1" applyFill="1" applyBorder="1" applyAlignment="1">
      <alignment vertical="center"/>
      <protection/>
    </xf>
    <xf numFmtId="3" fontId="109" fillId="0" borderId="45" xfId="60" applyNumberFormat="1" applyFont="1" applyFill="1" applyBorder="1" applyAlignment="1">
      <alignment vertical="center"/>
      <protection/>
    </xf>
    <xf numFmtId="3" fontId="109" fillId="0" borderId="44" xfId="60" applyNumberFormat="1" applyFont="1" applyFill="1" applyBorder="1" applyAlignment="1">
      <alignment vertical="center"/>
      <protection/>
    </xf>
    <xf numFmtId="3" fontId="43" fillId="0" borderId="25" xfId="60" applyNumberFormat="1" applyFont="1" applyFill="1" applyBorder="1" applyAlignment="1">
      <alignment vertical="center"/>
      <protection/>
    </xf>
    <xf numFmtId="3" fontId="42" fillId="0" borderId="25" xfId="60" applyNumberFormat="1" applyFont="1" applyFill="1" applyBorder="1" applyAlignment="1">
      <alignment vertical="center"/>
      <protection/>
    </xf>
    <xf numFmtId="3" fontId="21" fillId="0" borderId="107" xfId="60" applyNumberFormat="1" applyFont="1" applyFill="1" applyBorder="1" applyAlignment="1">
      <alignment vertical="center"/>
      <protection/>
    </xf>
    <xf numFmtId="3" fontId="24" fillId="0" borderId="104" xfId="60" applyNumberFormat="1" applyFont="1" applyFill="1" applyBorder="1" applyAlignment="1">
      <alignment vertical="center"/>
      <protection/>
    </xf>
    <xf numFmtId="3" fontId="24" fillId="0" borderId="105" xfId="60" applyNumberFormat="1" applyFont="1" applyFill="1" applyBorder="1" applyAlignment="1">
      <alignment vertical="center"/>
      <protection/>
    </xf>
    <xf numFmtId="3" fontId="23" fillId="0" borderId="48" xfId="59" applyNumberFormat="1" applyFont="1" applyBorder="1" applyAlignment="1">
      <alignment vertical="center"/>
      <protection/>
    </xf>
    <xf numFmtId="3" fontId="46" fillId="0" borderId="86" xfId="59" applyNumberFormat="1" applyFont="1" applyBorder="1">
      <alignment/>
      <protection/>
    </xf>
    <xf numFmtId="166" fontId="6" fillId="0" borderId="40" xfId="0" applyNumberFormat="1" applyFont="1" applyFill="1" applyBorder="1" applyAlignment="1">
      <alignment vertical="center"/>
    </xf>
    <xf numFmtId="166" fontId="6" fillId="0" borderId="23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0" fontId="20" fillId="0" borderId="10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109" xfId="0" applyFont="1" applyBorder="1" applyAlignment="1">
      <alignment horizontal="center" vertical="center"/>
    </xf>
    <xf numFmtId="0" fontId="20" fillId="0" borderId="110" xfId="0" applyFont="1" applyBorder="1" applyAlignment="1">
      <alignment horizontal="center" vertical="center"/>
    </xf>
    <xf numFmtId="0" fontId="20" fillId="0" borderId="111" xfId="0" applyFont="1" applyBorder="1" applyAlignment="1">
      <alignment horizontal="center" vertical="center"/>
    </xf>
    <xf numFmtId="0" fontId="21" fillId="0" borderId="112" xfId="0" applyFont="1" applyBorder="1" applyAlignment="1">
      <alignment horizontal="center" vertical="center" wrapText="1"/>
    </xf>
    <xf numFmtId="0" fontId="20" fillId="0" borderId="113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/>
    </xf>
    <xf numFmtId="0" fontId="0" fillId="0" borderId="60" xfId="0" applyBorder="1" applyAlignment="1">
      <alignment/>
    </xf>
    <xf numFmtId="0" fontId="19" fillId="0" borderId="31" xfId="0" applyFont="1" applyBorder="1" applyAlignment="1">
      <alignment horizontal="center"/>
    </xf>
    <xf numFmtId="0" fontId="0" fillId="0" borderId="114" xfId="0" applyBorder="1" applyAlignment="1">
      <alignment/>
    </xf>
    <xf numFmtId="3" fontId="22" fillId="4" borderId="114" xfId="0" applyNumberFormat="1" applyFont="1" applyFill="1" applyBorder="1" applyAlignment="1">
      <alignment/>
    </xf>
    <xf numFmtId="3" fontId="0" fillId="0" borderId="36" xfId="0" applyNumberFormat="1" applyBorder="1" applyAlignment="1">
      <alignment/>
    </xf>
    <xf numFmtId="3" fontId="0" fillId="37" borderId="36" xfId="0" applyNumberFormat="1" applyFill="1" applyBorder="1" applyAlignment="1">
      <alignment/>
    </xf>
    <xf numFmtId="3" fontId="0" fillId="4" borderId="115" xfId="0" applyNumberFormat="1" applyFill="1" applyBorder="1" applyAlignment="1">
      <alignment/>
    </xf>
    <xf numFmtId="0" fontId="0" fillId="0" borderId="116" xfId="0" applyBorder="1" applyAlignment="1">
      <alignment/>
    </xf>
    <xf numFmtId="3" fontId="22" fillId="4" borderId="117" xfId="0" applyNumberFormat="1" applyFon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37" borderId="22" xfId="0" applyNumberFormat="1" applyFill="1" applyBorder="1" applyAlignment="1">
      <alignment/>
    </xf>
    <xf numFmtId="3" fontId="0" fillId="4" borderId="31" xfId="0" applyNumberFormat="1" applyFill="1" applyBorder="1" applyAlignment="1">
      <alignment/>
    </xf>
    <xf numFmtId="0" fontId="22" fillId="0" borderId="42" xfId="0" applyFont="1" applyBorder="1" applyAlignment="1">
      <alignment/>
    </xf>
    <xf numFmtId="3" fontId="22" fillId="4" borderId="46" xfId="0" applyNumberFormat="1" applyFont="1" applyFill="1" applyBorder="1" applyAlignment="1">
      <alignment/>
    </xf>
    <xf numFmtId="3" fontId="22" fillId="38" borderId="93" xfId="0" applyNumberFormat="1" applyFont="1" applyFill="1" applyBorder="1" applyAlignment="1">
      <alignment/>
    </xf>
    <xf numFmtId="3" fontId="22" fillId="37" borderId="93" xfId="0" applyNumberFormat="1" applyFont="1" applyFill="1" applyBorder="1" applyAlignment="1">
      <alignment/>
    </xf>
    <xf numFmtId="3" fontId="22" fillId="37" borderId="118" xfId="0" applyNumberFormat="1" applyFont="1" applyFill="1" applyBorder="1" applyAlignment="1">
      <alignment/>
    </xf>
    <xf numFmtId="3" fontId="22" fillId="37" borderId="105" xfId="0" applyNumberFormat="1" applyFont="1" applyFill="1" applyBorder="1" applyAlignment="1">
      <alignment/>
    </xf>
    <xf numFmtId="3" fontId="22" fillId="4" borderId="41" xfId="0" applyNumberFormat="1" applyFont="1" applyFill="1" applyBorder="1" applyAlignment="1">
      <alignment/>
    </xf>
    <xf numFmtId="0" fontId="19" fillId="0" borderId="107" xfId="0" applyFont="1" applyBorder="1" applyAlignment="1">
      <alignment horizontal="center"/>
    </xf>
    <xf numFmtId="0" fontId="0" fillId="0" borderId="37" xfId="0" applyBorder="1" applyAlignment="1">
      <alignment horizontal="left"/>
    </xf>
    <xf numFmtId="3" fontId="0" fillId="4" borderId="35" xfId="0" applyNumberFormat="1" applyFill="1" applyBorder="1" applyAlignment="1">
      <alignment/>
    </xf>
    <xf numFmtId="0" fontId="0" fillId="0" borderId="119" xfId="0" applyBorder="1" applyAlignment="1">
      <alignment horizontal="right"/>
    </xf>
    <xf numFmtId="0" fontId="0" fillId="0" borderId="45" xfId="0" applyBorder="1" applyAlignment="1">
      <alignment horizontal="left"/>
    </xf>
    <xf numFmtId="3" fontId="0" fillId="4" borderId="21" xfId="0" applyNumberFormat="1" applyFill="1" applyBorder="1" applyAlignment="1">
      <alignment/>
    </xf>
    <xf numFmtId="0" fontId="19" fillId="0" borderId="112" xfId="0" applyFont="1" applyBorder="1" applyAlignment="1">
      <alignment horizontal="center" vertical="center"/>
    </xf>
    <xf numFmtId="0" fontId="22" fillId="0" borderId="73" xfId="0" applyFont="1" applyBorder="1" applyAlignment="1">
      <alignment/>
    </xf>
    <xf numFmtId="3" fontId="22" fillId="4" borderId="73" xfId="0" applyNumberFormat="1" applyFont="1" applyFill="1" applyBorder="1" applyAlignment="1">
      <alignment/>
    </xf>
    <xf numFmtId="3" fontId="22" fillId="38" borderId="120" xfId="0" applyNumberFormat="1" applyFont="1" applyFill="1" applyBorder="1" applyAlignment="1">
      <alignment horizontal="right"/>
    </xf>
    <xf numFmtId="3" fontId="22" fillId="4" borderId="95" xfId="0" applyNumberFormat="1" applyFont="1" applyFill="1" applyBorder="1" applyAlignment="1">
      <alignment/>
    </xf>
    <xf numFmtId="0" fontId="19" fillId="0" borderId="108" xfId="0" applyFont="1" applyBorder="1" applyAlignment="1">
      <alignment horizontal="center" vertical="center"/>
    </xf>
    <xf numFmtId="3" fontId="14" fillId="4" borderId="35" xfId="0" applyNumberFormat="1" applyFont="1" applyFill="1" applyBorder="1" applyAlignment="1">
      <alignment horizontal="right"/>
    </xf>
    <xf numFmtId="3" fontId="0" fillId="0" borderId="36" xfId="0" applyNumberFormat="1" applyBorder="1" applyAlignment="1">
      <alignment horizontal="right" vertical="center"/>
    </xf>
    <xf numFmtId="0" fontId="19" fillId="0" borderId="31" xfId="0" applyFont="1" applyBorder="1" applyAlignment="1">
      <alignment horizontal="center" vertical="center"/>
    </xf>
    <xf numFmtId="3" fontId="14" fillId="4" borderId="45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19" fillId="0" borderId="21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19" fillId="0" borderId="112" xfId="0" applyFont="1" applyBorder="1" applyAlignment="1">
      <alignment horizontal="center"/>
    </xf>
    <xf numFmtId="0" fontId="22" fillId="0" borderId="95" xfId="0" applyFont="1" applyBorder="1" applyAlignment="1">
      <alignment/>
    </xf>
    <xf numFmtId="3" fontId="22" fillId="38" borderId="74" xfId="0" applyNumberFormat="1" applyFont="1" applyFill="1" applyBorder="1" applyAlignment="1">
      <alignment/>
    </xf>
    <xf numFmtId="0" fontId="19" fillId="0" borderId="108" xfId="0" applyFont="1" applyBorder="1" applyAlignment="1">
      <alignment horizontal="center"/>
    </xf>
    <xf numFmtId="3" fontId="0" fillId="0" borderId="119" xfId="0" applyNumberFormat="1" applyBorder="1" applyAlignment="1">
      <alignment/>
    </xf>
    <xf numFmtId="3" fontId="0" fillId="37" borderId="78" xfId="0" applyNumberFormat="1" applyFill="1" applyBorder="1" applyAlignment="1">
      <alignment/>
    </xf>
    <xf numFmtId="3" fontId="0" fillId="37" borderId="18" xfId="0" applyNumberFormat="1" applyFill="1" applyBorder="1" applyAlignment="1">
      <alignment/>
    </xf>
    <xf numFmtId="3" fontId="0" fillId="37" borderId="34" xfId="0" applyNumberFormat="1" applyFill="1" applyBorder="1" applyAlignment="1">
      <alignment/>
    </xf>
    <xf numFmtId="0" fontId="0" fillId="0" borderId="121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122" xfId="0" applyBorder="1" applyAlignment="1">
      <alignment/>
    </xf>
    <xf numFmtId="3" fontId="0" fillId="4" borderId="29" xfId="0" applyNumberFormat="1" applyFill="1" applyBorder="1" applyAlignment="1">
      <alignment/>
    </xf>
    <xf numFmtId="3" fontId="0" fillId="37" borderId="93" xfId="0" applyNumberFormat="1" applyFill="1" applyBorder="1" applyAlignment="1">
      <alignment/>
    </xf>
    <xf numFmtId="3" fontId="0" fillId="37" borderId="105" xfId="0" applyNumberFormat="1" applyFill="1" applyBorder="1" applyAlignment="1">
      <alignment/>
    </xf>
    <xf numFmtId="3" fontId="0" fillId="37" borderId="74" xfId="0" applyNumberFormat="1" applyFill="1" applyBorder="1" applyAlignment="1">
      <alignment/>
    </xf>
    <xf numFmtId="3" fontId="0" fillId="37" borderId="123" xfId="0" applyNumberFormat="1" applyFill="1" applyBorder="1" applyAlignment="1">
      <alignment/>
    </xf>
    <xf numFmtId="0" fontId="15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115" xfId="0" applyBorder="1" applyAlignment="1">
      <alignment/>
    </xf>
    <xf numFmtId="3" fontId="23" fillId="0" borderId="61" xfId="59" applyNumberFormat="1" applyFont="1" applyBorder="1" applyAlignment="1">
      <alignment vertical="center"/>
      <protection/>
    </xf>
    <xf numFmtId="3" fontId="23" fillId="0" borderId="100" xfId="59" applyNumberFormat="1" applyFont="1" applyBorder="1" applyAlignment="1">
      <alignment vertical="center"/>
      <protection/>
    </xf>
    <xf numFmtId="3" fontId="23" fillId="0" borderId="124" xfId="59" applyNumberFormat="1" applyFont="1" applyBorder="1" applyAlignment="1">
      <alignment vertical="center"/>
      <protection/>
    </xf>
    <xf numFmtId="3" fontId="23" fillId="0" borderId="0" xfId="59" applyNumberFormat="1" applyFont="1" applyFill="1" applyBorder="1" applyAlignment="1">
      <alignment vertical="center"/>
      <protection/>
    </xf>
    <xf numFmtId="3" fontId="20" fillId="36" borderId="74" xfId="59" applyNumberFormat="1" applyFont="1" applyFill="1" applyBorder="1" applyAlignment="1">
      <alignment horizontal="right" vertical="center"/>
      <protection/>
    </xf>
    <xf numFmtId="3" fontId="20" fillId="36" borderId="88" xfId="59" applyNumberFormat="1" applyFont="1" applyFill="1" applyBorder="1" applyAlignment="1">
      <alignment vertical="center"/>
      <protection/>
    </xf>
    <xf numFmtId="3" fontId="20" fillId="36" borderId="97" xfId="59" applyNumberFormat="1" applyFont="1" applyFill="1" applyBorder="1" applyAlignment="1">
      <alignment vertical="center"/>
      <protection/>
    </xf>
    <xf numFmtId="0" fontId="23" fillId="36" borderId="76" xfId="59" applyFont="1" applyFill="1" applyBorder="1" applyAlignment="1">
      <alignment horizontal="left" vertical="center"/>
      <protection/>
    </xf>
    <xf numFmtId="3" fontId="16" fillId="36" borderId="95" xfId="59" applyNumberFormat="1" applyFont="1" applyFill="1" applyBorder="1" applyAlignment="1">
      <alignment horizontal="right" vertical="center"/>
      <protection/>
    </xf>
    <xf numFmtId="3" fontId="16" fillId="36" borderId="96" xfId="59" applyNumberFormat="1" applyFont="1" applyFill="1" applyBorder="1" applyAlignment="1">
      <alignment horizontal="right" vertical="center"/>
      <protection/>
    </xf>
    <xf numFmtId="3" fontId="60" fillId="36" borderId="88" xfId="59" applyNumberFormat="1" applyFont="1" applyFill="1" applyBorder="1" applyAlignment="1">
      <alignment horizontal="right" vertical="center"/>
      <protection/>
    </xf>
    <xf numFmtId="3" fontId="60" fillId="36" borderId="74" xfId="59" applyNumberFormat="1" applyFont="1" applyFill="1" applyBorder="1" applyAlignment="1">
      <alignment horizontal="right" vertical="center"/>
      <protection/>
    </xf>
    <xf numFmtId="3" fontId="60" fillId="36" borderId="75" xfId="59" applyNumberFormat="1" applyFont="1" applyFill="1" applyBorder="1" applyAlignment="1">
      <alignment vertical="center"/>
      <protection/>
    </xf>
    <xf numFmtId="3" fontId="60" fillId="36" borderId="76" xfId="59" applyNumberFormat="1" applyFont="1" applyFill="1" applyBorder="1" applyAlignment="1">
      <alignment vertical="center"/>
      <protection/>
    </xf>
    <xf numFmtId="3" fontId="60" fillId="36" borderId="74" xfId="59" applyNumberFormat="1" applyFont="1" applyFill="1" applyBorder="1" applyAlignment="1">
      <alignment vertical="center"/>
      <protection/>
    </xf>
    <xf numFmtId="0" fontId="19" fillId="0" borderId="0" xfId="0" applyFont="1" applyBorder="1" applyAlignment="1">
      <alignment horizontal="center"/>
    </xf>
    <xf numFmtId="0" fontId="20" fillId="0" borderId="125" xfId="59" applyFont="1" applyBorder="1" applyAlignment="1">
      <alignment horizontal="center" vertical="center"/>
      <protection/>
    </xf>
    <xf numFmtId="3" fontId="16" fillId="0" borderId="90" xfId="59" applyNumberFormat="1" applyFont="1" applyBorder="1">
      <alignment/>
      <protection/>
    </xf>
    <xf numFmtId="3" fontId="46" fillId="0" borderId="98" xfId="59" applyNumberFormat="1" applyFont="1" applyBorder="1">
      <alignment/>
      <protection/>
    </xf>
    <xf numFmtId="3" fontId="60" fillId="0" borderId="72" xfId="59" applyNumberFormat="1" applyFont="1" applyBorder="1" applyAlignment="1">
      <alignment horizontal="right" vertical="center"/>
      <protection/>
    </xf>
    <xf numFmtId="0" fontId="16" fillId="0" borderId="126" xfId="59" applyFont="1" applyBorder="1" applyAlignment="1">
      <alignment horizontal="right" vertical="center"/>
      <protection/>
    </xf>
    <xf numFmtId="3" fontId="60" fillId="0" borderId="127" xfId="59" applyNumberFormat="1" applyFont="1" applyBorder="1" applyAlignment="1">
      <alignment horizontal="right" vertical="center"/>
      <protection/>
    </xf>
    <xf numFmtId="0" fontId="20" fillId="0" borderId="50" xfId="59" applyFont="1" applyBorder="1" applyAlignment="1">
      <alignment horizontal="center" vertical="center"/>
      <protection/>
    </xf>
    <xf numFmtId="0" fontId="20" fillId="0" borderId="128" xfId="60" applyFont="1" applyFill="1" applyBorder="1" applyAlignment="1">
      <alignment horizontal="center" vertical="center" wrapText="1"/>
      <protection/>
    </xf>
    <xf numFmtId="0" fontId="20" fillId="0" borderId="46" xfId="59" applyFont="1" applyBorder="1" applyAlignment="1">
      <alignment horizontal="center" vertical="center"/>
      <protection/>
    </xf>
    <xf numFmtId="0" fontId="20" fillId="0" borderId="118" xfId="59" applyFont="1" applyBorder="1" applyAlignment="1">
      <alignment horizontal="center" vertical="center"/>
      <protection/>
    </xf>
    <xf numFmtId="0" fontId="24" fillId="0" borderId="79" xfId="59" applyFont="1" applyBorder="1" applyAlignment="1">
      <alignment horizontal="right" vertical="center"/>
      <protection/>
    </xf>
    <xf numFmtId="3" fontId="20" fillId="0" borderId="81" xfId="59" applyNumberFormat="1" applyFont="1" applyBorder="1" applyAlignment="1">
      <alignment horizontal="right" vertical="center"/>
      <protection/>
    </xf>
    <xf numFmtId="3" fontId="20" fillId="0" borderId="80" xfId="59" applyNumberFormat="1" applyFont="1" applyBorder="1" applyAlignment="1">
      <alignment vertical="center"/>
      <protection/>
    </xf>
    <xf numFmtId="3" fontId="20" fillId="0" borderId="68" xfId="59" applyNumberFormat="1" applyFont="1" applyBorder="1" applyAlignment="1">
      <alignment vertical="center"/>
      <protection/>
    </xf>
    <xf numFmtId="3" fontId="61" fillId="0" borderId="80" xfId="59" applyNumberFormat="1" applyFont="1" applyBorder="1" applyAlignment="1">
      <alignment vertical="center"/>
      <protection/>
    </xf>
    <xf numFmtId="3" fontId="24" fillId="0" borderId="80" xfId="59" applyNumberFormat="1" applyFont="1" applyFill="1" applyBorder="1" applyAlignment="1">
      <alignment vertical="center"/>
      <protection/>
    </xf>
    <xf numFmtId="3" fontId="16" fillId="0" borderId="83" xfId="59" applyNumberFormat="1" applyFont="1" applyBorder="1" applyAlignment="1">
      <alignment vertical="center"/>
      <protection/>
    </xf>
    <xf numFmtId="3" fontId="60" fillId="0" borderId="79" xfId="59" applyNumberFormat="1" applyFont="1" applyBorder="1" applyAlignment="1">
      <alignment vertical="center"/>
      <protection/>
    </xf>
    <xf numFmtId="3" fontId="60" fillId="0" borderId="81" xfId="59" applyNumberFormat="1" applyFont="1" applyBorder="1" applyAlignment="1">
      <alignment vertical="center"/>
      <protection/>
    </xf>
    <xf numFmtId="3" fontId="60" fillId="0" borderId="85" xfId="59" applyNumberFormat="1" applyFont="1" applyBorder="1" applyAlignment="1">
      <alignment vertical="center"/>
      <protection/>
    </xf>
    <xf numFmtId="0" fontId="20" fillId="0" borderId="101" xfId="59" applyFont="1" applyBorder="1" applyAlignment="1">
      <alignment horizontal="center"/>
      <protection/>
    </xf>
    <xf numFmtId="0" fontId="20" fillId="0" borderId="101" xfId="59" applyFont="1" applyBorder="1" applyAlignment="1">
      <alignment horizontal="center" vertical="center"/>
      <protection/>
    </xf>
    <xf numFmtId="3" fontId="20" fillId="36" borderId="95" xfId="59" applyNumberFormat="1" applyFont="1" applyFill="1" applyBorder="1" applyAlignment="1">
      <alignment horizontal="right" vertical="center"/>
      <protection/>
    </xf>
    <xf numFmtId="3" fontId="60" fillId="36" borderId="76" xfId="59" applyNumberFormat="1" applyFont="1" applyFill="1" applyBorder="1" applyAlignment="1">
      <alignment horizontal="right" vertical="center"/>
      <protection/>
    </xf>
    <xf numFmtId="3" fontId="60" fillId="36" borderId="97" xfId="59" applyNumberFormat="1" applyFont="1" applyFill="1" applyBorder="1" applyAlignment="1">
      <alignment vertical="center"/>
      <protection/>
    </xf>
    <xf numFmtId="3" fontId="14" fillId="0" borderId="21" xfId="61" applyNumberFormat="1" applyFont="1" applyFill="1" applyBorder="1" applyAlignment="1">
      <alignment vertical="center"/>
      <protection/>
    </xf>
    <xf numFmtId="3" fontId="14" fillId="0" borderId="22" xfId="61" applyNumberFormat="1" applyFont="1" applyFill="1" applyBorder="1" applyAlignment="1">
      <alignment vertical="center"/>
      <protection/>
    </xf>
    <xf numFmtId="3" fontId="14" fillId="0" borderId="23" xfId="61" applyNumberFormat="1" applyFont="1" applyBorder="1" applyAlignment="1">
      <alignment vertical="center"/>
      <protection/>
    </xf>
    <xf numFmtId="0" fontId="23" fillId="0" borderId="69" xfId="59" applyFont="1" applyBorder="1" applyAlignment="1">
      <alignment horizontal="left" vertical="center"/>
      <protection/>
    </xf>
    <xf numFmtId="0" fontId="23" fillId="0" borderId="0" xfId="59" applyFont="1" applyBorder="1" applyAlignment="1">
      <alignment horizontal="left" vertical="center"/>
      <protection/>
    </xf>
    <xf numFmtId="3" fontId="14" fillId="35" borderId="23" xfId="61" applyNumberFormat="1" applyFill="1" applyBorder="1" applyAlignment="1">
      <alignment vertical="center"/>
      <protection/>
    </xf>
    <xf numFmtId="49" fontId="17" fillId="0" borderId="121" xfId="0" applyNumberFormat="1" applyFont="1" applyFill="1" applyBorder="1" applyAlignment="1">
      <alignment horizontal="center" vertical="center"/>
    </xf>
    <xf numFmtId="3" fontId="17" fillId="0" borderId="54" xfId="0" applyNumberFormat="1" applyFont="1" applyFill="1" applyBorder="1" applyAlignment="1">
      <alignment vertical="center"/>
    </xf>
    <xf numFmtId="3" fontId="18" fillId="0" borderId="129" xfId="0" applyNumberFormat="1" applyFont="1" applyFill="1" applyBorder="1" applyAlignment="1">
      <alignment vertical="center"/>
    </xf>
    <xf numFmtId="3" fontId="18" fillId="0" borderId="106" xfId="0" applyNumberFormat="1" applyFont="1" applyFill="1" applyBorder="1" applyAlignment="1">
      <alignment vertical="center"/>
    </xf>
    <xf numFmtId="0" fontId="23" fillId="0" borderId="0" xfId="59" applyFont="1" applyBorder="1" applyAlignment="1">
      <alignment horizontal="left" vertical="center" wrapText="1"/>
      <protection/>
    </xf>
    <xf numFmtId="0" fontId="6" fillId="0" borderId="22" xfId="0" applyFont="1" applyFill="1" applyBorder="1" applyAlignment="1">
      <alignment horizontal="left" vertical="center" wrapText="1"/>
    </xf>
    <xf numFmtId="3" fontId="43" fillId="35" borderId="17" xfId="60" applyNumberFormat="1" applyFont="1" applyFill="1" applyBorder="1" applyAlignment="1">
      <alignment horizontal="right" vertical="center" wrapText="1"/>
      <protection/>
    </xf>
    <xf numFmtId="3" fontId="43" fillId="0" borderId="45" xfId="60" applyNumberFormat="1" applyFont="1" applyFill="1" applyBorder="1" applyAlignment="1">
      <alignment vertical="center"/>
      <protection/>
    </xf>
    <xf numFmtId="3" fontId="43" fillId="0" borderId="44" xfId="60" applyNumberFormat="1" applyFont="1" applyFill="1" applyBorder="1" applyAlignment="1">
      <alignment vertical="center"/>
      <protection/>
    </xf>
    <xf numFmtId="49" fontId="42" fillId="0" borderId="29" xfId="60" applyNumberFormat="1" applyFont="1" applyFill="1" applyBorder="1" applyAlignment="1">
      <alignment horizontal="center" vertical="center"/>
      <protection/>
    </xf>
    <xf numFmtId="3" fontId="19" fillId="0" borderId="28" xfId="59" applyNumberFormat="1" applyFont="1" applyBorder="1">
      <alignment/>
      <protection/>
    </xf>
    <xf numFmtId="0" fontId="23" fillId="0" borderId="28" xfId="59" applyFont="1" applyBorder="1" applyAlignment="1">
      <alignment horizontal="left"/>
      <protection/>
    </xf>
    <xf numFmtId="0" fontId="23" fillId="0" borderId="28" xfId="0" applyFont="1" applyFill="1" applyBorder="1" applyAlignment="1">
      <alignment/>
    </xf>
    <xf numFmtId="3" fontId="16" fillId="0" borderId="130" xfId="59" applyNumberFormat="1" applyFont="1" applyBorder="1" applyAlignment="1">
      <alignment horizontal="right" vertical="center"/>
      <protection/>
    </xf>
    <xf numFmtId="0" fontId="23" fillId="0" borderId="117" xfId="59" applyFont="1" applyBorder="1" applyAlignment="1">
      <alignment horizontal="left" vertical="center" wrapText="1"/>
      <protection/>
    </xf>
    <xf numFmtId="0" fontId="23" fillId="0" borderId="28" xfId="59" applyFont="1" applyBorder="1" applyAlignment="1">
      <alignment horizontal="left" vertical="center" wrapText="1"/>
      <protection/>
    </xf>
    <xf numFmtId="3" fontId="23" fillId="0" borderId="13" xfId="59" applyNumberFormat="1" applyFont="1" applyBorder="1" applyAlignment="1">
      <alignment vertical="center"/>
      <protection/>
    </xf>
    <xf numFmtId="3" fontId="16" fillId="0" borderId="131" xfId="59" applyNumberFormat="1" applyFont="1" applyBorder="1" applyAlignment="1">
      <alignment horizontal="right" vertical="center"/>
      <protection/>
    </xf>
    <xf numFmtId="3" fontId="60" fillId="0" borderId="28" xfId="59" applyNumberFormat="1" applyFont="1" applyBorder="1" applyAlignment="1">
      <alignment horizontal="right" vertical="center"/>
      <protection/>
    </xf>
    <xf numFmtId="3" fontId="60" fillId="0" borderId="18" xfId="59" applyNumberFormat="1" applyFont="1" applyBorder="1" applyAlignment="1">
      <alignment horizontal="right" vertical="center"/>
      <protection/>
    </xf>
    <xf numFmtId="3" fontId="60" fillId="0" borderId="132" xfId="59" applyNumberFormat="1" applyFont="1" applyBorder="1" applyAlignment="1">
      <alignment horizontal="right" vertical="center"/>
      <protection/>
    </xf>
    <xf numFmtId="3" fontId="20" fillId="0" borderId="18" xfId="59" applyNumberFormat="1" applyFont="1" applyBorder="1" applyAlignment="1">
      <alignment horizontal="right"/>
      <protection/>
    </xf>
    <xf numFmtId="3" fontId="20" fillId="0" borderId="132" xfId="59" applyNumberFormat="1" applyFont="1" applyBorder="1">
      <alignment/>
      <protection/>
    </xf>
    <xf numFmtId="0" fontId="19" fillId="0" borderId="72" xfId="59" applyFont="1" applyBorder="1">
      <alignment/>
      <protection/>
    </xf>
    <xf numFmtId="0" fontId="19" fillId="39" borderId="91" xfId="0" applyFont="1" applyFill="1" applyBorder="1" applyAlignment="1">
      <alignment horizontal="center"/>
    </xf>
    <xf numFmtId="0" fontId="19" fillId="0" borderId="133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100" xfId="0" applyBorder="1" applyAlignment="1">
      <alignment vertical="center"/>
    </xf>
    <xf numFmtId="3" fontId="0" fillId="4" borderId="108" xfId="0" applyNumberFormat="1" applyFill="1" applyBorder="1" applyAlignment="1">
      <alignment/>
    </xf>
    <xf numFmtId="0" fontId="19" fillId="0" borderId="91" xfId="0" applyFont="1" applyBorder="1" applyAlignment="1">
      <alignment horizontal="center" vertical="center"/>
    </xf>
    <xf numFmtId="3" fontId="0" fillId="37" borderId="36" xfId="0" applyNumberFormat="1" applyFill="1" applyBorder="1" applyAlignment="1">
      <alignment horizontal="right" vertical="center"/>
    </xf>
    <xf numFmtId="3" fontId="0" fillId="37" borderId="17" xfId="0" applyNumberFormat="1" applyFill="1" applyBorder="1" applyAlignment="1">
      <alignment/>
    </xf>
    <xf numFmtId="3" fontId="0" fillId="37" borderId="134" xfId="0" applyNumberFormat="1" applyFill="1" applyBorder="1" applyAlignment="1">
      <alignment horizontal="right" vertical="center"/>
    </xf>
    <xf numFmtId="3" fontId="0" fillId="4" borderId="116" xfId="0" applyNumberFormat="1" applyFill="1" applyBorder="1" applyAlignment="1">
      <alignment/>
    </xf>
    <xf numFmtId="3" fontId="0" fillId="37" borderId="14" xfId="0" applyNumberFormat="1" applyFill="1" applyBorder="1" applyAlignment="1">
      <alignment/>
    </xf>
    <xf numFmtId="0" fontId="0" fillId="0" borderId="31" xfId="0" applyBorder="1" applyAlignment="1">
      <alignment horizontal="left"/>
    </xf>
    <xf numFmtId="3" fontId="0" fillId="4" borderId="122" xfId="0" applyNumberFormat="1" applyFill="1" applyBorder="1" applyAlignment="1">
      <alignment/>
    </xf>
    <xf numFmtId="3" fontId="22" fillId="37" borderId="14" xfId="0" applyNumberFormat="1" applyFont="1" applyFill="1" applyBorder="1" applyAlignment="1">
      <alignment/>
    </xf>
    <xf numFmtId="0" fontId="0" fillId="0" borderId="130" xfId="0" applyBorder="1" applyAlignment="1">
      <alignment horizontal="left"/>
    </xf>
    <xf numFmtId="3" fontId="0" fillId="37" borderId="135" xfId="0" applyNumberFormat="1" applyFill="1" applyBorder="1" applyAlignment="1">
      <alignment horizontal="right" vertical="center"/>
    </xf>
    <xf numFmtId="3" fontId="0" fillId="0" borderId="20" xfId="0" applyNumberFormat="1" applyBorder="1" applyAlignment="1">
      <alignment/>
    </xf>
    <xf numFmtId="3" fontId="0" fillId="4" borderId="130" xfId="0" applyNumberFormat="1" applyFill="1" applyBorder="1" applyAlignment="1">
      <alignment/>
    </xf>
    <xf numFmtId="3" fontId="0" fillId="4" borderId="136" xfId="0" applyNumberFormat="1" applyFill="1" applyBorder="1" applyAlignment="1">
      <alignment/>
    </xf>
    <xf numFmtId="3" fontId="0" fillId="4" borderId="37" xfId="0" applyNumberFormat="1" applyFill="1" applyBorder="1" applyAlignment="1">
      <alignment/>
    </xf>
    <xf numFmtId="0" fontId="22" fillId="0" borderId="69" xfId="0" applyFont="1" applyBorder="1" applyAlignment="1">
      <alignment/>
    </xf>
    <xf numFmtId="3" fontId="22" fillId="4" borderId="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22" fillId="38" borderId="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 horizontal="center"/>
    </xf>
    <xf numFmtId="3" fontId="22" fillId="4" borderId="60" xfId="0" applyNumberFormat="1" applyFont="1" applyFill="1" applyBorder="1" applyAlignment="1">
      <alignment/>
    </xf>
    <xf numFmtId="3" fontId="0" fillId="35" borderId="36" xfId="0" applyNumberFormat="1" applyFill="1" applyBorder="1" applyAlignment="1">
      <alignment/>
    </xf>
    <xf numFmtId="0" fontId="22" fillId="0" borderId="83" xfId="0" applyFont="1" applyBorder="1" applyAlignment="1">
      <alignment/>
    </xf>
    <xf numFmtId="3" fontId="22" fillId="35" borderId="80" xfId="0" applyNumberFormat="1" applyFont="1" applyFill="1" applyBorder="1" applyAlignment="1">
      <alignment/>
    </xf>
    <xf numFmtId="3" fontId="0" fillId="35" borderId="80" xfId="0" applyNumberFormat="1" applyFill="1" applyBorder="1" applyAlignment="1">
      <alignment/>
    </xf>
    <xf numFmtId="3" fontId="0" fillId="35" borderId="80" xfId="0" applyNumberFormat="1" applyFill="1" applyBorder="1" applyAlignment="1">
      <alignment horizontal="center"/>
    </xf>
    <xf numFmtId="3" fontId="22" fillId="35" borderId="124" xfId="0" applyNumberFormat="1" applyFont="1" applyFill="1" applyBorder="1" applyAlignment="1">
      <alignment/>
    </xf>
    <xf numFmtId="3" fontId="0" fillId="35" borderId="78" xfId="0" applyNumberFormat="1" applyFill="1" applyBorder="1" applyAlignment="1">
      <alignment/>
    </xf>
    <xf numFmtId="3" fontId="0" fillId="35" borderId="18" xfId="0" applyNumberFormat="1" applyFill="1" applyBorder="1" applyAlignment="1">
      <alignment/>
    </xf>
    <xf numFmtId="3" fontId="0" fillId="35" borderId="34" xfId="0" applyNumberFormat="1" applyFill="1" applyBorder="1" applyAlignment="1">
      <alignment/>
    </xf>
    <xf numFmtId="3" fontId="0" fillId="35" borderId="38" xfId="0" applyNumberFormat="1" applyFill="1" applyBorder="1" applyAlignment="1">
      <alignment/>
    </xf>
    <xf numFmtId="3" fontId="0" fillId="35" borderId="22" xfId="0" applyNumberFormat="1" applyFill="1" applyBorder="1" applyAlignment="1">
      <alignment/>
    </xf>
    <xf numFmtId="0" fontId="19" fillId="39" borderId="91" xfId="0" applyFont="1" applyFill="1" applyBorder="1" applyAlignment="1">
      <alignment horizontal="center" vertical="center"/>
    </xf>
    <xf numFmtId="0" fontId="0" fillId="0" borderId="137" xfId="0" applyBorder="1" applyAlignment="1">
      <alignment vertical="center"/>
    </xf>
    <xf numFmtId="3" fontId="14" fillId="4" borderId="37" xfId="0" applyNumberFormat="1" applyFont="1" applyFill="1" applyBorder="1" applyAlignment="1">
      <alignment horizontal="right"/>
    </xf>
    <xf numFmtId="3" fontId="0" fillId="37" borderId="38" xfId="0" applyNumberFormat="1" applyFill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3" fontId="0" fillId="4" borderId="30" xfId="0" applyNumberFormat="1" applyFill="1" applyBorder="1" applyAlignment="1">
      <alignment/>
    </xf>
    <xf numFmtId="3" fontId="0" fillId="0" borderId="38" xfId="0" applyNumberFormat="1" applyBorder="1" applyAlignment="1">
      <alignment/>
    </xf>
    <xf numFmtId="3" fontId="0" fillId="37" borderId="103" xfId="0" applyNumberFormat="1" applyFill="1" applyBorder="1" applyAlignment="1">
      <alignment horizontal="right" vertical="center"/>
    </xf>
    <xf numFmtId="3" fontId="0" fillId="0" borderId="39" xfId="0" applyNumberFormat="1" applyBorder="1" applyAlignment="1">
      <alignment/>
    </xf>
    <xf numFmtId="3" fontId="0" fillId="35" borderId="17" xfId="0" applyNumberFormat="1" applyFill="1" applyBorder="1" applyAlignment="1">
      <alignment/>
    </xf>
    <xf numFmtId="3" fontId="0" fillId="35" borderId="54" xfId="0" applyNumberFormat="1" applyFill="1" applyBorder="1" applyAlignment="1">
      <alignment/>
    </xf>
    <xf numFmtId="3" fontId="0" fillId="0" borderId="22" xfId="0" applyNumberFormat="1" applyBorder="1" applyAlignment="1">
      <alignment horizontal="right"/>
    </xf>
    <xf numFmtId="0" fontId="0" fillId="0" borderId="0" xfId="0" applyFont="1" applyAlignment="1">
      <alignment/>
    </xf>
    <xf numFmtId="0" fontId="21" fillId="35" borderId="14" xfId="60" applyFont="1" applyFill="1" applyBorder="1" applyAlignment="1">
      <alignment horizontal="left" vertical="center" wrapText="1"/>
      <protection/>
    </xf>
    <xf numFmtId="3" fontId="0" fillId="4" borderId="121" xfId="0" applyNumberFormat="1" applyFill="1" applyBorder="1" applyAlignment="1">
      <alignment/>
    </xf>
    <xf numFmtId="3" fontId="0" fillId="37" borderId="32" xfId="0" applyNumberFormat="1" applyFill="1" applyBorder="1" applyAlignment="1">
      <alignment/>
    </xf>
    <xf numFmtId="3" fontId="0" fillId="37" borderId="103" xfId="0" applyNumberFormat="1" applyFill="1" applyBorder="1" applyAlignment="1">
      <alignment/>
    </xf>
    <xf numFmtId="0" fontId="0" fillId="0" borderId="122" xfId="0" applyBorder="1" applyAlignment="1">
      <alignment wrapText="1"/>
    </xf>
    <xf numFmtId="3" fontId="23" fillId="0" borderId="48" xfId="59" applyNumberFormat="1" applyFont="1" applyBorder="1" applyAlignment="1">
      <alignment/>
      <protection/>
    </xf>
    <xf numFmtId="3" fontId="20" fillId="36" borderId="74" xfId="59" applyNumberFormat="1" applyFont="1" applyFill="1" applyBorder="1" applyAlignment="1">
      <alignment vertical="center"/>
      <protection/>
    </xf>
    <xf numFmtId="3" fontId="20" fillId="36" borderId="138" xfId="59" applyNumberFormat="1" applyFont="1" applyFill="1" applyBorder="1" applyAlignment="1">
      <alignment vertical="center"/>
      <protection/>
    </xf>
    <xf numFmtId="0" fontId="23" fillId="0" borderId="69" xfId="59" applyFont="1" applyBorder="1" applyAlignment="1">
      <alignment horizontal="left" vertical="center" wrapText="1"/>
      <protection/>
    </xf>
    <xf numFmtId="3" fontId="23" fillId="0" borderId="0" xfId="0" applyNumberFormat="1" applyFont="1" applyBorder="1" applyAlignment="1">
      <alignment/>
    </xf>
    <xf numFmtId="3" fontId="110" fillId="0" borderId="22" xfId="58" applyNumberFormat="1" applyFont="1" applyBorder="1">
      <alignment/>
      <protection/>
    </xf>
    <xf numFmtId="0" fontId="43" fillId="0" borderId="22" xfId="0" applyFont="1" applyBorder="1" applyAlignment="1">
      <alignment vertical="center"/>
    </xf>
    <xf numFmtId="0" fontId="48" fillId="35" borderId="22" xfId="58" applyFont="1" applyFill="1" applyBorder="1">
      <alignment/>
      <protection/>
    </xf>
    <xf numFmtId="0" fontId="48" fillId="35" borderId="22" xfId="58" applyFont="1" applyFill="1" applyBorder="1" applyAlignment="1">
      <alignment horizontal="left"/>
      <protection/>
    </xf>
    <xf numFmtId="0" fontId="48" fillId="35" borderId="14" xfId="58" applyFont="1" applyFill="1" applyBorder="1" applyAlignment="1">
      <alignment horizontal="left"/>
      <protection/>
    </xf>
    <xf numFmtId="0" fontId="48" fillId="35" borderId="17" xfId="58" applyFont="1" applyFill="1" applyBorder="1" applyAlignment="1">
      <alignment horizontal="left" vertical="center" wrapText="1"/>
      <protection/>
    </xf>
    <xf numFmtId="3" fontId="48" fillId="35" borderId="22" xfId="58" applyNumberFormat="1" applyFont="1" applyFill="1" applyBorder="1" applyAlignment="1">
      <alignment vertical="center"/>
      <protection/>
    </xf>
    <xf numFmtId="3" fontId="47" fillId="35" borderId="22" xfId="58" applyNumberFormat="1" applyFont="1" applyFill="1" applyBorder="1" applyAlignment="1">
      <alignment vertical="center"/>
      <protection/>
    </xf>
    <xf numFmtId="3" fontId="47" fillId="35" borderId="103" xfId="58" applyNumberFormat="1" applyFont="1" applyFill="1" applyBorder="1">
      <alignment/>
      <protection/>
    </xf>
    <xf numFmtId="0" fontId="19" fillId="35" borderId="0" xfId="0" applyFont="1" applyFill="1" applyAlignment="1">
      <alignment/>
    </xf>
    <xf numFmtId="49" fontId="42" fillId="35" borderId="21" xfId="0" applyNumberFormat="1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vertical="center" wrapText="1"/>
    </xf>
    <xf numFmtId="0" fontId="18" fillId="0" borderId="22" xfId="0" applyFont="1" applyBorder="1" applyAlignment="1">
      <alignment horizontal="left" vertical="center"/>
    </xf>
    <xf numFmtId="3" fontId="43" fillId="0" borderId="139" xfId="60" applyNumberFormat="1" applyFont="1" applyFill="1" applyBorder="1" applyAlignment="1">
      <alignment vertical="center" wrapText="1"/>
      <protection/>
    </xf>
    <xf numFmtId="49" fontId="42" fillId="35" borderId="37" xfId="60" applyNumberFormat="1" applyFont="1" applyFill="1" applyBorder="1" applyAlignment="1">
      <alignment horizontal="center" vertical="center"/>
      <protection/>
    </xf>
    <xf numFmtId="3" fontId="60" fillId="0" borderId="132" xfId="59" applyNumberFormat="1" applyFont="1" applyBorder="1">
      <alignment/>
      <protection/>
    </xf>
    <xf numFmtId="3" fontId="60" fillId="0" borderId="140" xfId="59" applyNumberFormat="1" applyFont="1" applyBorder="1">
      <alignment/>
      <protection/>
    </xf>
    <xf numFmtId="3" fontId="60" fillId="0" borderId="18" xfId="59" applyNumberFormat="1" applyFont="1" applyBorder="1">
      <alignment/>
      <protection/>
    </xf>
    <xf numFmtId="3" fontId="0" fillId="4" borderId="35" xfId="0" applyNumberFormat="1" applyFill="1" applyBorder="1" applyAlignment="1">
      <alignment horizontal="right" vertical="center"/>
    </xf>
    <xf numFmtId="3" fontId="0" fillId="4" borderId="21" xfId="0" applyNumberFormat="1" applyFill="1" applyBorder="1" applyAlignment="1">
      <alignment horizontal="right" vertical="center"/>
    </xf>
    <xf numFmtId="3" fontId="0" fillId="4" borderId="29" xfId="0" applyNumberFormat="1" applyFill="1" applyBorder="1" applyAlignment="1">
      <alignment horizontal="right" vertical="center"/>
    </xf>
    <xf numFmtId="0" fontId="70" fillId="0" borderId="22" xfId="0" applyFont="1" applyBorder="1" applyAlignment="1">
      <alignment horizontal="right" vertical="center"/>
    </xf>
    <xf numFmtId="0" fontId="70" fillId="0" borderId="22" xfId="0" applyFont="1" applyBorder="1" applyAlignment="1">
      <alignment horizontal="right" vertical="center" wrapText="1"/>
    </xf>
    <xf numFmtId="166" fontId="70" fillId="0" borderId="22" xfId="0" applyNumberFormat="1" applyFont="1" applyBorder="1" applyAlignment="1">
      <alignment vertical="center"/>
    </xf>
    <xf numFmtId="166" fontId="111" fillId="0" borderId="22" xfId="0" applyNumberFormat="1" applyFont="1" applyBorder="1" applyAlignment="1">
      <alignment vertical="center"/>
    </xf>
    <xf numFmtId="0" fontId="23" fillId="36" borderId="88" xfId="59" applyFont="1" applyFill="1" applyBorder="1" applyAlignment="1">
      <alignment horizontal="left" vertical="center" wrapText="1"/>
      <protection/>
    </xf>
    <xf numFmtId="0" fontId="23" fillId="0" borderId="77" xfId="59" applyFont="1" applyBorder="1" applyAlignment="1">
      <alignment horizontal="left"/>
      <protection/>
    </xf>
    <xf numFmtId="0" fontId="62" fillId="0" borderId="52" xfId="59" applyFont="1" applyBorder="1" applyAlignment="1">
      <alignment/>
      <protection/>
    </xf>
    <xf numFmtId="0" fontId="62" fillId="0" borderId="0" xfId="59" applyFont="1" applyBorder="1" applyAlignment="1">
      <alignment/>
      <protection/>
    </xf>
    <xf numFmtId="0" fontId="62" fillId="0" borderId="60" xfId="59" applyFont="1" applyBorder="1" applyAlignment="1">
      <alignment/>
      <protection/>
    </xf>
    <xf numFmtId="0" fontId="62" fillId="0" borderId="94" xfId="59" applyFont="1" applyBorder="1" applyAlignment="1">
      <alignment/>
      <protection/>
    </xf>
    <xf numFmtId="0" fontId="62" fillId="0" borderId="33" xfId="59" applyFont="1" applyBorder="1" applyAlignment="1">
      <alignment/>
      <protection/>
    </xf>
    <xf numFmtId="0" fontId="62" fillId="0" borderId="48" xfId="59" applyFont="1" applyBorder="1" applyAlignment="1">
      <alignment/>
      <protection/>
    </xf>
    <xf numFmtId="3" fontId="22" fillId="37" borderId="36" xfId="0" applyNumberFormat="1" applyFont="1" applyFill="1" applyBorder="1" applyAlignment="1">
      <alignment/>
    </xf>
    <xf numFmtId="0" fontId="0" fillId="0" borderId="18" xfId="0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0" fillId="0" borderId="115" xfId="0" applyBorder="1" applyAlignment="1">
      <alignment horizontal="left"/>
    </xf>
    <xf numFmtId="0" fontId="0" fillId="0" borderId="69" xfId="0" applyBorder="1" applyAlignment="1">
      <alignment horizontal="left"/>
    </xf>
    <xf numFmtId="3" fontId="0" fillId="4" borderId="69" xfId="0" applyNumberFormat="1" applyFill="1" applyBorder="1" applyAlignment="1">
      <alignment/>
    </xf>
    <xf numFmtId="3" fontId="0" fillId="0" borderId="54" xfId="0" applyNumberFormat="1" applyBorder="1" applyAlignment="1">
      <alignment/>
    </xf>
    <xf numFmtId="3" fontId="0" fillId="37" borderId="129" xfId="0" applyNumberFormat="1" applyFill="1" applyBorder="1" applyAlignment="1">
      <alignment/>
    </xf>
    <xf numFmtId="3" fontId="0" fillId="37" borderId="23" xfId="0" applyNumberFormat="1" applyFill="1" applyBorder="1" applyAlignment="1">
      <alignment/>
    </xf>
    <xf numFmtId="3" fontId="22" fillId="37" borderId="103" xfId="0" applyNumberFormat="1" applyFont="1" applyFill="1" applyBorder="1" applyAlignment="1">
      <alignment/>
    </xf>
    <xf numFmtId="0" fontId="0" fillId="0" borderId="32" xfId="0" applyBorder="1" applyAlignment="1">
      <alignment horizontal="right"/>
    </xf>
    <xf numFmtId="0" fontId="0" fillId="0" borderId="31" xfId="0" applyBorder="1" applyAlignment="1">
      <alignment/>
    </xf>
    <xf numFmtId="3" fontId="22" fillId="37" borderId="102" xfId="0" applyNumberFormat="1" applyFont="1" applyFill="1" applyBorder="1" applyAlignment="1">
      <alignment/>
    </xf>
    <xf numFmtId="0" fontId="0" fillId="0" borderId="30" xfId="0" applyBorder="1" applyAlignment="1">
      <alignment/>
    </xf>
    <xf numFmtId="3" fontId="0" fillId="37" borderId="44" xfId="0" applyNumberFormat="1" applyFill="1" applyBorder="1" applyAlignment="1">
      <alignment/>
    </xf>
    <xf numFmtId="3" fontId="0" fillId="37" borderId="43" xfId="0" applyNumberFormat="1" applyFill="1" applyBorder="1" applyAlignment="1">
      <alignment/>
    </xf>
    <xf numFmtId="3" fontId="0" fillId="4" borderId="45" xfId="0" applyNumberFormat="1" applyFill="1" applyBorder="1" applyAlignment="1">
      <alignment/>
    </xf>
    <xf numFmtId="0" fontId="6" fillId="0" borderId="14" xfId="0" applyFont="1" applyFill="1" applyBorder="1" applyAlignment="1">
      <alignment vertical="center"/>
    </xf>
    <xf numFmtId="0" fontId="22" fillId="35" borderId="0" xfId="0" applyFont="1" applyFill="1" applyAlignment="1">
      <alignment/>
    </xf>
    <xf numFmtId="0" fontId="16" fillId="0" borderId="0" xfId="60" applyFont="1" applyFill="1" applyAlignment="1">
      <alignment vertical="center" wrapText="1"/>
      <protection/>
    </xf>
    <xf numFmtId="3" fontId="23" fillId="0" borderId="48" xfId="59" applyNumberFormat="1" applyFont="1" applyBorder="1">
      <alignment/>
      <protection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0" xfId="0" applyFill="1" applyAlignment="1">
      <alignment vertical="center"/>
    </xf>
    <xf numFmtId="0" fontId="22" fillId="5" borderId="21" xfId="0" applyFont="1" applyFill="1" applyBorder="1" applyAlignment="1">
      <alignment vertical="center" wrapText="1"/>
    </xf>
    <xf numFmtId="0" fontId="19" fillId="0" borderId="141" xfId="0" applyFont="1" applyBorder="1" applyAlignment="1">
      <alignment horizontal="center" vertical="center"/>
    </xf>
    <xf numFmtId="3" fontId="0" fillId="0" borderId="38" xfId="0" applyNumberFormat="1" applyBorder="1" applyAlignment="1">
      <alignment vertical="center"/>
    </xf>
    <xf numFmtId="3" fontId="0" fillId="0" borderId="39" xfId="0" applyNumberFormat="1" applyBorder="1" applyAlignment="1">
      <alignment vertical="center"/>
    </xf>
    <xf numFmtId="3" fontId="0" fillId="4" borderId="30" xfId="0" applyNumberFormat="1" applyFill="1" applyBorder="1" applyAlignment="1">
      <alignment vertical="center"/>
    </xf>
    <xf numFmtId="0" fontId="0" fillId="0" borderId="45" xfId="0" applyBorder="1" applyAlignment="1">
      <alignment horizontal="left" vertical="center" wrapText="1"/>
    </xf>
    <xf numFmtId="0" fontId="19" fillId="0" borderId="30" xfId="0" applyFont="1" applyBorder="1" applyAlignment="1">
      <alignment horizontal="center" vertical="center"/>
    </xf>
    <xf numFmtId="0" fontId="0" fillId="0" borderId="122" xfId="0" applyBorder="1" applyAlignment="1">
      <alignment vertical="center" wrapText="1"/>
    </xf>
    <xf numFmtId="3" fontId="0" fillId="4" borderId="121" xfId="0" applyNumberFormat="1" applyFill="1" applyBorder="1" applyAlignment="1">
      <alignment vertical="center"/>
    </xf>
    <xf numFmtId="3" fontId="0" fillId="37" borderId="32" xfId="0" applyNumberFormat="1" applyFill="1" applyBorder="1" applyAlignment="1">
      <alignment vertical="center"/>
    </xf>
    <xf numFmtId="3" fontId="0" fillId="37" borderId="103" xfId="0" applyNumberFormat="1" applyFill="1" applyBorder="1" applyAlignment="1">
      <alignment vertical="center"/>
    </xf>
    <xf numFmtId="3" fontId="0" fillId="4" borderId="31" xfId="0" applyNumberFormat="1" applyFill="1" applyBorder="1" applyAlignment="1">
      <alignment vertical="center"/>
    </xf>
    <xf numFmtId="3" fontId="0" fillId="4" borderId="37" xfId="0" applyNumberFormat="1" applyFill="1" applyBorder="1" applyAlignment="1">
      <alignment vertical="center"/>
    </xf>
    <xf numFmtId="0" fontId="0" fillId="0" borderId="114" xfId="0" applyBorder="1" applyAlignment="1">
      <alignment vertical="center" wrapText="1"/>
    </xf>
    <xf numFmtId="3" fontId="0" fillId="4" borderId="35" xfId="0" applyNumberFormat="1" applyFill="1" applyBorder="1" applyAlignment="1">
      <alignment vertical="center"/>
    </xf>
    <xf numFmtId="3" fontId="22" fillId="37" borderId="142" xfId="0" applyNumberFormat="1" applyFont="1" applyFill="1" applyBorder="1" applyAlignment="1">
      <alignment vertical="center"/>
    </xf>
    <xf numFmtId="3" fontId="0" fillId="0" borderId="36" xfId="0" applyNumberFormat="1" applyBorder="1" applyAlignment="1">
      <alignment vertical="center"/>
    </xf>
    <xf numFmtId="3" fontId="0" fillId="0" borderId="119" xfId="0" applyNumberFormat="1" applyBorder="1" applyAlignment="1">
      <alignment vertical="center"/>
    </xf>
    <xf numFmtId="3" fontId="0" fillId="37" borderId="36" xfId="0" applyNumberFormat="1" applyFill="1" applyBorder="1" applyAlignment="1">
      <alignment vertical="center"/>
    </xf>
    <xf numFmtId="3" fontId="0" fillId="4" borderId="115" xfId="0" applyNumberFormat="1" applyFill="1" applyBorder="1" applyAlignment="1">
      <alignment vertical="center"/>
    </xf>
    <xf numFmtId="0" fontId="0" fillId="0" borderId="115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3" fontId="22" fillId="37" borderId="14" xfId="0" applyNumberFormat="1" applyFont="1" applyFill="1" applyBorder="1" applyAlignment="1">
      <alignment vertical="center"/>
    </xf>
    <xf numFmtId="3" fontId="0" fillId="37" borderId="143" xfId="0" applyNumberFormat="1" applyFill="1" applyBorder="1" applyAlignment="1">
      <alignment/>
    </xf>
    <xf numFmtId="3" fontId="0" fillId="37" borderId="47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 vertical="center"/>
    </xf>
    <xf numFmtId="3" fontId="0" fillId="0" borderId="32" xfId="0" applyNumberFormat="1" applyBorder="1" applyAlignment="1">
      <alignment/>
    </xf>
    <xf numFmtId="0" fontId="0" fillId="0" borderId="37" xfId="0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center"/>
    </xf>
    <xf numFmtId="0" fontId="0" fillId="0" borderId="115" xfId="0" applyBorder="1" applyAlignment="1">
      <alignment horizontal="left" vertical="center"/>
    </xf>
    <xf numFmtId="0" fontId="0" fillId="0" borderId="0" xfId="0" applyBorder="1" applyAlignment="1">
      <alignment/>
    </xf>
    <xf numFmtId="3" fontId="0" fillId="35" borderId="119" xfId="0" applyNumberFormat="1" applyFill="1" applyBorder="1" applyAlignment="1">
      <alignment/>
    </xf>
    <xf numFmtId="3" fontId="0" fillId="35" borderId="144" xfId="0" applyNumberFormat="1" applyFill="1" applyBorder="1" applyAlignment="1">
      <alignment/>
    </xf>
    <xf numFmtId="0" fontId="19" fillId="0" borderId="145" xfId="0" applyFont="1" applyBorder="1" applyAlignment="1">
      <alignment horizontal="center" vertical="center"/>
    </xf>
    <xf numFmtId="0" fontId="23" fillId="0" borderId="52" xfId="59" applyFont="1" applyBorder="1" applyAlignment="1">
      <alignment horizontal="left" wrapText="1"/>
      <protection/>
    </xf>
    <xf numFmtId="0" fontId="6" fillId="0" borderId="17" xfId="0" applyFont="1" applyFill="1" applyBorder="1" applyAlignment="1">
      <alignment vertical="center" wrapText="1"/>
    </xf>
    <xf numFmtId="3" fontId="23" fillId="0" borderId="33" xfId="59" applyNumberFormat="1" applyFont="1" applyBorder="1" applyAlignment="1">
      <alignment vertical="center"/>
      <protection/>
    </xf>
    <xf numFmtId="3" fontId="23" fillId="0" borderId="24" xfId="59" applyNumberFormat="1" applyFont="1" applyBorder="1" applyAlignment="1">
      <alignment vertical="center"/>
      <protection/>
    </xf>
    <xf numFmtId="0" fontId="6" fillId="0" borderId="22" xfId="0" applyFont="1" applyFill="1" applyBorder="1" applyAlignment="1">
      <alignment vertical="center"/>
    </xf>
    <xf numFmtId="0" fontId="42" fillId="0" borderId="22" xfId="0" applyFont="1" applyBorder="1" applyAlignment="1">
      <alignment horizontal="left"/>
    </xf>
    <xf numFmtId="0" fontId="46" fillId="0" borderId="1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42" fillId="0" borderId="22" xfId="0" applyFont="1" applyBorder="1" applyAlignment="1">
      <alignment horizontal="left" wrapText="1"/>
    </xf>
    <xf numFmtId="0" fontId="43" fillId="0" borderId="22" xfId="0" applyFont="1" applyBorder="1" applyAlignment="1">
      <alignment horizontal="left" wrapText="1"/>
    </xf>
    <xf numFmtId="0" fontId="16" fillId="0" borderId="22" xfId="0" applyFont="1" applyBorder="1" applyAlignment="1">
      <alignment horizontal="left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2" fillId="0" borderId="22" xfId="58" applyFont="1" applyBorder="1" applyAlignment="1">
      <alignment horizontal="left"/>
      <protection/>
    </xf>
    <xf numFmtId="0" fontId="20" fillId="0" borderId="14" xfId="58" applyFont="1" applyBorder="1" applyAlignment="1">
      <alignment horizontal="left"/>
      <protection/>
    </xf>
    <xf numFmtId="0" fontId="20" fillId="0" borderId="16" xfId="58" applyFont="1" applyBorder="1" applyAlignment="1">
      <alignment horizontal="left"/>
      <protection/>
    </xf>
    <xf numFmtId="0" fontId="20" fillId="0" borderId="17" xfId="58" applyFont="1" applyBorder="1" applyAlignment="1">
      <alignment horizontal="left"/>
      <protection/>
    </xf>
    <xf numFmtId="0" fontId="16" fillId="0" borderId="14" xfId="58" applyFont="1" applyBorder="1" applyAlignment="1">
      <alignment horizontal="left"/>
      <protection/>
    </xf>
    <xf numFmtId="0" fontId="16" fillId="0" borderId="16" xfId="58" applyFont="1" applyBorder="1" applyAlignment="1">
      <alignment horizontal="left"/>
      <protection/>
    </xf>
    <xf numFmtId="0" fontId="16" fillId="0" borderId="17" xfId="58" applyFont="1" applyBorder="1" applyAlignment="1">
      <alignment horizontal="left"/>
      <protection/>
    </xf>
    <xf numFmtId="0" fontId="42" fillId="0" borderId="14" xfId="58" applyFont="1" applyBorder="1" applyAlignment="1">
      <alignment horizontal="left" wrapText="1"/>
      <protection/>
    </xf>
    <xf numFmtId="0" fontId="42" fillId="0" borderId="17" xfId="58" applyFont="1" applyBorder="1" applyAlignment="1">
      <alignment horizontal="left" wrapText="1"/>
      <protection/>
    </xf>
    <xf numFmtId="0" fontId="43" fillId="0" borderId="14" xfId="58" applyFont="1" applyBorder="1" applyAlignment="1">
      <alignment horizontal="left" wrapText="1"/>
      <protection/>
    </xf>
    <xf numFmtId="0" fontId="43" fillId="0" borderId="17" xfId="58" applyFont="1" applyBorder="1" applyAlignment="1">
      <alignment horizontal="left" wrapText="1"/>
      <protection/>
    </xf>
    <xf numFmtId="0" fontId="20" fillId="0" borderId="22" xfId="58" applyFont="1" applyBorder="1" applyAlignment="1">
      <alignment horizontal="left"/>
      <protection/>
    </xf>
    <xf numFmtId="0" fontId="42" fillId="0" borderId="14" xfId="58" applyFont="1" applyBorder="1" applyAlignment="1">
      <alignment horizontal="left" vertical="center" wrapText="1"/>
      <protection/>
    </xf>
    <xf numFmtId="0" fontId="42" fillId="0" borderId="17" xfId="58" applyFont="1" applyBorder="1" applyAlignment="1">
      <alignment horizontal="left" vertical="center" wrapText="1"/>
      <protection/>
    </xf>
    <xf numFmtId="0" fontId="19" fillId="0" borderId="0" xfId="58" applyFont="1" applyAlignment="1">
      <alignment horizontal="right" vertical="center"/>
      <protection/>
    </xf>
    <xf numFmtId="0" fontId="45" fillId="0" borderId="0" xfId="58" applyFont="1" applyFill="1" applyAlignment="1">
      <alignment horizontal="center" vertical="center"/>
      <protection/>
    </xf>
    <xf numFmtId="0" fontId="46" fillId="0" borderId="14" xfId="58" applyFont="1" applyFill="1" applyBorder="1" applyAlignment="1">
      <alignment horizontal="center" vertical="center" wrapText="1"/>
      <protection/>
    </xf>
    <xf numFmtId="0" fontId="20" fillId="0" borderId="16" xfId="58" applyFont="1" applyFill="1" applyBorder="1" applyAlignment="1">
      <alignment horizontal="center" vertical="center" wrapText="1"/>
      <protection/>
    </xf>
    <xf numFmtId="0" fontId="20" fillId="0" borderId="17" xfId="58" applyFont="1" applyFill="1" applyBorder="1" applyAlignment="1">
      <alignment horizontal="center" vertical="center" wrapText="1"/>
      <protection/>
    </xf>
    <xf numFmtId="0" fontId="17" fillId="0" borderId="14" xfId="58" applyFont="1" applyFill="1" applyBorder="1" applyAlignment="1">
      <alignment horizontal="center" vertical="center" wrapText="1"/>
      <protection/>
    </xf>
    <xf numFmtId="0" fontId="17" fillId="0" borderId="16" xfId="58" applyFont="1" applyBorder="1" applyAlignment="1">
      <alignment horizontal="center" vertical="center" wrapText="1"/>
      <protection/>
    </xf>
    <xf numFmtId="0" fontId="17" fillId="0" borderId="17" xfId="58" applyFont="1" applyBorder="1" applyAlignment="1">
      <alignment horizontal="center" vertical="center" wrapText="1"/>
      <protection/>
    </xf>
    <xf numFmtId="0" fontId="42" fillId="0" borderId="14" xfId="58" applyFont="1" applyBorder="1" applyAlignment="1">
      <alignment horizontal="left"/>
      <protection/>
    </xf>
    <xf numFmtId="0" fontId="42" fillId="0" borderId="16" xfId="58" applyFont="1" applyBorder="1" applyAlignment="1">
      <alignment horizontal="left"/>
      <protection/>
    </xf>
    <xf numFmtId="0" fontId="42" fillId="0" borderId="17" xfId="58" applyFont="1" applyBorder="1" applyAlignment="1">
      <alignment horizontal="left"/>
      <protection/>
    </xf>
    <xf numFmtId="0" fontId="21" fillId="0" borderId="14" xfId="57" applyFont="1" applyBorder="1" applyAlignment="1">
      <alignment horizontal="center" vertical="center" wrapText="1"/>
      <protection/>
    </xf>
    <xf numFmtId="0" fontId="21" fillId="0" borderId="16" xfId="57" applyFont="1" applyBorder="1" applyAlignment="1">
      <alignment horizontal="center" vertical="center" wrapText="1"/>
      <protection/>
    </xf>
    <xf numFmtId="0" fontId="21" fillId="0" borderId="17" xfId="57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right" vertical="center"/>
    </xf>
    <xf numFmtId="0" fontId="41" fillId="0" borderId="0" xfId="0" applyFont="1" applyAlignment="1">
      <alignment horizontal="right"/>
    </xf>
    <xf numFmtId="0" fontId="16" fillId="0" borderId="0" xfId="57" applyFont="1" applyAlignment="1">
      <alignment horizontal="center"/>
      <protection/>
    </xf>
    <xf numFmtId="0" fontId="16" fillId="0" borderId="22" xfId="57" applyFont="1" applyBorder="1" applyAlignment="1">
      <alignment horizontal="center" vertical="center"/>
      <protection/>
    </xf>
    <xf numFmtId="0" fontId="21" fillId="0" borderId="22" xfId="57" applyFont="1" applyBorder="1" applyAlignment="1">
      <alignment horizontal="center" vertical="center"/>
      <protection/>
    </xf>
    <xf numFmtId="0" fontId="21" fillId="0" borderId="14" xfId="57" applyFont="1" applyBorder="1" applyAlignment="1">
      <alignment horizontal="center"/>
      <protection/>
    </xf>
    <xf numFmtId="0" fontId="21" fillId="0" borderId="16" xfId="57" applyFont="1" applyBorder="1" applyAlignment="1">
      <alignment horizontal="center"/>
      <protection/>
    </xf>
    <xf numFmtId="0" fontId="21" fillId="0" borderId="17" xfId="57" applyFont="1" applyBorder="1" applyAlignment="1">
      <alignment horizontal="center"/>
      <protection/>
    </xf>
    <xf numFmtId="0" fontId="18" fillId="0" borderId="14" xfId="57" applyFont="1" applyBorder="1" applyAlignment="1">
      <alignment horizontal="right" vertical="center"/>
      <protection/>
    </xf>
    <xf numFmtId="0" fontId="18" fillId="0" borderId="16" xfId="57" applyFont="1" applyBorder="1" applyAlignment="1">
      <alignment horizontal="right" vertical="center"/>
      <protection/>
    </xf>
    <xf numFmtId="49" fontId="43" fillId="0" borderId="21" xfId="0" applyNumberFormat="1" applyFont="1" applyFill="1" applyBorder="1" applyAlignment="1">
      <alignment horizontal="center" textRotation="90"/>
    </xf>
    <xf numFmtId="0" fontId="4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/>
    </xf>
    <xf numFmtId="0" fontId="17" fillId="0" borderId="0" xfId="0" applyFont="1" applyAlignment="1">
      <alignment horizontal="right"/>
    </xf>
    <xf numFmtId="0" fontId="18" fillId="0" borderId="0" xfId="0" applyFont="1" applyFill="1" applyAlignment="1">
      <alignment horizontal="center" vertical="center"/>
    </xf>
    <xf numFmtId="49" fontId="21" fillId="0" borderId="136" xfId="0" applyNumberFormat="1" applyFont="1" applyFill="1" applyBorder="1" applyAlignment="1">
      <alignment horizontal="center" vertical="center"/>
    </xf>
    <xf numFmtId="49" fontId="21" fillId="0" borderId="121" xfId="0" applyNumberFormat="1" applyFont="1" applyFill="1" applyBorder="1" applyAlignment="1">
      <alignment horizontal="center" vertical="center"/>
    </xf>
    <xf numFmtId="49" fontId="21" fillId="0" borderId="37" xfId="0" applyNumberFormat="1" applyFont="1" applyFill="1" applyBorder="1" applyAlignment="1">
      <alignment horizontal="center" vertical="center"/>
    </xf>
    <xf numFmtId="0" fontId="21" fillId="0" borderId="78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64" fillId="0" borderId="134" xfId="0" applyFont="1" applyFill="1" applyBorder="1" applyAlignment="1">
      <alignment horizontal="center" vertical="center" wrapText="1"/>
    </xf>
    <xf numFmtId="0" fontId="64" fillId="0" borderId="103" xfId="0" applyFont="1" applyFill="1" applyBorder="1" applyAlignment="1">
      <alignment horizontal="center" vertical="center" wrapText="1"/>
    </xf>
    <xf numFmtId="0" fontId="64" fillId="0" borderId="10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21" fillId="0" borderId="142" xfId="0" applyFont="1" applyFill="1" applyBorder="1" applyAlignment="1">
      <alignment horizontal="center" vertical="center"/>
    </xf>
    <xf numFmtId="0" fontId="21" fillId="0" borderId="146" xfId="0" applyFont="1" applyFill="1" applyBorder="1" applyAlignment="1">
      <alignment horizontal="center" vertical="center"/>
    </xf>
    <xf numFmtId="0" fontId="21" fillId="0" borderId="119" xfId="0" applyFont="1" applyFill="1" applyBorder="1" applyAlignment="1">
      <alignment horizontal="center" vertical="center"/>
    </xf>
    <xf numFmtId="0" fontId="21" fillId="0" borderId="139" xfId="0" applyFont="1" applyFill="1" applyBorder="1" applyAlignment="1">
      <alignment horizontal="center" vertical="center" wrapText="1"/>
    </xf>
    <xf numFmtId="0" fontId="21" fillId="0" borderId="12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9" fontId="46" fillId="12" borderId="114" xfId="0" applyNumberFormat="1" applyFont="1" applyFill="1" applyBorder="1" applyAlignment="1">
      <alignment horizontal="left" vertical="center"/>
    </xf>
    <xf numFmtId="49" fontId="46" fillId="12" borderId="146" xfId="0" applyNumberFormat="1" applyFont="1" applyFill="1" applyBorder="1" applyAlignment="1">
      <alignment horizontal="left" vertical="center"/>
    </xf>
    <xf numFmtId="49" fontId="46" fillId="12" borderId="144" xfId="0" applyNumberFormat="1" applyFont="1" applyFill="1" applyBorder="1" applyAlignment="1">
      <alignment horizontal="left" vertical="center"/>
    </xf>
    <xf numFmtId="0" fontId="19" fillId="0" borderId="0" xfId="60" applyFont="1" applyFill="1" applyAlignment="1">
      <alignment horizontal="right" vertical="center"/>
      <protection/>
    </xf>
    <xf numFmtId="0" fontId="19" fillId="0" borderId="0" xfId="60" applyFont="1" applyAlignment="1">
      <alignment horizontal="right"/>
      <protection/>
    </xf>
    <xf numFmtId="0" fontId="18" fillId="0" borderId="147" xfId="60" applyFont="1" applyFill="1" applyBorder="1" applyAlignment="1">
      <alignment horizontal="center" vertical="center" wrapText="1"/>
      <protection/>
    </xf>
    <xf numFmtId="0" fontId="18" fillId="0" borderId="108" xfId="60" applyFont="1" applyFill="1" applyBorder="1" applyAlignment="1">
      <alignment horizontal="center" vertical="center" wrapText="1"/>
      <protection/>
    </xf>
    <xf numFmtId="0" fontId="18" fillId="0" borderId="145" xfId="60" applyFont="1" applyFill="1" applyBorder="1" applyAlignment="1">
      <alignment horizontal="center" vertical="center" wrapText="1"/>
      <protection/>
    </xf>
    <xf numFmtId="0" fontId="21" fillId="0" borderId="61" xfId="60" applyFont="1" applyFill="1" applyBorder="1" applyAlignment="1">
      <alignment horizontal="center" vertical="center" wrapText="1"/>
      <protection/>
    </xf>
    <xf numFmtId="0" fontId="21" fillId="0" borderId="60" xfId="60" applyFont="1" applyFill="1" applyBorder="1" applyAlignment="1">
      <alignment horizontal="center" vertical="center" wrapText="1"/>
      <protection/>
    </xf>
    <xf numFmtId="0" fontId="21" fillId="0" borderId="48" xfId="60" applyFont="1" applyFill="1" applyBorder="1" applyAlignment="1">
      <alignment horizontal="center" vertical="center" wrapText="1"/>
      <protection/>
    </xf>
    <xf numFmtId="0" fontId="21" fillId="0" borderId="39" xfId="60" applyFont="1" applyFill="1" applyBorder="1" applyAlignment="1">
      <alignment horizontal="center" vertical="center" wrapText="1"/>
      <protection/>
    </xf>
    <xf numFmtId="0" fontId="21" fillId="0" borderId="38" xfId="60" applyFont="1" applyFill="1" applyBorder="1" applyAlignment="1">
      <alignment horizontal="center" vertical="center" wrapText="1"/>
      <protection/>
    </xf>
    <xf numFmtId="0" fontId="21" fillId="0" borderId="40" xfId="60" applyFont="1" applyFill="1" applyBorder="1" applyAlignment="1">
      <alignment horizontal="center" vertical="center" wrapText="1"/>
      <protection/>
    </xf>
    <xf numFmtId="0" fontId="21" fillId="0" borderId="17" xfId="60" applyFont="1" applyFill="1" applyBorder="1" applyAlignment="1">
      <alignment horizontal="center" vertical="center" wrapText="1"/>
      <protection/>
    </xf>
    <xf numFmtId="0" fontId="21" fillId="0" borderId="22" xfId="60" applyFont="1" applyFill="1" applyBorder="1" applyAlignment="1">
      <alignment horizontal="center" vertical="center" wrapText="1"/>
      <protection/>
    </xf>
    <xf numFmtId="0" fontId="21" fillId="0" borderId="23" xfId="60" applyFont="1" applyFill="1" applyBorder="1" applyAlignment="1">
      <alignment horizontal="center" vertical="center" wrapText="1"/>
      <protection/>
    </xf>
    <xf numFmtId="0" fontId="16" fillId="0" borderId="0" xfId="60" applyFont="1" applyFill="1" applyAlignment="1">
      <alignment horizontal="center" vertical="center" wrapText="1"/>
      <protection/>
    </xf>
    <xf numFmtId="0" fontId="60" fillId="0" borderId="117" xfId="60" applyFont="1" applyFill="1" applyBorder="1" applyAlignment="1">
      <alignment horizontal="left" vertical="center"/>
      <protection/>
    </xf>
    <xf numFmtId="0" fontId="60" fillId="0" borderId="28" xfId="60" applyFont="1" applyFill="1" applyBorder="1" applyAlignment="1">
      <alignment horizontal="left" vertical="center"/>
      <protection/>
    </xf>
    <xf numFmtId="0" fontId="60" fillId="0" borderId="13" xfId="60" applyFont="1" applyFill="1" applyBorder="1" applyAlignment="1">
      <alignment horizontal="left" vertical="center"/>
      <protection/>
    </xf>
    <xf numFmtId="0" fontId="24" fillId="0" borderId="46" xfId="60" applyFont="1" applyFill="1" applyBorder="1" applyAlignment="1">
      <alignment horizontal="left" vertical="center"/>
      <protection/>
    </xf>
    <xf numFmtId="0" fontId="24" fillId="0" borderId="101" xfId="60" applyFont="1" applyFill="1" applyBorder="1" applyAlignment="1">
      <alignment horizontal="left" vertical="center"/>
      <protection/>
    </xf>
    <xf numFmtId="0" fontId="24" fillId="0" borderId="106" xfId="60" applyFont="1" applyFill="1" applyBorder="1" applyAlignment="1">
      <alignment horizontal="left" vertical="center"/>
      <protection/>
    </xf>
    <xf numFmtId="0" fontId="24" fillId="0" borderId="46" xfId="60" applyFont="1" applyFill="1" applyBorder="1" applyAlignment="1">
      <alignment horizontal="left" vertical="center" wrapText="1"/>
      <protection/>
    </xf>
    <xf numFmtId="0" fontId="24" fillId="0" borderId="101" xfId="60" applyFont="1" applyFill="1" applyBorder="1" applyAlignment="1">
      <alignment horizontal="left" vertical="center" wrapText="1"/>
      <protection/>
    </xf>
    <xf numFmtId="0" fontId="24" fillId="0" borderId="106" xfId="60" applyFont="1" applyFill="1" applyBorder="1" applyAlignment="1">
      <alignment horizontal="left" vertical="center" wrapText="1"/>
      <protection/>
    </xf>
    <xf numFmtId="0" fontId="21" fillId="0" borderId="78" xfId="60" applyFont="1" applyFill="1" applyBorder="1" applyAlignment="1">
      <alignment horizontal="center" vertical="center"/>
      <protection/>
    </xf>
    <xf numFmtId="0" fontId="21" fillId="0" borderId="32" xfId="60" applyFont="1" applyFill="1" applyBorder="1" applyAlignment="1">
      <alignment horizontal="center" vertical="center"/>
      <protection/>
    </xf>
    <xf numFmtId="0" fontId="21" fillId="0" borderId="143" xfId="60" applyFont="1" applyFill="1" applyBorder="1" applyAlignment="1">
      <alignment horizontal="center" vertical="center"/>
      <protection/>
    </xf>
    <xf numFmtId="49" fontId="21" fillId="0" borderId="136" xfId="60" applyNumberFormat="1" applyFont="1" applyFill="1" applyBorder="1" applyAlignment="1">
      <alignment horizontal="center" vertical="center"/>
      <protection/>
    </xf>
    <xf numFmtId="49" fontId="21" fillId="0" borderId="121" xfId="60" applyNumberFormat="1" applyFont="1" applyFill="1" applyBorder="1" applyAlignment="1">
      <alignment horizontal="center" vertical="center"/>
      <protection/>
    </xf>
    <xf numFmtId="49" fontId="21" fillId="0" borderId="148" xfId="60" applyNumberFormat="1" applyFont="1" applyFill="1" applyBorder="1" applyAlignment="1">
      <alignment horizontal="center" vertical="center"/>
      <protection/>
    </xf>
    <xf numFmtId="0" fontId="16" fillId="0" borderId="101" xfId="60" applyFont="1" applyFill="1" applyBorder="1" applyAlignment="1">
      <alignment horizontal="center" vertical="center"/>
      <protection/>
    </xf>
    <xf numFmtId="0" fontId="16" fillId="0" borderId="106" xfId="60" applyFont="1" applyFill="1" applyBorder="1" applyAlignment="1">
      <alignment horizontal="center" vertical="center"/>
      <protection/>
    </xf>
    <xf numFmtId="0" fontId="23" fillId="0" borderId="69" xfId="59" applyFont="1" applyBorder="1" applyAlignment="1">
      <alignment horizontal="left" wrapText="1"/>
      <protection/>
    </xf>
    <xf numFmtId="0" fontId="23" fillId="0" borderId="0" xfId="59" applyFont="1" applyBorder="1" applyAlignment="1">
      <alignment horizontal="left" wrapText="1"/>
      <protection/>
    </xf>
    <xf numFmtId="0" fontId="60" fillId="36" borderId="88" xfId="59" applyFont="1" applyFill="1" applyBorder="1" applyAlignment="1">
      <alignment/>
      <protection/>
    </xf>
    <xf numFmtId="0" fontId="60" fillId="36" borderId="149" xfId="59" applyFont="1" applyFill="1" applyBorder="1" applyAlignment="1">
      <alignment/>
      <protection/>
    </xf>
    <xf numFmtId="3" fontId="16" fillId="0" borderId="147" xfId="59" applyNumberFormat="1" applyFont="1" applyBorder="1" applyAlignment="1">
      <alignment horizontal="right" vertical="center"/>
      <protection/>
    </xf>
    <xf numFmtId="3" fontId="16" fillId="0" borderId="108" xfId="59" applyNumberFormat="1" applyFont="1" applyBorder="1" applyAlignment="1">
      <alignment horizontal="right" vertical="center"/>
      <protection/>
    </xf>
    <xf numFmtId="3" fontId="16" fillId="0" borderId="150" xfId="59" applyNumberFormat="1" applyFont="1" applyBorder="1" applyAlignment="1">
      <alignment horizontal="right" vertical="center"/>
      <protection/>
    </xf>
    <xf numFmtId="3" fontId="16" fillId="0" borderId="82" xfId="59" applyNumberFormat="1" applyFont="1" applyBorder="1" applyAlignment="1">
      <alignment horizontal="right" vertical="center"/>
      <protection/>
    </xf>
    <xf numFmtId="0" fontId="23" fillId="0" borderId="69" xfId="59" applyFont="1" applyBorder="1" applyAlignment="1">
      <alignment horizontal="left"/>
      <protection/>
    </xf>
    <xf numFmtId="0" fontId="23" fillId="0" borderId="0" xfId="59" applyFont="1" applyBorder="1" applyAlignment="1">
      <alignment horizontal="left"/>
      <protection/>
    </xf>
    <xf numFmtId="0" fontId="23" fillId="0" borderId="65" xfId="59" applyFont="1" applyBorder="1" applyAlignment="1">
      <alignment horizontal="left"/>
      <protection/>
    </xf>
    <xf numFmtId="0" fontId="23" fillId="0" borderId="49" xfId="59" applyFont="1" applyBorder="1" applyAlignment="1">
      <alignment horizontal="left"/>
      <protection/>
    </xf>
    <xf numFmtId="0" fontId="61" fillId="0" borderId="79" xfId="59" applyFont="1" applyBorder="1" applyAlignment="1">
      <alignment horizontal="left" vertical="center"/>
      <protection/>
    </xf>
    <xf numFmtId="0" fontId="61" fillId="0" borderId="80" xfId="59" applyFont="1" applyBorder="1" applyAlignment="1">
      <alignment horizontal="left" vertical="center"/>
      <protection/>
    </xf>
    <xf numFmtId="3" fontId="16" fillId="0" borderId="145" xfId="59" applyNumberFormat="1" applyFont="1" applyBorder="1" applyAlignment="1">
      <alignment horizontal="right" vertical="center"/>
      <protection/>
    </xf>
    <xf numFmtId="0" fontId="16" fillId="0" borderId="151" xfId="60" applyFont="1" applyFill="1" applyBorder="1" applyAlignment="1">
      <alignment horizontal="center" vertical="center" wrapText="1"/>
      <protection/>
    </xf>
    <xf numFmtId="0" fontId="19" fillId="0" borderId="152" xfId="0" applyFont="1" applyBorder="1" applyAlignment="1">
      <alignment horizontal="center" vertical="center" wrapText="1"/>
    </xf>
    <xf numFmtId="0" fontId="19" fillId="0" borderId="153" xfId="0" applyFont="1" applyBorder="1" applyAlignment="1">
      <alignment horizontal="center" vertical="center" wrapText="1"/>
    </xf>
    <xf numFmtId="0" fontId="16" fillId="0" borderId="64" xfId="60" applyFont="1" applyFill="1" applyBorder="1" applyAlignment="1">
      <alignment horizontal="center" vertical="center" wrapText="1"/>
      <protection/>
    </xf>
    <xf numFmtId="0" fontId="19" fillId="0" borderId="49" xfId="0" applyFont="1" applyBorder="1" applyAlignment="1">
      <alignment horizontal="center" vertical="center" wrapText="1"/>
    </xf>
    <xf numFmtId="0" fontId="23" fillId="0" borderId="69" xfId="59" applyFont="1" applyBorder="1" applyAlignment="1">
      <alignment horizontal="left" vertical="center"/>
      <protection/>
    </xf>
    <xf numFmtId="0" fontId="23" fillId="0" borderId="0" xfId="59" applyFont="1" applyBorder="1" applyAlignment="1">
      <alignment horizontal="left" vertical="center"/>
      <protection/>
    </xf>
    <xf numFmtId="0" fontId="60" fillId="36" borderId="88" xfId="59" applyFont="1" applyFill="1" applyBorder="1" applyAlignment="1">
      <alignment vertical="center"/>
      <protection/>
    </xf>
    <xf numFmtId="0" fontId="60" fillId="36" borderId="149" xfId="59" applyFont="1" applyFill="1" applyBorder="1" applyAlignment="1">
      <alignment vertical="center"/>
      <protection/>
    </xf>
    <xf numFmtId="3" fontId="16" fillId="0" borderId="87" xfId="59" applyNumberFormat="1" applyFont="1" applyBorder="1" applyAlignment="1">
      <alignment horizontal="right" vertical="center"/>
      <protection/>
    </xf>
    <xf numFmtId="3" fontId="16" fillId="0" borderId="69" xfId="59" applyNumberFormat="1" applyFont="1" applyBorder="1" applyAlignment="1">
      <alignment horizontal="right" vertical="center"/>
      <protection/>
    </xf>
    <xf numFmtId="3" fontId="23" fillId="0" borderId="61" xfId="59" applyNumberFormat="1" applyFont="1" applyBorder="1" applyAlignment="1">
      <alignment horizontal="right" vertical="center"/>
      <protection/>
    </xf>
    <xf numFmtId="3" fontId="23" fillId="0" borderId="60" xfId="59" applyNumberFormat="1" applyFont="1" applyBorder="1" applyAlignment="1">
      <alignment horizontal="right" vertical="center"/>
      <protection/>
    </xf>
    <xf numFmtId="0" fontId="23" fillId="0" borderId="154" xfId="59" applyFont="1" applyBorder="1" applyAlignment="1">
      <alignment horizontal="left" vertical="center"/>
      <protection/>
    </xf>
    <xf numFmtId="0" fontId="23" fillId="0" borderId="33" xfId="59" applyFont="1" applyBorder="1" applyAlignment="1">
      <alignment horizontal="left" vertical="center"/>
      <protection/>
    </xf>
    <xf numFmtId="0" fontId="61" fillId="0" borderId="69" xfId="59" applyFont="1" applyBorder="1" applyAlignment="1">
      <alignment horizontal="left"/>
      <protection/>
    </xf>
    <xf numFmtId="0" fontId="61" fillId="0" borderId="0" xfId="59" applyFont="1" applyBorder="1" applyAlignment="1">
      <alignment horizontal="left"/>
      <protection/>
    </xf>
    <xf numFmtId="0" fontId="24" fillId="0" borderId="0" xfId="59" applyFont="1" applyBorder="1" applyAlignment="1">
      <alignment horizontal="right"/>
      <protection/>
    </xf>
    <xf numFmtId="0" fontId="24" fillId="0" borderId="54" xfId="59" applyFont="1" applyBorder="1" applyAlignment="1">
      <alignment horizontal="right"/>
      <protection/>
    </xf>
    <xf numFmtId="3" fontId="23" fillId="0" borderId="61" xfId="59" applyNumberFormat="1" applyFont="1" applyBorder="1" applyAlignment="1">
      <alignment horizontal="right"/>
      <protection/>
    </xf>
    <xf numFmtId="3" fontId="23" fillId="0" borderId="60" xfId="59" applyNumberFormat="1" applyFont="1" applyBorder="1" applyAlignment="1">
      <alignment horizontal="right"/>
      <protection/>
    </xf>
    <xf numFmtId="0" fontId="16" fillId="36" borderId="76" xfId="59" applyFont="1" applyFill="1" applyBorder="1" applyAlignment="1">
      <alignment horizontal="right" vertical="center" wrapText="1"/>
      <protection/>
    </xf>
    <xf numFmtId="0" fontId="19" fillId="36" borderId="88" xfId="0" applyFont="1" applyFill="1" applyBorder="1" applyAlignment="1">
      <alignment horizontal="right" vertical="center" wrapText="1"/>
    </xf>
    <xf numFmtId="0" fontId="19" fillId="36" borderId="138" xfId="0" applyFont="1" applyFill="1" applyBorder="1" applyAlignment="1">
      <alignment horizontal="right" vertical="center" wrapText="1"/>
    </xf>
    <xf numFmtId="0" fontId="16" fillId="36" borderId="88" xfId="59" applyFont="1" applyFill="1" applyBorder="1" applyAlignment="1">
      <alignment vertical="center"/>
      <protection/>
    </xf>
    <xf numFmtId="0" fontId="16" fillId="36" borderId="88" xfId="0" applyFont="1" applyFill="1" applyBorder="1" applyAlignment="1">
      <alignment vertical="center"/>
    </xf>
    <xf numFmtId="0" fontId="16" fillId="36" borderId="149" xfId="0" applyFont="1" applyFill="1" applyBorder="1" applyAlignment="1">
      <alignment vertical="center"/>
    </xf>
    <xf numFmtId="0" fontId="24" fillId="0" borderId="52" xfId="59" applyFont="1" applyBorder="1" applyAlignment="1">
      <alignment horizontal="right"/>
      <protection/>
    </xf>
    <xf numFmtId="0" fontId="23" fillId="0" borderId="57" xfId="59" applyFont="1" applyBorder="1" applyAlignment="1">
      <alignment horizontal="left"/>
      <protection/>
    </xf>
    <xf numFmtId="0" fontId="23" fillId="0" borderId="56" xfId="59" applyFont="1" applyBorder="1" applyAlignment="1">
      <alignment horizontal="left"/>
      <protection/>
    </xf>
    <xf numFmtId="0" fontId="60" fillId="0" borderId="64" xfId="60" applyFont="1" applyFill="1" applyBorder="1" applyAlignment="1">
      <alignment horizontal="center" vertical="center" wrapText="1"/>
      <protection/>
    </xf>
    <xf numFmtId="0" fontId="60" fillId="0" borderId="49" xfId="60" applyFont="1" applyFill="1" applyBorder="1" applyAlignment="1">
      <alignment horizontal="center" vertical="center" wrapText="1"/>
      <protection/>
    </xf>
    <xf numFmtId="0" fontId="60" fillId="0" borderId="67" xfId="60" applyFont="1" applyFill="1" applyBorder="1" applyAlignment="1">
      <alignment horizontal="center" vertical="center" wrapText="1"/>
      <protection/>
    </xf>
    <xf numFmtId="0" fontId="60" fillId="0" borderId="154" xfId="60" applyFont="1" applyFill="1" applyBorder="1" applyAlignment="1">
      <alignment horizontal="center" vertical="center" wrapText="1"/>
      <protection/>
    </xf>
    <xf numFmtId="0" fontId="60" fillId="0" borderId="33" xfId="60" applyFont="1" applyFill="1" applyBorder="1" applyAlignment="1">
      <alignment horizontal="center" vertical="center" wrapText="1"/>
      <protection/>
    </xf>
    <xf numFmtId="0" fontId="60" fillId="0" borderId="155" xfId="60" applyFont="1" applyFill="1" applyBorder="1" applyAlignment="1">
      <alignment horizontal="center" vertical="center" wrapText="1"/>
      <protection/>
    </xf>
    <xf numFmtId="0" fontId="60" fillId="0" borderId="65" xfId="59" applyFont="1" applyBorder="1" applyAlignment="1">
      <alignment horizontal="center" vertical="center" wrapText="1"/>
      <protection/>
    </xf>
    <xf numFmtId="0" fontId="60" fillId="0" borderId="49" xfId="59" applyFont="1" applyBorder="1" applyAlignment="1">
      <alignment horizontal="center" vertical="center" wrapText="1"/>
      <protection/>
    </xf>
    <xf numFmtId="0" fontId="60" fillId="0" borderId="94" xfId="59" applyFont="1" applyBorder="1" applyAlignment="1">
      <alignment horizontal="center" vertical="center" wrapText="1"/>
      <protection/>
    </xf>
    <xf numFmtId="0" fontId="60" fillId="0" borderId="33" xfId="59" applyFont="1" applyBorder="1" applyAlignment="1">
      <alignment horizontal="center" vertical="center" wrapText="1"/>
      <protection/>
    </xf>
    <xf numFmtId="0" fontId="23" fillId="0" borderId="154" xfId="59" applyFont="1" applyBorder="1" applyAlignment="1">
      <alignment horizontal="left" wrapText="1"/>
      <protection/>
    </xf>
    <xf numFmtId="0" fontId="23" fillId="0" borderId="33" xfId="59" applyFont="1" applyBorder="1" applyAlignment="1">
      <alignment horizontal="left" wrapText="1"/>
      <protection/>
    </xf>
    <xf numFmtId="0" fontId="16" fillId="0" borderId="71" xfId="60" applyFont="1" applyFill="1" applyBorder="1" applyAlignment="1">
      <alignment horizontal="center" vertical="center" wrapText="1"/>
      <protection/>
    </xf>
    <xf numFmtId="0" fontId="19" fillId="0" borderId="49" xfId="0" applyFont="1" applyBorder="1" applyAlignment="1">
      <alignment/>
    </xf>
    <xf numFmtId="0" fontId="19" fillId="0" borderId="67" xfId="0" applyFont="1" applyBorder="1" applyAlignment="1">
      <alignment/>
    </xf>
    <xf numFmtId="0" fontId="19" fillId="0" borderId="49" xfId="0" applyFont="1" applyBorder="1" applyAlignment="1">
      <alignment vertical="center"/>
    </xf>
    <xf numFmtId="0" fontId="19" fillId="0" borderId="62" xfId="0" applyFont="1" applyBorder="1" applyAlignment="1">
      <alignment vertical="center"/>
    </xf>
    <xf numFmtId="0" fontId="19" fillId="0" borderId="94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154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100" xfId="0" applyFont="1" applyBorder="1" applyAlignment="1">
      <alignment/>
    </xf>
    <xf numFmtId="0" fontId="19" fillId="0" borderId="48" xfId="0" applyFont="1" applyBorder="1" applyAlignment="1">
      <alignment/>
    </xf>
    <xf numFmtId="0" fontId="60" fillId="0" borderId="65" xfId="59" applyFont="1" applyBorder="1" applyAlignment="1">
      <alignment horizontal="center" vertical="center"/>
      <protection/>
    </xf>
    <xf numFmtId="0" fontId="19" fillId="0" borderId="94" xfId="0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52" xfId="59" applyFont="1" applyBorder="1" applyAlignment="1">
      <alignment horizontal="left"/>
      <protection/>
    </xf>
    <xf numFmtId="0" fontId="23" fillId="0" borderId="52" xfId="59" applyFont="1" applyBorder="1" applyAlignment="1">
      <alignment horizontal="left" wrapText="1"/>
      <protection/>
    </xf>
    <xf numFmtId="0" fontId="23" fillId="0" borderId="87" xfId="59" applyFont="1" applyBorder="1" applyAlignment="1">
      <alignment horizontal="left" wrapText="1"/>
      <protection/>
    </xf>
    <xf numFmtId="0" fontId="23" fillId="0" borderId="56" xfId="59" applyFont="1" applyBorder="1" applyAlignment="1">
      <alignment horizontal="left" wrapText="1"/>
      <protection/>
    </xf>
    <xf numFmtId="0" fontId="20" fillId="0" borderId="0" xfId="59" applyFont="1" applyAlignment="1">
      <alignment horizontal="center"/>
      <protection/>
    </xf>
    <xf numFmtId="0" fontId="19" fillId="0" borderId="0" xfId="0" applyFont="1" applyAlignment="1">
      <alignment/>
    </xf>
    <xf numFmtId="3" fontId="16" fillId="0" borderId="147" xfId="59" applyNumberFormat="1" applyFont="1" applyBorder="1" applyAlignment="1">
      <alignment horizontal="center" vertical="center"/>
      <protection/>
    </xf>
    <xf numFmtId="3" fontId="16" fillId="0" borderId="108" xfId="59" applyNumberFormat="1" applyFont="1" applyBorder="1" applyAlignment="1">
      <alignment horizontal="center" vertical="center"/>
      <protection/>
    </xf>
    <xf numFmtId="0" fontId="23" fillId="0" borderId="69" xfId="59" applyFont="1" applyBorder="1" applyAlignment="1">
      <alignment horizontal="left" vertical="center" wrapText="1"/>
      <protection/>
    </xf>
    <xf numFmtId="0" fontId="23" fillId="0" borderId="0" xfId="59" applyFont="1" applyBorder="1" applyAlignment="1">
      <alignment horizontal="left" vertical="center" wrapText="1"/>
      <protection/>
    </xf>
    <xf numFmtId="0" fontId="19" fillId="0" borderId="0" xfId="59" applyFont="1" applyAlignment="1">
      <alignment horizontal="center"/>
      <protection/>
    </xf>
    <xf numFmtId="3" fontId="20" fillId="0" borderId="78" xfId="59" applyNumberFormat="1" applyFont="1" applyBorder="1" applyAlignment="1">
      <alignment horizontal="right" vertical="center"/>
      <protection/>
    </xf>
    <xf numFmtId="3" fontId="20" fillId="0" borderId="143" xfId="59" applyNumberFormat="1" applyFont="1" applyBorder="1" applyAlignment="1">
      <alignment horizontal="right" vertical="center"/>
      <protection/>
    </xf>
    <xf numFmtId="3" fontId="16" fillId="0" borderId="156" xfId="59" applyNumberFormat="1" applyFont="1" applyBorder="1" applyAlignment="1">
      <alignment horizontal="right" vertical="center"/>
      <protection/>
    </xf>
    <xf numFmtId="3" fontId="16" fillId="0" borderId="157" xfId="59" applyNumberFormat="1" applyFont="1" applyBorder="1" applyAlignment="1">
      <alignment horizontal="right" vertical="center"/>
      <protection/>
    </xf>
    <xf numFmtId="0" fontId="60" fillId="0" borderId="80" xfId="59" applyFont="1" applyBorder="1" applyAlignment="1">
      <alignment/>
      <protection/>
    </xf>
    <xf numFmtId="0" fontId="60" fillId="0" borderId="124" xfId="59" applyFont="1" applyBorder="1" applyAlignment="1">
      <alignment/>
      <protection/>
    </xf>
    <xf numFmtId="0" fontId="60" fillId="0" borderId="49" xfId="59" applyFont="1" applyBorder="1" applyAlignment="1">
      <alignment horizontal="center" vertical="center"/>
      <protection/>
    </xf>
    <xf numFmtId="0" fontId="60" fillId="0" borderId="100" xfId="59" applyFont="1" applyBorder="1" applyAlignment="1">
      <alignment horizontal="center" vertical="center"/>
      <protection/>
    </xf>
    <xf numFmtId="0" fontId="60" fillId="0" borderId="94" xfId="59" applyFont="1" applyBorder="1" applyAlignment="1">
      <alignment horizontal="center" vertical="center"/>
      <protection/>
    </xf>
    <xf numFmtId="0" fontId="60" fillId="0" borderId="33" xfId="59" applyFont="1" applyBorder="1" applyAlignment="1">
      <alignment horizontal="center" vertical="center"/>
      <protection/>
    </xf>
    <xf numFmtId="0" fontId="60" fillId="0" borderId="48" xfId="59" applyFont="1" applyBorder="1" applyAlignment="1">
      <alignment horizontal="center" vertical="center"/>
      <protection/>
    </xf>
    <xf numFmtId="0" fontId="23" fillId="0" borderId="94" xfId="59" applyFont="1" applyBorder="1" applyAlignment="1">
      <alignment horizontal="left" vertical="center" wrapText="1"/>
      <protection/>
    </xf>
    <xf numFmtId="0" fontId="23" fillId="0" borderId="33" xfId="59" applyFont="1" applyBorder="1" applyAlignment="1">
      <alignment horizontal="left" vertical="center" wrapText="1"/>
      <protection/>
    </xf>
    <xf numFmtId="0" fontId="60" fillId="0" borderId="100" xfId="60" applyFont="1" applyFill="1" applyBorder="1" applyAlignment="1">
      <alignment horizontal="center" vertical="center" wrapText="1"/>
      <protection/>
    </xf>
    <xf numFmtId="0" fontId="60" fillId="0" borderId="48" xfId="60" applyFont="1" applyFill="1" applyBorder="1" applyAlignment="1">
      <alignment horizontal="center" vertical="center" wrapText="1"/>
      <protection/>
    </xf>
    <xf numFmtId="0" fontId="23" fillId="0" borderId="52" xfId="59" applyFont="1" applyBorder="1" applyAlignment="1">
      <alignment horizontal="left" vertical="center" wrapText="1"/>
      <protection/>
    </xf>
    <xf numFmtId="0" fontId="46" fillId="0" borderId="49" xfId="59" applyFont="1" applyBorder="1" applyAlignment="1">
      <alignment horizontal="center"/>
      <protection/>
    </xf>
    <xf numFmtId="0" fontId="19" fillId="0" borderId="49" xfId="0" applyFont="1" applyBorder="1" applyAlignment="1">
      <alignment horizontal="center"/>
    </xf>
    <xf numFmtId="0" fontId="23" fillId="0" borderId="57" xfId="59" applyFont="1" applyBorder="1" applyAlignment="1">
      <alignment horizontal="left" wrapText="1"/>
      <protection/>
    </xf>
    <xf numFmtId="0" fontId="61" fillId="0" borderId="69" xfId="59" applyFont="1" applyBorder="1" applyAlignment="1">
      <alignment horizontal="left" wrapText="1"/>
      <protection/>
    </xf>
    <xf numFmtId="0" fontId="61" fillId="0" borderId="0" xfId="59" applyFont="1" applyBorder="1" applyAlignment="1">
      <alignment horizontal="left" wrapText="1"/>
      <protection/>
    </xf>
    <xf numFmtId="0" fontId="19" fillId="0" borderId="0" xfId="0" applyFont="1" applyBorder="1" applyAlignment="1">
      <alignment horizontal="right"/>
    </xf>
    <xf numFmtId="0" fontId="19" fillId="0" borderId="54" xfId="0" applyFont="1" applyBorder="1" applyAlignment="1">
      <alignment horizontal="right"/>
    </xf>
    <xf numFmtId="0" fontId="60" fillId="36" borderId="76" xfId="59" applyFont="1" applyFill="1" applyBorder="1" applyAlignment="1">
      <alignment vertical="center" wrapText="1"/>
      <protection/>
    </xf>
    <xf numFmtId="0" fontId="15" fillId="36" borderId="88" xfId="0" applyFont="1" applyFill="1" applyBorder="1" applyAlignment="1">
      <alignment vertical="center" wrapText="1"/>
    </xf>
    <xf numFmtId="0" fontId="15" fillId="36" borderId="138" xfId="0" applyFont="1" applyFill="1" applyBorder="1" applyAlignment="1">
      <alignment vertical="center" wrapText="1"/>
    </xf>
    <xf numFmtId="0" fontId="24" fillId="0" borderId="57" xfId="59" applyFont="1" applyBorder="1" applyAlignment="1">
      <alignment horizontal="right" vertical="center"/>
      <protection/>
    </xf>
    <xf numFmtId="0" fontId="24" fillId="0" borderId="56" xfId="59" applyFont="1" applyBorder="1" applyAlignment="1">
      <alignment horizontal="right" vertical="center"/>
      <protection/>
    </xf>
    <xf numFmtId="0" fontId="24" fillId="0" borderId="53" xfId="59" applyFont="1" applyBorder="1" applyAlignment="1">
      <alignment horizontal="right" vertical="center"/>
      <protection/>
    </xf>
    <xf numFmtId="0" fontId="24" fillId="0" borderId="94" xfId="59" applyFont="1" applyBorder="1" applyAlignment="1">
      <alignment horizontal="right" vertical="center"/>
      <protection/>
    </xf>
    <xf numFmtId="0" fontId="24" fillId="0" borderId="33" xfId="59" applyFont="1" applyBorder="1" applyAlignment="1">
      <alignment horizontal="right" vertical="center"/>
      <protection/>
    </xf>
    <xf numFmtId="0" fontId="24" fillId="0" borderId="26" xfId="59" applyFont="1" applyBorder="1" applyAlignment="1">
      <alignment horizontal="right" vertical="center"/>
      <protection/>
    </xf>
    <xf numFmtId="0" fontId="23" fillId="0" borderId="87" xfId="59" applyFont="1" applyBorder="1" applyAlignment="1">
      <alignment horizontal="left" vertical="center"/>
      <protection/>
    </xf>
    <xf numFmtId="0" fontId="23" fillId="0" borderId="56" xfId="59" applyFont="1" applyBorder="1" applyAlignment="1">
      <alignment horizontal="left" vertical="center"/>
      <protection/>
    </xf>
    <xf numFmtId="0" fontId="16" fillId="0" borderId="80" xfId="59" applyFont="1" applyBorder="1" applyAlignment="1">
      <alignment/>
      <protection/>
    </xf>
    <xf numFmtId="0" fontId="16" fillId="0" borderId="80" xfId="0" applyFont="1" applyBorder="1" applyAlignment="1">
      <alignment/>
    </xf>
    <xf numFmtId="0" fontId="16" fillId="0" borderId="124" xfId="0" applyFont="1" applyBorder="1" applyAlignment="1">
      <alignment/>
    </xf>
    <xf numFmtId="0" fontId="23" fillId="0" borderId="52" xfId="59" applyFont="1" applyBorder="1" applyAlignment="1">
      <alignment horizontal="left" vertical="center"/>
      <protection/>
    </xf>
    <xf numFmtId="0" fontId="23" fillId="0" borderId="87" xfId="59" applyFont="1" applyBorder="1" applyAlignment="1">
      <alignment horizontal="left" vertical="center" wrapText="1"/>
      <protection/>
    </xf>
    <xf numFmtId="0" fontId="23" fillId="0" borderId="56" xfId="59" applyFont="1" applyBorder="1" applyAlignment="1">
      <alignment horizontal="left" vertical="center" wrapText="1"/>
      <protection/>
    </xf>
    <xf numFmtId="3" fontId="16" fillId="0" borderId="55" xfId="59" applyNumberFormat="1" applyFont="1" applyBorder="1" applyAlignment="1">
      <alignment horizontal="center"/>
      <protection/>
    </xf>
    <xf numFmtId="3" fontId="16" fillId="0" borderId="158" xfId="59" applyNumberFormat="1" applyFont="1" applyBorder="1" applyAlignment="1">
      <alignment horizontal="center"/>
      <protection/>
    </xf>
    <xf numFmtId="0" fontId="46" fillId="0" borderId="159" xfId="59" applyFont="1" applyBorder="1" applyAlignment="1">
      <alignment horizontal="center"/>
      <protection/>
    </xf>
    <xf numFmtId="0" fontId="19" fillId="0" borderId="77" xfId="0" applyFont="1" applyBorder="1" applyAlignment="1">
      <alignment horizontal="center"/>
    </xf>
    <xf numFmtId="0" fontId="19" fillId="0" borderId="99" xfId="0" applyFont="1" applyBorder="1" applyAlignment="1">
      <alignment horizontal="center"/>
    </xf>
    <xf numFmtId="0" fontId="16" fillId="36" borderId="76" xfId="59" applyFont="1" applyFill="1" applyBorder="1" applyAlignment="1">
      <alignment horizontal="right"/>
      <protection/>
    </xf>
    <xf numFmtId="0" fontId="19" fillId="36" borderId="88" xfId="0" applyFont="1" applyFill="1" applyBorder="1" applyAlignment="1">
      <alignment horizontal="right"/>
    </xf>
    <xf numFmtId="0" fontId="19" fillId="36" borderId="138" xfId="0" applyFont="1" applyFill="1" applyBorder="1" applyAlignment="1">
      <alignment horizontal="right"/>
    </xf>
    <xf numFmtId="0" fontId="16" fillId="36" borderId="88" xfId="59" applyFont="1" applyFill="1" applyBorder="1" applyAlignment="1">
      <alignment/>
      <protection/>
    </xf>
    <xf numFmtId="0" fontId="16" fillId="36" borderId="88" xfId="0" applyFont="1" applyFill="1" applyBorder="1" applyAlignment="1">
      <alignment/>
    </xf>
    <xf numFmtId="0" fontId="16" fillId="36" borderId="149" xfId="0" applyFont="1" applyFill="1" applyBorder="1" applyAlignment="1">
      <alignment/>
    </xf>
    <xf numFmtId="3" fontId="16" fillId="0" borderId="61" xfId="59" applyNumberFormat="1" applyFont="1" applyBorder="1" applyAlignment="1">
      <alignment horizontal="right" vertical="center"/>
      <protection/>
    </xf>
    <xf numFmtId="0" fontId="23" fillId="0" borderId="57" xfId="59" applyFont="1" applyBorder="1" applyAlignment="1">
      <alignment horizontal="left" vertical="center"/>
      <protection/>
    </xf>
    <xf numFmtId="3" fontId="23" fillId="0" borderId="61" xfId="0" applyNumberFormat="1" applyFont="1" applyBorder="1" applyAlignment="1">
      <alignment horizontal="center" vertical="center"/>
    </xf>
    <xf numFmtId="3" fontId="23" fillId="0" borderId="60" xfId="0" applyNumberFormat="1" applyFont="1" applyBorder="1" applyAlignment="1">
      <alignment horizontal="center" vertical="center"/>
    </xf>
    <xf numFmtId="0" fontId="24" fillId="0" borderId="140" xfId="59" applyFont="1" applyBorder="1" applyAlignment="1">
      <alignment horizontal="right"/>
      <protection/>
    </xf>
    <xf numFmtId="0" fontId="24" fillId="0" borderId="28" xfId="59" applyFont="1" applyBorder="1" applyAlignment="1">
      <alignment horizontal="right"/>
      <protection/>
    </xf>
    <xf numFmtId="0" fontId="24" fillId="0" borderId="20" xfId="59" applyFont="1" applyBorder="1" applyAlignment="1">
      <alignment horizontal="right"/>
      <protection/>
    </xf>
    <xf numFmtId="0" fontId="23" fillId="0" borderId="64" xfId="59" applyFont="1" applyBorder="1" applyAlignment="1">
      <alignment horizontal="left" vertical="center"/>
      <protection/>
    </xf>
    <xf numFmtId="0" fontId="23" fillId="0" borderId="49" xfId="59" applyFont="1" applyBorder="1" applyAlignment="1">
      <alignment horizontal="left" vertical="center"/>
      <protection/>
    </xf>
    <xf numFmtId="0" fontId="19" fillId="0" borderId="155" xfId="0" applyFont="1" applyBorder="1" applyAlignment="1">
      <alignment/>
    </xf>
    <xf numFmtId="0" fontId="24" fillId="0" borderId="80" xfId="59" applyFont="1" applyBorder="1" applyAlignment="1">
      <alignment horizontal="right" vertical="center"/>
      <protection/>
    </xf>
    <xf numFmtId="0" fontId="24" fillId="0" borderId="160" xfId="59" applyFont="1" applyBorder="1" applyAlignment="1">
      <alignment horizontal="right" vertical="center"/>
      <protection/>
    </xf>
    <xf numFmtId="0" fontId="16" fillId="36" borderId="76" xfId="59" applyFont="1" applyFill="1" applyBorder="1" applyAlignment="1">
      <alignment horizontal="right" vertical="center"/>
      <protection/>
    </xf>
    <xf numFmtId="0" fontId="19" fillId="36" borderId="88" xfId="0" applyFont="1" applyFill="1" applyBorder="1" applyAlignment="1">
      <alignment horizontal="right" vertical="center"/>
    </xf>
    <xf numFmtId="0" fontId="19" fillId="36" borderId="138" xfId="0" applyFont="1" applyFill="1" applyBorder="1" applyAlignment="1">
      <alignment horizontal="right" vertical="center"/>
    </xf>
    <xf numFmtId="0" fontId="17" fillId="0" borderId="0" xfId="60" applyFont="1" applyFill="1" applyAlignment="1">
      <alignment horizontal="right" vertical="center"/>
      <protection/>
    </xf>
    <xf numFmtId="0" fontId="17" fillId="0" borderId="0" xfId="60" applyFont="1" applyAlignment="1">
      <alignment horizontal="right"/>
      <protection/>
    </xf>
    <xf numFmtId="0" fontId="17" fillId="0" borderId="0" xfId="0" applyFont="1" applyAlignment="1">
      <alignment/>
    </xf>
    <xf numFmtId="0" fontId="16" fillId="0" borderId="65" xfId="60" applyFont="1" applyFill="1" applyBorder="1" applyAlignment="1">
      <alignment horizontal="center" vertical="center" wrapText="1"/>
      <protection/>
    </xf>
    <xf numFmtId="3" fontId="16" fillId="0" borderId="156" xfId="59" applyNumberFormat="1" applyFont="1" applyBorder="1" applyAlignment="1">
      <alignment horizontal="center" vertical="center"/>
      <protection/>
    </xf>
    <xf numFmtId="3" fontId="16" fillId="0" borderId="157" xfId="59" applyNumberFormat="1" applyFont="1" applyBorder="1" applyAlignment="1">
      <alignment horizontal="center" vertical="center"/>
      <protection/>
    </xf>
    <xf numFmtId="3" fontId="16" fillId="0" borderId="64" xfId="59" applyNumberFormat="1" applyFont="1" applyBorder="1" applyAlignment="1">
      <alignment horizontal="right" vertical="center"/>
      <protection/>
    </xf>
    <xf numFmtId="3" fontId="16" fillId="0" borderId="154" xfId="59" applyNumberFormat="1" applyFont="1" applyBorder="1" applyAlignment="1">
      <alignment horizontal="right" vertical="center"/>
      <protection/>
    </xf>
    <xf numFmtId="0" fontId="19" fillId="0" borderId="49" xfId="59" applyFont="1" applyBorder="1" applyAlignment="1">
      <alignment horizontal="center" vertical="center"/>
      <protection/>
    </xf>
    <xf numFmtId="0" fontId="19" fillId="0" borderId="100" xfId="59" applyFont="1" applyBorder="1" applyAlignment="1">
      <alignment horizontal="center" vertical="center"/>
      <protection/>
    </xf>
    <xf numFmtId="0" fontId="19" fillId="0" borderId="94" xfId="59" applyFont="1" applyBorder="1" applyAlignment="1">
      <alignment horizontal="center" vertical="center"/>
      <protection/>
    </xf>
    <xf numFmtId="0" fontId="19" fillId="0" borderId="33" xfId="59" applyFont="1" applyBorder="1" applyAlignment="1">
      <alignment horizontal="center" vertical="center"/>
      <protection/>
    </xf>
    <xf numFmtId="0" fontId="19" fillId="0" borderId="48" xfId="59" applyFont="1" applyBorder="1" applyAlignment="1">
      <alignment horizontal="center" vertical="center"/>
      <protection/>
    </xf>
    <xf numFmtId="0" fontId="45" fillId="0" borderId="0" xfId="60" applyFont="1" applyFill="1" applyAlignment="1">
      <alignment horizontal="center" vertical="center" wrapText="1"/>
      <protection/>
    </xf>
    <xf numFmtId="0" fontId="23" fillId="0" borderId="87" xfId="59" applyFont="1" applyBorder="1" applyAlignment="1">
      <alignment horizontal="left"/>
      <protection/>
    </xf>
    <xf numFmtId="0" fontId="57" fillId="0" borderId="69" xfId="59" applyFont="1" applyBorder="1" applyAlignment="1">
      <alignment horizontal="left" vertical="center"/>
      <protection/>
    </xf>
    <xf numFmtId="0" fontId="57" fillId="0" borderId="0" xfId="59" applyFont="1" applyBorder="1" applyAlignment="1">
      <alignment horizontal="left" vertical="center"/>
      <protection/>
    </xf>
    <xf numFmtId="3" fontId="16" fillId="0" borderId="147" xfId="59" applyNumberFormat="1" applyFont="1" applyBorder="1" applyAlignment="1">
      <alignment horizontal="right" vertical="center" wrapText="1"/>
      <protection/>
    </xf>
    <xf numFmtId="3" fontId="16" fillId="0" borderId="108" xfId="59" applyNumberFormat="1" applyFont="1" applyBorder="1" applyAlignment="1">
      <alignment horizontal="right" vertical="center" wrapText="1"/>
      <protection/>
    </xf>
    <xf numFmtId="0" fontId="23" fillId="0" borderId="52" xfId="59" applyFont="1" applyBorder="1" applyAlignment="1">
      <alignment horizontal="center" wrapText="1"/>
      <protection/>
    </xf>
    <xf numFmtId="0" fontId="23" fillId="0" borderId="0" xfId="59" applyFont="1" applyBorder="1" applyAlignment="1">
      <alignment horizontal="center" wrapText="1"/>
      <protection/>
    </xf>
    <xf numFmtId="0" fontId="23" fillId="0" borderId="69" xfId="59" applyFont="1" applyBorder="1" applyAlignment="1">
      <alignment horizontal="center" vertical="center" wrapText="1"/>
      <protection/>
    </xf>
    <xf numFmtId="0" fontId="23" fillId="0" borderId="0" xfId="59" applyFont="1" applyBorder="1" applyAlignment="1">
      <alignment horizontal="center" vertical="center" wrapText="1"/>
      <protection/>
    </xf>
    <xf numFmtId="0" fontId="23" fillId="0" borderId="122" xfId="59" applyFont="1" applyBorder="1" applyAlignment="1">
      <alignment horizontal="left" vertical="center"/>
      <protection/>
    </xf>
    <xf numFmtId="0" fontId="23" fillId="0" borderId="27" xfId="59" applyFont="1" applyBorder="1" applyAlignment="1">
      <alignment horizontal="left" vertical="center"/>
      <protection/>
    </xf>
    <xf numFmtId="0" fontId="23" fillId="0" borderId="122" xfId="59" applyFont="1" applyBorder="1" applyAlignment="1">
      <alignment horizontal="center" vertical="center" wrapText="1"/>
      <protection/>
    </xf>
    <xf numFmtId="0" fontId="23" fillId="0" borderId="27" xfId="59" applyFont="1" applyBorder="1" applyAlignment="1">
      <alignment horizontal="center" vertical="center" wrapText="1"/>
      <protection/>
    </xf>
    <xf numFmtId="0" fontId="23" fillId="0" borderId="83" xfId="59" applyFont="1" applyBorder="1" applyAlignment="1">
      <alignment horizontal="left" vertical="center"/>
      <protection/>
    </xf>
    <xf numFmtId="0" fontId="23" fillId="0" borderId="80" xfId="59" applyFont="1" applyBorder="1" applyAlignment="1">
      <alignment horizontal="left" vertical="center"/>
      <protection/>
    </xf>
    <xf numFmtId="3" fontId="20" fillId="0" borderId="58" xfId="59" applyNumberFormat="1" applyFont="1" applyBorder="1" applyAlignment="1">
      <alignment horizontal="right" vertical="center"/>
      <protection/>
    </xf>
    <xf numFmtId="3" fontId="20" fillId="0" borderId="158" xfId="59" applyNumberFormat="1" applyFont="1" applyBorder="1" applyAlignment="1">
      <alignment horizontal="right" vertical="center"/>
      <protection/>
    </xf>
    <xf numFmtId="0" fontId="23" fillId="0" borderId="57" xfId="59" applyFont="1" applyBorder="1" applyAlignment="1">
      <alignment horizontal="center" vertical="center" wrapText="1"/>
      <protection/>
    </xf>
    <xf numFmtId="0" fontId="23" fillId="0" borderId="56" xfId="59" applyFont="1" applyBorder="1" applyAlignment="1">
      <alignment horizontal="center" vertical="center" wrapText="1"/>
      <protection/>
    </xf>
    <xf numFmtId="0" fontId="23" fillId="0" borderId="61" xfId="59" applyFont="1" applyBorder="1" applyAlignment="1">
      <alignment horizontal="center" vertical="center" wrapText="1"/>
      <protection/>
    </xf>
    <xf numFmtId="0" fontId="23" fillId="0" borderId="94" xfId="59" applyFont="1" applyBorder="1" applyAlignment="1">
      <alignment horizontal="center" vertical="center" wrapText="1"/>
      <protection/>
    </xf>
    <xf numFmtId="0" fontId="23" fillId="0" borderId="33" xfId="59" applyFont="1" applyBorder="1" applyAlignment="1">
      <alignment horizontal="center" vertical="center" wrapText="1"/>
      <protection/>
    </xf>
    <xf numFmtId="0" fontId="23" fillId="0" borderId="48" xfId="59" applyFont="1" applyBorder="1" applyAlignment="1">
      <alignment horizontal="center" vertical="center" wrapText="1"/>
      <protection/>
    </xf>
    <xf numFmtId="3" fontId="23" fillId="0" borderId="48" xfId="59" applyNumberFormat="1" applyFont="1" applyBorder="1" applyAlignment="1">
      <alignment horizontal="right" vertical="center"/>
      <protection/>
    </xf>
    <xf numFmtId="3" fontId="16" fillId="0" borderId="161" xfId="59" applyNumberFormat="1" applyFont="1" applyBorder="1" applyAlignment="1">
      <alignment horizontal="right" vertical="center"/>
      <protection/>
    </xf>
    <xf numFmtId="3" fontId="60" fillId="0" borderId="58" xfId="59" applyNumberFormat="1" applyFont="1" applyBorder="1" applyAlignment="1">
      <alignment horizontal="right" vertical="center"/>
      <protection/>
    </xf>
    <xf numFmtId="3" fontId="60" fillId="0" borderId="68" xfId="59" applyNumberFormat="1" applyFont="1" applyBorder="1" applyAlignment="1">
      <alignment horizontal="right" vertical="center"/>
      <protection/>
    </xf>
    <xf numFmtId="3" fontId="60" fillId="0" borderId="126" xfId="59" applyNumberFormat="1" applyFont="1" applyBorder="1" applyAlignment="1">
      <alignment horizontal="right" vertical="center"/>
      <protection/>
    </xf>
    <xf numFmtId="3" fontId="60" fillId="0" borderId="162" xfId="59" applyNumberFormat="1" applyFont="1" applyBorder="1" applyAlignment="1">
      <alignment horizontal="right" vertical="center"/>
      <protection/>
    </xf>
    <xf numFmtId="3" fontId="60" fillId="0" borderId="78" xfId="59" applyNumberFormat="1" applyFont="1" applyBorder="1" applyAlignment="1">
      <alignment horizontal="right" vertical="center"/>
      <protection/>
    </xf>
    <xf numFmtId="3" fontId="60" fillId="0" borderId="81" xfId="59" applyNumberFormat="1" applyFont="1" applyBorder="1" applyAlignment="1">
      <alignment horizontal="right" vertical="center"/>
      <protection/>
    </xf>
    <xf numFmtId="3" fontId="60" fillId="0" borderId="32" xfId="59" applyNumberFormat="1" applyFont="1" applyBorder="1" applyAlignment="1">
      <alignment horizontal="right" vertical="center"/>
      <protection/>
    </xf>
    <xf numFmtId="3" fontId="60" fillId="0" borderId="143" xfId="59" applyNumberFormat="1" applyFont="1" applyBorder="1" applyAlignment="1">
      <alignment horizontal="right" vertical="center"/>
      <protection/>
    </xf>
    <xf numFmtId="3" fontId="60" fillId="0" borderId="55" xfId="59" applyNumberFormat="1" applyFont="1" applyBorder="1" applyAlignment="1">
      <alignment horizontal="right" vertical="center"/>
      <protection/>
    </xf>
    <xf numFmtId="3" fontId="60" fillId="0" borderId="158" xfId="59" applyNumberFormat="1" applyFont="1" applyBorder="1" applyAlignment="1">
      <alignment horizontal="right" vertical="center"/>
      <protection/>
    </xf>
    <xf numFmtId="3" fontId="60" fillId="0" borderId="72" xfId="59" applyNumberFormat="1" applyFont="1" applyBorder="1" applyAlignment="1">
      <alignment horizontal="right" vertical="center"/>
      <protection/>
    </xf>
    <xf numFmtId="3" fontId="60" fillId="0" borderId="127" xfId="59" applyNumberFormat="1" applyFont="1" applyBorder="1" applyAlignment="1">
      <alignment horizontal="right" vertical="center"/>
      <protection/>
    </xf>
    <xf numFmtId="0" fontId="22" fillId="0" borderId="0" xfId="0" applyFont="1" applyAlignment="1">
      <alignment horizontal="center"/>
    </xf>
    <xf numFmtId="0" fontId="22" fillId="35" borderId="116" xfId="0" applyFont="1" applyFill="1" applyBorder="1" applyAlignment="1">
      <alignment horizontal="center" wrapText="1"/>
    </xf>
    <xf numFmtId="0" fontId="22" fillId="35" borderId="16" xfId="0" applyFont="1" applyFill="1" applyBorder="1" applyAlignment="1">
      <alignment horizontal="center" wrapText="1"/>
    </xf>
    <xf numFmtId="0" fontId="22" fillId="35" borderId="17" xfId="0" applyFont="1" applyFill="1" applyBorder="1" applyAlignment="1">
      <alignment horizontal="center" wrapText="1"/>
    </xf>
    <xf numFmtId="0" fontId="22" fillId="32" borderId="116" xfId="0" applyFont="1" applyFill="1" applyBorder="1" applyAlignment="1">
      <alignment horizontal="left" vertical="center"/>
    </xf>
    <xf numFmtId="0" fontId="22" fillId="32" borderId="16" xfId="0" applyFont="1" applyFill="1" applyBorder="1" applyAlignment="1">
      <alignment horizontal="left" vertical="center"/>
    </xf>
    <xf numFmtId="0" fontId="22" fillId="32" borderId="17" xfId="0" applyFont="1" applyFill="1" applyBorder="1" applyAlignment="1">
      <alignment horizontal="left" vertical="center"/>
    </xf>
    <xf numFmtId="0" fontId="41" fillId="0" borderId="0" xfId="0" applyFont="1" applyAlignment="1">
      <alignment/>
    </xf>
    <xf numFmtId="0" fontId="7" fillId="0" borderId="27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63" fillId="0" borderId="0" xfId="0" applyFont="1" applyFill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18" fillId="0" borderId="22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" fillId="33" borderId="22" xfId="61" applyFont="1" applyFill="1" applyBorder="1" applyAlignment="1">
      <alignment horizontal="right"/>
      <protection/>
    </xf>
    <xf numFmtId="0" fontId="2" fillId="33" borderId="14" xfId="61" applyFont="1" applyFill="1" applyBorder="1" applyAlignment="1">
      <alignment horizontal="right"/>
      <protection/>
    </xf>
    <xf numFmtId="0" fontId="40" fillId="33" borderId="22" xfId="61" applyFont="1" applyFill="1" applyBorder="1" applyAlignment="1">
      <alignment horizontal="left"/>
      <protection/>
    </xf>
    <xf numFmtId="0" fontId="40" fillId="33" borderId="14" xfId="61" applyFont="1" applyFill="1" applyBorder="1" applyAlignment="1">
      <alignment horizontal="left"/>
      <protection/>
    </xf>
    <xf numFmtId="0" fontId="1" fillId="0" borderId="147" xfId="61" applyFont="1" applyBorder="1" applyAlignment="1">
      <alignment horizontal="center" vertical="center" wrapText="1"/>
      <protection/>
    </xf>
    <xf numFmtId="0" fontId="14" fillId="0" borderId="30" xfId="61" applyBorder="1" applyAlignment="1">
      <alignment horizontal="center" vertical="center" wrapText="1"/>
      <protection/>
    </xf>
    <xf numFmtId="0" fontId="1" fillId="0" borderId="15" xfId="61" applyFont="1" applyBorder="1" applyAlignment="1">
      <alignment horizontal="center" vertical="center"/>
      <protection/>
    </xf>
    <xf numFmtId="0" fontId="1" fillId="0" borderId="25" xfId="61" applyFont="1" applyBorder="1" applyAlignment="1">
      <alignment horizontal="center" vertical="center"/>
      <protection/>
    </xf>
    <xf numFmtId="0" fontId="1" fillId="0" borderId="22" xfId="61" applyFont="1" applyBorder="1" applyAlignment="1">
      <alignment horizontal="center" vertical="center"/>
      <protection/>
    </xf>
    <xf numFmtId="0" fontId="1" fillId="0" borderId="0" xfId="61" applyFont="1" applyAlignment="1">
      <alignment horizontal="center" wrapText="1"/>
      <protection/>
    </xf>
    <xf numFmtId="0" fontId="1" fillId="0" borderId="0" xfId="61" applyFont="1" applyAlignment="1">
      <alignment horizontal="center"/>
      <protection/>
    </xf>
    <xf numFmtId="0" fontId="1" fillId="0" borderId="36" xfId="61" applyFont="1" applyBorder="1" applyAlignment="1">
      <alignment horizontal="center" vertical="center"/>
      <protection/>
    </xf>
    <xf numFmtId="0" fontId="1" fillId="0" borderId="142" xfId="61" applyFont="1" applyBorder="1" applyAlignment="1">
      <alignment horizontal="center" vertical="center"/>
      <protection/>
    </xf>
    <xf numFmtId="0" fontId="1" fillId="0" borderId="35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35" xfId="61" applyFont="1" applyBorder="1" applyAlignment="1">
      <alignment horizontal="center" vertical="center" wrapText="1"/>
      <protection/>
    </xf>
    <xf numFmtId="0" fontId="1" fillId="0" borderId="119" xfId="61" applyFont="1" applyBorder="1" applyAlignment="1">
      <alignment horizontal="center" vertical="center" wrapText="1"/>
      <protection/>
    </xf>
    <xf numFmtId="0" fontId="1" fillId="0" borderId="36" xfId="6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  <xf numFmtId="0" fontId="22" fillId="0" borderId="64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100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0" xfId="0" applyBorder="1" applyAlignment="1">
      <alignment horizontal="center"/>
    </xf>
    <xf numFmtId="3" fontId="0" fillId="37" borderId="147" xfId="0" applyNumberFormat="1" applyFill="1" applyBorder="1" applyAlignment="1">
      <alignment horizontal="center"/>
    </xf>
    <xf numFmtId="3" fontId="0" fillId="37" borderId="108" xfId="0" applyNumberFormat="1" applyFill="1" applyBorder="1" applyAlignment="1">
      <alignment horizontal="center"/>
    </xf>
    <xf numFmtId="3" fontId="0" fillId="37" borderId="145" xfId="0" applyNumberFormat="1" applyFill="1" applyBorder="1" applyAlignment="1">
      <alignment horizontal="center"/>
    </xf>
    <xf numFmtId="0" fontId="69" fillId="0" borderId="163" xfId="0" applyFont="1" applyBorder="1" applyAlignment="1">
      <alignment horizontal="left" vertical="center"/>
    </xf>
    <xf numFmtId="0" fontId="69" fillId="0" borderId="164" xfId="0" applyFont="1" applyBorder="1" applyAlignment="1">
      <alignment horizontal="left" vertical="center"/>
    </xf>
    <xf numFmtId="0" fontId="69" fillId="0" borderId="165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6" fillId="0" borderId="0" xfId="0" applyFont="1" applyAlignment="1">
      <alignment horizontal="center" wrapText="1"/>
    </xf>
    <xf numFmtId="0" fontId="20" fillId="0" borderId="147" xfId="0" applyFont="1" applyBorder="1" applyAlignment="1">
      <alignment horizontal="center" vertical="center" wrapText="1"/>
    </xf>
    <xf numFmtId="0" fontId="20" fillId="0" borderId="10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66" fillId="0" borderId="87" xfId="0" applyFont="1" applyBorder="1" applyAlignment="1">
      <alignment horizontal="center" vertical="center"/>
    </xf>
    <xf numFmtId="0" fontId="66" fillId="0" borderId="69" xfId="0" applyFont="1" applyBorder="1" applyAlignment="1">
      <alignment horizontal="center" vertical="center"/>
    </xf>
    <xf numFmtId="0" fontId="66" fillId="0" borderId="122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0" borderId="142" xfId="0" applyFont="1" applyBorder="1" applyAlignment="1">
      <alignment horizontal="center" vertical="center" wrapText="1"/>
    </xf>
    <xf numFmtId="0" fontId="67" fillId="0" borderId="147" xfId="0" applyFont="1" applyBorder="1" applyAlignment="1">
      <alignment horizontal="center" vertical="center" wrapText="1"/>
    </xf>
    <xf numFmtId="0" fontId="67" fillId="0" borderId="108" xfId="0" applyFont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3" fontId="0" fillId="37" borderId="82" xfId="0" applyNumberFormat="1" applyFill="1" applyBorder="1" applyAlignment="1">
      <alignment horizontal="center"/>
    </xf>
    <xf numFmtId="0" fontId="68" fillId="40" borderId="90" xfId="0" applyFont="1" applyFill="1" applyBorder="1" applyAlignment="1">
      <alignment horizontal="center" vertical="center"/>
    </xf>
    <xf numFmtId="0" fontId="68" fillId="40" borderId="77" xfId="0" applyFont="1" applyFill="1" applyBorder="1" applyAlignment="1">
      <alignment horizontal="center" vertical="center"/>
    </xf>
    <xf numFmtId="0" fontId="68" fillId="40" borderId="16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1" xfId="0" applyBorder="1" applyAlignment="1">
      <alignment horizontal="center"/>
    </xf>
    <xf numFmtId="0" fontId="69" fillId="0" borderId="163" xfId="0" applyFont="1" applyBorder="1" applyAlignment="1">
      <alignment horizontal="left" vertical="center" wrapText="1"/>
    </xf>
    <xf numFmtId="0" fontId="69" fillId="0" borderId="164" xfId="0" applyFont="1" applyBorder="1" applyAlignment="1">
      <alignment horizontal="left" vertical="center" wrapText="1"/>
    </xf>
    <xf numFmtId="0" fontId="69" fillId="0" borderId="165" xfId="0" applyFont="1" applyBorder="1" applyAlignment="1">
      <alignment horizontal="left" vertical="center" wrapText="1"/>
    </xf>
    <xf numFmtId="0" fontId="69" fillId="0" borderId="148" xfId="0" applyFont="1" applyBorder="1" applyAlignment="1">
      <alignment horizontal="left" vertical="center"/>
    </xf>
    <xf numFmtId="0" fontId="69" fillId="0" borderId="143" xfId="0" applyFont="1" applyBorder="1" applyAlignment="1">
      <alignment horizontal="left" vertical="center"/>
    </xf>
    <xf numFmtId="0" fontId="69" fillId="0" borderId="167" xfId="0" applyFont="1" applyBorder="1" applyAlignment="1">
      <alignment horizontal="left" vertical="center"/>
    </xf>
    <xf numFmtId="3" fontId="0" fillId="37" borderId="61" xfId="0" applyNumberFormat="1" applyFill="1" applyBorder="1" applyAlignment="1">
      <alignment horizontal="center"/>
    </xf>
    <xf numFmtId="3" fontId="0" fillId="37" borderId="60" xfId="0" applyNumberFormat="1" applyFill="1" applyBorder="1" applyAlignment="1">
      <alignment horizontal="center"/>
    </xf>
    <xf numFmtId="0" fontId="69" fillId="0" borderId="168" xfId="0" applyFont="1" applyBorder="1" applyAlignment="1">
      <alignment horizontal="left" vertical="center" wrapText="1"/>
    </xf>
    <xf numFmtId="0" fontId="69" fillId="0" borderId="152" xfId="0" applyFont="1" applyBorder="1" applyAlignment="1">
      <alignment horizontal="left" vertical="center" wrapText="1"/>
    </xf>
    <xf numFmtId="3" fontId="0" fillId="4" borderId="136" xfId="0" applyNumberFormat="1" applyFill="1" applyBorder="1" applyAlignment="1">
      <alignment horizontal="right" vertical="center"/>
    </xf>
    <xf numFmtId="3" fontId="0" fillId="4" borderId="37" xfId="0" applyNumberFormat="1" applyFill="1" applyBorder="1" applyAlignment="1">
      <alignment horizontal="right" vertical="center"/>
    </xf>
    <xf numFmtId="3" fontId="22" fillId="35" borderId="90" xfId="0" applyNumberFormat="1" applyFont="1" applyFill="1" applyBorder="1" applyAlignment="1">
      <alignment horizontal="center"/>
    </xf>
    <xf numFmtId="3" fontId="22" fillId="35" borderId="77" xfId="0" applyNumberFormat="1" applyFont="1" applyFill="1" applyBorder="1" applyAlignment="1">
      <alignment horizontal="center"/>
    </xf>
    <xf numFmtId="3" fontId="22" fillId="35" borderId="166" xfId="0" applyNumberFormat="1" applyFont="1" applyFill="1" applyBorder="1" applyAlignment="1">
      <alignment horizontal="center"/>
    </xf>
    <xf numFmtId="0" fontId="69" fillId="0" borderId="64" xfId="0" applyFont="1" applyBorder="1" applyAlignment="1">
      <alignment horizontal="left" vertical="center" wrapText="1"/>
    </xf>
    <xf numFmtId="0" fontId="69" fillId="0" borderId="49" xfId="0" applyFont="1" applyBorder="1" applyAlignment="1">
      <alignment horizontal="left" vertical="center" wrapText="1"/>
    </xf>
    <xf numFmtId="0" fontId="69" fillId="0" borderId="100" xfId="0" applyFont="1" applyBorder="1" applyAlignment="1">
      <alignment horizontal="left" vertical="center"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Kötelező, önként vállalt, állami feladatok szerinti bontás" xfId="59"/>
    <cellStyle name="Normál_Munka1" xfId="60"/>
    <cellStyle name="Normál_NORM09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01"/>
  <sheetViews>
    <sheetView zoomScalePageLayoutView="0" workbookViewId="0" topLeftCell="B1">
      <selection activeCell="F1" sqref="F1:J1"/>
    </sheetView>
  </sheetViews>
  <sheetFormatPr defaultColWidth="9.00390625" defaultRowHeight="12.75"/>
  <cols>
    <col min="1" max="1" width="5.125" style="187" customWidth="1"/>
    <col min="2" max="3" width="9.125" style="187" customWidth="1"/>
    <col min="4" max="4" width="5.875" style="187" customWidth="1"/>
    <col min="5" max="5" width="49.875" style="187" customWidth="1"/>
    <col min="6" max="6" width="16.125" style="187" bestFit="1" customWidth="1"/>
    <col min="7" max="7" width="13.625" style="187" customWidth="1"/>
    <col min="8" max="9" width="15.125" style="187" customWidth="1"/>
    <col min="10" max="10" width="15.875" style="187" bestFit="1" customWidth="1"/>
    <col min="11" max="11" width="9.125" style="322" customWidth="1"/>
    <col min="12" max="16384" width="9.125" style="187" customWidth="1"/>
  </cols>
  <sheetData>
    <row r="1" spans="1:10" ht="12.75">
      <c r="A1" s="93"/>
      <c r="B1" s="214"/>
      <c r="C1" s="214"/>
      <c r="D1" s="214"/>
      <c r="E1" s="215"/>
      <c r="F1" s="992" t="s">
        <v>1153</v>
      </c>
      <c r="G1" s="993"/>
      <c r="H1" s="993"/>
      <c r="I1" s="993"/>
      <c r="J1" s="993"/>
    </row>
    <row r="2" spans="1:10" ht="15.75">
      <c r="A2" s="997" t="s">
        <v>869</v>
      </c>
      <c r="B2" s="997"/>
      <c r="C2" s="997"/>
      <c r="D2" s="997"/>
      <c r="E2" s="997"/>
      <c r="F2" s="997"/>
      <c r="G2" s="997"/>
      <c r="H2" s="997"/>
      <c r="I2" s="997"/>
      <c r="J2" s="997"/>
    </row>
    <row r="3" spans="1:10" ht="12.75">
      <c r="A3" s="93"/>
      <c r="B3" s="93"/>
      <c r="C3" s="93"/>
      <c r="D3" s="93"/>
      <c r="E3" s="93"/>
      <c r="F3" s="214"/>
      <c r="G3" s="214"/>
      <c r="H3" s="214"/>
      <c r="I3" s="214"/>
      <c r="J3" s="214"/>
    </row>
    <row r="4" spans="1:10" ht="12.75">
      <c r="A4" s="93"/>
      <c r="B4" s="214"/>
      <c r="C4" s="214"/>
      <c r="D4" s="214"/>
      <c r="E4" s="214"/>
      <c r="F4" s="214"/>
      <c r="G4" s="214"/>
      <c r="H4" s="214"/>
      <c r="I4" s="214"/>
      <c r="J4" s="215" t="s">
        <v>645</v>
      </c>
    </row>
    <row r="5" spans="1:10" ht="60">
      <c r="A5" s="983" t="s">
        <v>0</v>
      </c>
      <c r="B5" s="984"/>
      <c r="C5" s="984"/>
      <c r="D5" s="984"/>
      <c r="E5" s="985"/>
      <c r="F5" s="194" t="s">
        <v>87</v>
      </c>
      <c r="G5" s="194" t="s">
        <v>378</v>
      </c>
      <c r="H5" s="194" t="s">
        <v>771</v>
      </c>
      <c r="I5" s="194" t="s">
        <v>838</v>
      </c>
      <c r="J5" s="194" t="s">
        <v>371</v>
      </c>
    </row>
    <row r="6" spans="1:11" s="198" customFormat="1" ht="15">
      <c r="A6" s="216" t="s">
        <v>440</v>
      </c>
      <c r="B6" s="994" t="s">
        <v>441</v>
      </c>
      <c r="C6" s="995"/>
      <c r="D6" s="995"/>
      <c r="E6" s="996"/>
      <c r="F6" s="217" t="s">
        <v>442</v>
      </c>
      <c r="G6" s="217" t="s">
        <v>443</v>
      </c>
      <c r="H6" s="217" t="s">
        <v>444</v>
      </c>
      <c r="I6" s="217" t="s">
        <v>445</v>
      </c>
      <c r="J6" s="217" t="s">
        <v>447</v>
      </c>
      <c r="K6" s="624"/>
    </row>
    <row r="7" spans="1:11" s="220" customFormat="1" ht="12.75">
      <c r="A7" s="218" t="s">
        <v>212</v>
      </c>
      <c r="B7" s="986" t="s">
        <v>213</v>
      </c>
      <c r="C7" s="986"/>
      <c r="D7" s="986"/>
      <c r="E7" s="986"/>
      <c r="F7" s="219">
        <f>SUM(F8+F15+F16+F17+F28+F29)</f>
        <v>682945492</v>
      </c>
      <c r="G7" s="219">
        <f>SUM(G8+G15+G16+G17+G28+G29)</f>
        <v>4598901</v>
      </c>
      <c r="H7" s="219">
        <f>SUM(H8+H15+H16+H17+H28+H29)</f>
        <v>1444366</v>
      </c>
      <c r="I7" s="219">
        <f>SUM(I8+I15+I16+I17+I28+I29)</f>
        <v>22765512</v>
      </c>
      <c r="J7" s="219">
        <f>SUM(F7:I7)</f>
        <v>711754271</v>
      </c>
      <c r="K7" s="625"/>
    </row>
    <row r="8" spans="1:11" ht="12.75">
      <c r="A8" s="221"/>
      <c r="B8" s="221" t="s">
        <v>214</v>
      </c>
      <c r="C8" s="982" t="s">
        <v>215</v>
      </c>
      <c r="D8" s="982"/>
      <c r="E8" s="982"/>
      <c r="F8" s="222">
        <f>SUM(F9:F14)</f>
        <v>519041816</v>
      </c>
      <c r="G8" s="222">
        <f>SUM(G9:G14)</f>
        <v>0</v>
      </c>
      <c r="H8" s="222">
        <f>SUM(H9:H14)</f>
        <v>0</v>
      </c>
      <c r="I8" s="222">
        <f>SUM(I9:I14)</f>
        <v>0</v>
      </c>
      <c r="J8" s="223">
        <f aca="true" t="shared" si="0" ref="J8:J73">SUM(F8:I8)</f>
        <v>519041816</v>
      </c>
      <c r="K8" s="626"/>
    </row>
    <row r="9" spans="1:11" ht="12.75">
      <c r="A9" s="224"/>
      <c r="B9" s="224"/>
      <c r="C9" s="224" t="s">
        <v>216</v>
      </c>
      <c r="D9" s="224"/>
      <c r="E9" s="224" t="s">
        <v>665</v>
      </c>
      <c r="F9" s="225">
        <f>187405500+593921+81261+3401000</f>
        <v>191481682</v>
      </c>
      <c r="G9" s="225">
        <v>0</v>
      </c>
      <c r="H9" s="225">
        <v>0</v>
      </c>
      <c r="I9" s="225">
        <v>0</v>
      </c>
      <c r="J9" s="226">
        <f t="shared" si="0"/>
        <v>191481682</v>
      </c>
      <c r="K9" s="627"/>
    </row>
    <row r="10" spans="1:11" ht="12.75">
      <c r="A10" s="224"/>
      <c r="B10" s="227"/>
      <c r="C10" s="224" t="s">
        <v>217</v>
      </c>
      <c r="D10" s="224"/>
      <c r="E10" s="224" t="s">
        <v>671</v>
      </c>
      <c r="F10" s="225">
        <f>113053183+2145000</f>
        <v>115198183</v>
      </c>
      <c r="G10" s="225">
        <v>0</v>
      </c>
      <c r="H10" s="225">
        <v>0</v>
      </c>
      <c r="I10" s="225">
        <v>0</v>
      </c>
      <c r="J10" s="226">
        <f t="shared" si="0"/>
        <v>115198183</v>
      </c>
      <c r="K10" s="627"/>
    </row>
    <row r="11" spans="1:11" ht="12.75">
      <c r="A11" s="224"/>
      <c r="B11" s="224"/>
      <c r="C11" s="224" t="s">
        <v>218</v>
      </c>
      <c r="D11" s="224"/>
      <c r="E11" s="224" t="s">
        <v>646</v>
      </c>
      <c r="F11" s="225">
        <f>163358480+10844656+2556000+2554017</f>
        <v>179313153</v>
      </c>
      <c r="G11" s="225">
        <v>0</v>
      </c>
      <c r="H11" s="225">
        <v>0</v>
      </c>
      <c r="I11" s="225">
        <v>0</v>
      </c>
      <c r="J11" s="226">
        <f t="shared" si="0"/>
        <v>179313153</v>
      </c>
      <c r="K11" s="627"/>
    </row>
    <row r="12" spans="1:11" ht="12.75">
      <c r="A12" s="224"/>
      <c r="B12" s="224"/>
      <c r="C12" s="224" t="s">
        <v>219</v>
      </c>
      <c r="D12" s="224"/>
      <c r="E12" s="224" t="s">
        <v>672</v>
      </c>
      <c r="F12" s="225">
        <f>10507640+862312+356000</f>
        <v>11725952</v>
      </c>
      <c r="G12" s="225">
        <v>0</v>
      </c>
      <c r="H12" s="225">
        <v>0</v>
      </c>
      <c r="I12" s="225">
        <v>0</v>
      </c>
      <c r="J12" s="226">
        <f t="shared" si="0"/>
        <v>11725952</v>
      </c>
      <c r="K12" s="627"/>
    </row>
    <row r="13" spans="1:11" ht="11.25" customHeight="1">
      <c r="A13" s="224"/>
      <c r="B13" s="224"/>
      <c r="C13" s="224" t="s">
        <v>220</v>
      </c>
      <c r="D13" s="224"/>
      <c r="E13" s="224" t="s">
        <v>666</v>
      </c>
      <c r="F13" s="225">
        <f>10464000+10858846</f>
        <v>21322846</v>
      </c>
      <c r="G13" s="225">
        <v>0</v>
      </c>
      <c r="H13" s="225">
        <v>0</v>
      </c>
      <c r="I13" s="225">
        <v>0</v>
      </c>
      <c r="J13" s="226">
        <f t="shared" si="0"/>
        <v>21322846</v>
      </c>
      <c r="K13" s="627"/>
    </row>
    <row r="14" spans="1:11" ht="0.75" customHeight="1" hidden="1">
      <c r="A14" s="228"/>
      <c r="B14" s="228"/>
      <c r="C14" s="224" t="s">
        <v>221</v>
      </c>
      <c r="D14" s="228"/>
      <c r="E14" s="224" t="s">
        <v>555</v>
      </c>
      <c r="F14" s="225">
        <v>0</v>
      </c>
      <c r="G14" s="225">
        <v>0</v>
      </c>
      <c r="H14" s="225">
        <v>0</v>
      </c>
      <c r="I14" s="225">
        <v>0</v>
      </c>
      <c r="J14" s="226">
        <f t="shared" si="0"/>
        <v>0</v>
      </c>
      <c r="K14" s="627"/>
    </row>
    <row r="15" spans="1:11" ht="12.75">
      <c r="A15" s="221"/>
      <c r="B15" s="221" t="s">
        <v>222</v>
      </c>
      <c r="C15" s="982" t="s">
        <v>223</v>
      </c>
      <c r="D15" s="982"/>
      <c r="E15" s="982"/>
      <c r="F15" s="222">
        <v>0</v>
      </c>
      <c r="G15" s="222">
        <v>0</v>
      </c>
      <c r="H15" s="222">
        <v>0</v>
      </c>
      <c r="I15" s="222">
        <v>0</v>
      </c>
      <c r="J15" s="223">
        <f t="shared" si="0"/>
        <v>0</v>
      </c>
      <c r="K15" s="626"/>
    </row>
    <row r="16" spans="1:11" ht="12.75">
      <c r="A16" s="221"/>
      <c r="B16" s="221" t="s">
        <v>224</v>
      </c>
      <c r="C16" s="982" t="s">
        <v>667</v>
      </c>
      <c r="D16" s="982"/>
      <c r="E16" s="982"/>
      <c r="F16" s="222">
        <v>0</v>
      </c>
      <c r="G16" s="222">
        <v>0</v>
      </c>
      <c r="H16" s="222">
        <v>0</v>
      </c>
      <c r="I16" s="222">
        <v>0</v>
      </c>
      <c r="J16" s="223">
        <f t="shared" si="0"/>
        <v>0</v>
      </c>
      <c r="K16" s="626"/>
    </row>
    <row r="17" spans="1:11" ht="12.75">
      <c r="A17" s="221"/>
      <c r="B17" s="221" t="s">
        <v>225</v>
      </c>
      <c r="C17" s="982" t="s">
        <v>668</v>
      </c>
      <c r="D17" s="982"/>
      <c r="E17" s="982"/>
      <c r="F17" s="222">
        <f>SUM(F18:F27)</f>
        <v>0</v>
      </c>
      <c r="G17" s="222">
        <f>SUM(G18:G27)</f>
        <v>0</v>
      </c>
      <c r="H17" s="222">
        <f>SUM(H18:H27)</f>
        <v>0</v>
      </c>
      <c r="I17" s="222">
        <f>SUM(I18:I27)</f>
        <v>0</v>
      </c>
      <c r="J17" s="223">
        <f t="shared" si="0"/>
        <v>0</v>
      </c>
      <c r="K17" s="626"/>
    </row>
    <row r="18" spans="1:11" ht="12.75" hidden="1">
      <c r="A18" s="229"/>
      <c r="B18" s="229"/>
      <c r="C18" s="230" t="s">
        <v>2</v>
      </c>
      <c r="D18" s="230" t="s">
        <v>150</v>
      </c>
      <c r="E18" s="230" t="s">
        <v>151</v>
      </c>
      <c r="F18" s="231">
        <v>0</v>
      </c>
      <c r="G18" s="231">
        <v>0</v>
      </c>
      <c r="H18" s="231">
        <v>0</v>
      </c>
      <c r="I18" s="231">
        <v>0</v>
      </c>
      <c r="J18" s="232">
        <f t="shared" si="0"/>
        <v>0</v>
      </c>
      <c r="K18" s="628"/>
    </row>
    <row r="19" spans="1:11" ht="12.75" hidden="1">
      <c r="A19" s="229"/>
      <c r="B19" s="229"/>
      <c r="C19" s="230"/>
      <c r="D19" s="230" t="s">
        <v>152</v>
      </c>
      <c r="E19" s="230" t="s">
        <v>153</v>
      </c>
      <c r="F19" s="231">
        <v>0</v>
      </c>
      <c r="G19" s="231">
        <v>0</v>
      </c>
      <c r="H19" s="231">
        <v>0</v>
      </c>
      <c r="I19" s="231">
        <v>0</v>
      </c>
      <c r="J19" s="232">
        <f t="shared" si="0"/>
        <v>0</v>
      </c>
      <c r="K19" s="628"/>
    </row>
    <row r="20" spans="1:11" ht="12.75" hidden="1">
      <c r="A20" s="229"/>
      <c r="B20" s="229"/>
      <c r="C20" s="230"/>
      <c r="D20" s="230" t="s">
        <v>154</v>
      </c>
      <c r="E20" s="230" t="s">
        <v>226</v>
      </c>
      <c r="F20" s="231">
        <v>0</v>
      </c>
      <c r="G20" s="231">
        <v>0</v>
      </c>
      <c r="H20" s="231">
        <v>0</v>
      </c>
      <c r="I20" s="231">
        <v>0</v>
      </c>
      <c r="J20" s="232">
        <f t="shared" si="0"/>
        <v>0</v>
      </c>
      <c r="K20" s="628"/>
    </row>
    <row r="21" spans="1:11" ht="12.75" hidden="1">
      <c r="A21" s="229"/>
      <c r="B21" s="229"/>
      <c r="C21" s="230"/>
      <c r="D21" s="230" t="s">
        <v>156</v>
      </c>
      <c r="E21" s="230" t="s">
        <v>157</v>
      </c>
      <c r="F21" s="231">
        <v>0</v>
      </c>
      <c r="G21" s="231">
        <v>0</v>
      </c>
      <c r="H21" s="231">
        <v>0</v>
      </c>
      <c r="I21" s="231">
        <v>0</v>
      </c>
      <c r="J21" s="232">
        <f t="shared" si="0"/>
        <v>0</v>
      </c>
      <c r="K21" s="628"/>
    </row>
    <row r="22" spans="1:11" ht="12.75" hidden="1">
      <c r="A22" s="229"/>
      <c r="B22" s="229"/>
      <c r="C22" s="230"/>
      <c r="D22" s="230" t="s">
        <v>158</v>
      </c>
      <c r="E22" s="230" t="s">
        <v>159</v>
      </c>
      <c r="F22" s="231">
        <v>0</v>
      </c>
      <c r="G22" s="231">
        <v>0</v>
      </c>
      <c r="H22" s="231">
        <v>0</v>
      </c>
      <c r="I22" s="231">
        <v>0</v>
      </c>
      <c r="J22" s="232">
        <f t="shared" si="0"/>
        <v>0</v>
      </c>
      <c r="K22" s="628"/>
    </row>
    <row r="23" spans="1:11" ht="12.75" hidden="1">
      <c r="A23" s="229"/>
      <c r="B23" s="229"/>
      <c r="C23" s="230"/>
      <c r="D23" s="230" t="s">
        <v>160</v>
      </c>
      <c r="E23" s="230" t="s">
        <v>161</v>
      </c>
      <c r="F23" s="231">
        <v>0</v>
      </c>
      <c r="G23" s="231">
        <v>0</v>
      </c>
      <c r="H23" s="231">
        <v>0</v>
      </c>
      <c r="I23" s="231">
        <v>0</v>
      </c>
      <c r="J23" s="232">
        <f t="shared" si="0"/>
        <v>0</v>
      </c>
      <c r="K23" s="628"/>
    </row>
    <row r="24" spans="1:11" ht="12.75" hidden="1">
      <c r="A24" s="229"/>
      <c r="B24" s="229"/>
      <c r="C24" s="230"/>
      <c r="D24" s="230" t="s">
        <v>162</v>
      </c>
      <c r="E24" s="230" t="s">
        <v>163</v>
      </c>
      <c r="F24" s="231">
        <v>0</v>
      </c>
      <c r="G24" s="231">
        <v>0</v>
      </c>
      <c r="H24" s="231">
        <v>0</v>
      </c>
      <c r="I24" s="231">
        <v>0</v>
      </c>
      <c r="J24" s="232">
        <f t="shared" si="0"/>
        <v>0</v>
      </c>
      <c r="K24" s="628"/>
    </row>
    <row r="25" spans="1:11" ht="12.75" hidden="1">
      <c r="A25" s="229"/>
      <c r="B25" s="229"/>
      <c r="C25" s="230"/>
      <c r="D25" s="230" t="s">
        <v>164</v>
      </c>
      <c r="E25" s="230" t="s">
        <v>165</v>
      </c>
      <c r="F25" s="231"/>
      <c r="G25" s="231">
        <v>0</v>
      </c>
      <c r="H25" s="231">
        <v>0</v>
      </c>
      <c r="I25" s="231">
        <v>0</v>
      </c>
      <c r="J25" s="232">
        <f t="shared" si="0"/>
        <v>0</v>
      </c>
      <c r="K25" s="628"/>
    </row>
    <row r="26" spans="1:11" ht="12.75" hidden="1">
      <c r="A26" s="229"/>
      <c r="B26" s="229"/>
      <c r="C26" s="230"/>
      <c r="D26" s="230" t="s">
        <v>166</v>
      </c>
      <c r="E26" s="230" t="s">
        <v>167</v>
      </c>
      <c r="F26" s="231">
        <v>0</v>
      </c>
      <c r="G26" s="231">
        <v>0</v>
      </c>
      <c r="H26" s="231">
        <v>0</v>
      </c>
      <c r="I26" s="231">
        <v>0</v>
      </c>
      <c r="J26" s="232">
        <f t="shared" si="0"/>
        <v>0</v>
      </c>
      <c r="K26" s="628"/>
    </row>
    <row r="27" spans="1:11" ht="12.75" hidden="1">
      <c r="A27" s="229"/>
      <c r="B27" s="229"/>
      <c r="C27" s="230"/>
      <c r="D27" s="230" t="s">
        <v>168</v>
      </c>
      <c r="E27" s="230" t="s">
        <v>169</v>
      </c>
      <c r="F27" s="231">
        <v>0</v>
      </c>
      <c r="G27" s="231">
        <v>0</v>
      </c>
      <c r="H27" s="231">
        <v>0</v>
      </c>
      <c r="I27" s="231">
        <v>0</v>
      </c>
      <c r="J27" s="232">
        <f t="shared" si="0"/>
        <v>0</v>
      </c>
      <c r="K27" s="628"/>
    </row>
    <row r="28" spans="1:11" ht="12.75">
      <c r="A28" s="221"/>
      <c r="B28" s="221" t="s">
        <v>227</v>
      </c>
      <c r="C28" s="982" t="s">
        <v>669</v>
      </c>
      <c r="D28" s="982"/>
      <c r="E28" s="982"/>
      <c r="F28" s="222">
        <v>0</v>
      </c>
      <c r="G28" s="222">
        <v>0</v>
      </c>
      <c r="H28" s="222">
        <v>0</v>
      </c>
      <c r="I28" s="222">
        <v>0</v>
      </c>
      <c r="J28" s="223">
        <f t="shared" si="0"/>
        <v>0</v>
      </c>
      <c r="K28" s="626"/>
    </row>
    <row r="29" spans="1:11" ht="12.75">
      <c r="A29" s="221"/>
      <c r="B29" s="221" t="s">
        <v>228</v>
      </c>
      <c r="C29" s="982" t="s">
        <v>670</v>
      </c>
      <c r="D29" s="982"/>
      <c r="E29" s="982"/>
      <c r="F29" s="222">
        <f>SUM(F30:F39)</f>
        <v>163903676</v>
      </c>
      <c r="G29" s="222">
        <f>SUM(G30:G39)</f>
        <v>4598901</v>
      </c>
      <c r="H29" s="222">
        <f>SUM(H30:H39)</f>
        <v>1444366</v>
      </c>
      <c r="I29" s="222">
        <f>SUM(I30:I39)</f>
        <v>22765512</v>
      </c>
      <c r="J29" s="223">
        <f t="shared" si="0"/>
        <v>192712455</v>
      </c>
      <c r="K29" s="626"/>
    </row>
    <row r="30" spans="1:11" ht="12.75" hidden="1">
      <c r="A30" s="229"/>
      <c r="B30" s="229"/>
      <c r="C30" s="230" t="s">
        <v>2</v>
      </c>
      <c r="D30" s="230" t="s">
        <v>150</v>
      </c>
      <c r="E30" s="230" t="s">
        <v>151</v>
      </c>
      <c r="F30" s="231">
        <v>0</v>
      </c>
      <c r="G30" s="231">
        <v>0</v>
      </c>
      <c r="H30" s="231">
        <v>0</v>
      </c>
      <c r="I30" s="231">
        <v>0</v>
      </c>
      <c r="J30" s="232">
        <f t="shared" si="0"/>
        <v>0</v>
      </c>
      <c r="K30" s="628"/>
    </row>
    <row r="31" spans="1:11" ht="12.75" hidden="1">
      <c r="A31" s="229"/>
      <c r="B31" s="229"/>
      <c r="C31" s="230"/>
      <c r="D31" s="230" t="s">
        <v>152</v>
      </c>
      <c r="E31" s="230" t="s">
        <v>153</v>
      </c>
      <c r="F31" s="231">
        <v>0</v>
      </c>
      <c r="G31" s="231">
        <v>0</v>
      </c>
      <c r="H31" s="231">
        <v>0</v>
      </c>
      <c r="I31" s="231">
        <v>0</v>
      </c>
      <c r="J31" s="232">
        <f t="shared" si="0"/>
        <v>0</v>
      </c>
      <c r="K31" s="628"/>
    </row>
    <row r="32" spans="1:11" ht="12.75">
      <c r="A32" s="233"/>
      <c r="B32" s="233"/>
      <c r="C32" s="230" t="s">
        <v>2</v>
      </c>
      <c r="D32" s="234"/>
      <c r="E32" s="234" t="s">
        <v>673</v>
      </c>
      <c r="F32" s="231">
        <f>52411853+3303941+2000000</f>
        <v>57715794</v>
      </c>
      <c r="G32" s="231">
        <v>0</v>
      </c>
      <c r="H32" s="231">
        <v>0</v>
      </c>
      <c r="I32" s="231">
        <v>22502900</v>
      </c>
      <c r="J32" s="232">
        <f t="shared" si="0"/>
        <v>80218694</v>
      </c>
      <c r="K32" s="628"/>
    </row>
    <row r="33" spans="1:11" ht="12.75">
      <c r="A33" s="229"/>
      <c r="B33" s="229"/>
      <c r="C33" s="230"/>
      <c r="D33" s="230"/>
      <c r="E33" s="230" t="s">
        <v>157</v>
      </c>
      <c r="F33" s="231">
        <f>15675115-2000000+1166000-7430000</f>
        <v>7411115</v>
      </c>
      <c r="G33" s="231">
        <f>1960719+47334+2156000+434848</f>
        <v>4598901</v>
      </c>
      <c r="H33" s="231">
        <v>0</v>
      </c>
      <c r="I33" s="231">
        <v>0</v>
      </c>
      <c r="J33" s="232">
        <f t="shared" si="0"/>
        <v>12010016</v>
      </c>
      <c r="K33" s="628"/>
    </row>
    <row r="34" spans="1:11" ht="12.75">
      <c r="A34" s="229"/>
      <c r="B34" s="229"/>
      <c r="C34" s="230"/>
      <c r="D34" s="230"/>
      <c r="E34" s="230" t="s">
        <v>159</v>
      </c>
      <c r="F34" s="231">
        <f>21228000+2577831</f>
        <v>23805831</v>
      </c>
      <c r="G34" s="231">
        <v>0</v>
      </c>
      <c r="H34" s="231">
        <v>0</v>
      </c>
      <c r="I34" s="231">
        <v>0</v>
      </c>
      <c r="J34" s="232">
        <f t="shared" si="0"/>
        <v>23805831</v>
      </c>
      <c r="K34" s="628"/>
    </row>
    <row r="35" spans="1:11" ht="12.75">
      <c r="A35" s="229"/>
      <c r="B35" s="229"/>
      <c r="C35" s="230"/>
      <c r="D35" s="230"/>
      <c r="E35" s="230" t="s">
        <v>161</v>
      </c>
      <c r="F35" s="231">
        <f>23113977-6854236-6737965+42621100+16507503+1152632+3457896</f>
        <v>73260907</v>
      </c>
      <c r="G35" s="231">
        <v>0</v>
      </c>
      <c r="H35" s="231">
        <f>1444366</f>
        <v>1444366</v>
      </c>
      <c r="I35" s="231">
        <f>262612</f>
        <v>262612</v>
      </c>
      <c r="J35" s="232">
        <f t="shared" si="0"/>
        <v>74967885</v>
      </c>
      <c r="K35" s="628"/>
    </row>
    <row r="36" spans="1:11" ht="12.75">
      <c r="A36" s="229"/>
      <c r="B36" s="229"/>
      <c r="C36" s="230"/>
      <c r="D36" s="230"/>
      <c r="E36" s="230" t="s">
        <v>163</v>
      </c>
      <c r="F36" s="231">
        <v>1710029</v>
      </c>
      <c r="G36" s="231">
        <v>0</v>
      </c>
      <c r="H36" s="231">
        <v>0</v>
      </c>
      <c r="I36" s="231">
        <v>0</v>
      </c>
      <c r="J36" s="232">
        <f t="shared" si="0"/>
        <v>1710029</v>
      </c>
      <c r="K36" s="628"/>
    </row>
    <row r="37" spans="1:11" ht="12.75" hidden="1">
      <c r="A37" s="229"/>
      <c r="B37" s="229"/>
      <c r="C37" s="230"/>
      <c r="D37" s="230"/>
      <c r="E37" s="230" t="s">
        <v>165</v>
      </c>
      <c r="F37" s="231">
        <v>0</v>
      </c>
      <c r="G37" s="231">
        <v>0</v>
      </c>
      <c r="H37" s="231">
        <v>0</v>
      </c>
      <c r="I37" s="231">
        <v>0</v>
      </c>
      <c r="J37" s="232">
        <f t="shared" si="0"/>
        <v>0</v>
      </c>
      <c r="K37" s="628"/>
    </row>
    <row r="38" spans="1:11" ht="12.75" hidden="1">
      <c r="A38" s="229"/>
      <c r="B38" s="229"/>
      <c r="C38" s="230"/>
      <c r="D38" s="230"/>
      <c r="E38" s="230" t="s">
        <v>674</v>
      </c>
      <c r="F38" s="231">
        <v>0</v>
      </c>
      <c r="G38" s="231">
        <v>0</v>
      </c>
      <c r="H38" s="231">
        <v>0</v>
      </c>
      <c r="I38" s="231">
        <v>0</v>
      </c>
      <c r="J38" s="232">
        <f t="shared" si="0"/>
        <v>0</v>
      </c>
      <c r="K38" s="628"/>
    </row>
    <row r="39" spans="1:11" ht="12.75" hidden="1">
      <c r="A39" s="229"/>
      <c r="B39" s="229"/>
      <c r="C39" s="230"/>
      <c r="D39" s="230"/>
      <c r="E39" s="230" t="s">
        <v>675</v>
      </c>
      <c r="F39" s="231">
        <v>0</v>
      </c>
      <c r="G39" s="231">
        <v>0</v>
      </c>
      <c r="H39" s="231">
        <v>0</v>
      </c>
      <c r="I39" s="231">
        <v>0</v>
      </c>
      <c r="J39" s="232">
        <f t="shared" si="0"/>
        <v>0</v>
      </c>
      <c r="K39" s="628"/>
    </row>
    <row r="40" spans="1:11" s="220" customFormat="1" ht="12.75">
      <c r="A40" s="218" t="s">
        <v>229</v>
      </c>
      <c r="B40" s="986" t="s">
        <v>681</v>
      </c>
      <c r="C40" s="986"/>
      <c r="D40" s="986"/>
      <c r="E40" s="986"/>
      <c r="F40" s="219">
        <f>SUM(F41:F45)</f>
        <v>76944168</v>
      </c>
      <c r="G40" s="219">
        <f>SUM(G41:G45)</f>
        <v>0</v>
      </c>
      <c r="H40" s="219">
        <f>SUM(H41:H45)</f>
        <v>0</v>
      </c>
      <c r="I40" s="219">
        <f>SUM(I41:I45)</f>
        <v>2497100</v>
      </c>
      <c r="J40" s="219">
        <f t="shared" si="0"/>
        <v>79441268</v>
      </c>
      <c r="K40" s="625"/>
    </row>
    <row r="41" spans="1:11" ht="12" customHeight="1">
      <c r="A41" s="221"/>
      <c r="B41" s="221" t="s">
        <v>230</v>
      </c>
      <c r="C41" s="982" t="s">
        <v>676</v>
      </c>
      <c r="D41" s="982"/>
      <c r="E41" s="982"/>
      <c r="F41" s="222">
        <f>29999998</f>
        <v>29999998</v>
      </c>
      <c r="G41" s="222">
        <v>0</v>
      </c>
      <c r="H41" s="222">
        <v>0</v>
      </c>
      <c r="I41" s="222">
        <v>0</v>
      </c>
      <c r="J41" s="223">
        <f t="shared" si="0"/>
        <v>29999998</v>
      </c>
      <c r="K41" s="626"/>
    </row>
    <row r="42" spans="1:11" ht="12.75" hidden="1">
      <c r="A42" s="221"/>
      <c r="B42" s="221" t="s">
        <v>231</v>
      </c>
      <c r="C42" s="982" t="s">
        <v>677</v>
      </c>
      <c r="D42" s="982"/>
      <c r="E42" s="982"/>
      <c r="F42" s="222">
        <v>0</v>
      </c>
      <c r="G42" s="222">
        <v>0</v>
      </c>
      <c r="H42" s="222">
        <v>0</v>
      </c>
      <c r="I42" s="222">
        <v>0</v>
      </c>
      <c r="J42" s="223">
        <f t="shared" si="0"/>
        <v>0</v>
      </c>
      <c r="K42" s="626"/>
    </row>
    <row r="43" spans="1:11" ht="12.75" hidden="1">
      <c r="A43" s="221"/>
      <c r="B43" s="221" t="s">
        <v>232</v>
      </c>
      <c r="C43" s="982" t="s">
        <v>678</v>
      </c>
      <c r="D43" s="982"/>
      <c r="E43" s="982"/>
      <c r="F43" s="222">
        <v>0</v>
      </c>
      <c r="G43" s="222">
        <v>0</v>
      </c>
      <c r="H43" s="222">
        <v>0</v>
      </c>
      <c r="I43" s="222">
        <v>0</v>
      </c>
      <c r="J43" s="223">
        <f t="shared" si="0"/>
        <v>0</v>
      </c>
      <c r="K43" s="626"/>
    </row>
    <row r="44" spans="1:11" ht="12.75" hidden="1">
      <c r="A44" s="221"/>
      <c r="B44" s="221" t="s">
        <v>233</v>
      </c>
      <c r="C44" s="982" t="s">
        <v>679</v>
      </c>
      <c r="D44" s="982"/>
      <c r="E44" s="982"/>
      <c r="F44" s="222">
        <v>0</v>
      </c>
      <c r="G44" s="222">
        <v>0</v>
      </c>
      <c r="H44" s="222">
        <v>0</v>
      </c>
      <c r="I44" s="222">
        <v>0</v>
      </c>
      <c r="J44" s="223">
        <f t="shared" si="0"/>
        <v>0</v>
      </c>
      <c r="K44" s="626"/>
    </row>
    <row r="45" spans="1:11" ht="12.75">
      <c r="A45" s="221"/>
      <c r="B45" s="221" t="s">
        <v>234</v>
      </c>
      <c r="C45" s="982" t="s">
        <v>680</v>
      </c>
      <c r="D45" s="982"/>
      <c r="E45" s="982"/>
      <c r="F45" s="222">
        <f>SUM(F46:F57)</f>
        <v>46944170</v>
      </c>
      <c r="G45" s="222">
        <f>SUM(G46:G57)</f>
        <v>0</v>
      </c>
      <c r="H45" s="222">
        <f>SUM(H46:H57)</f>
        <v>0</v>
      </c>
      <c r="I45" s="222">
        <f>SUM(I46:I57)</f>
        <v>2497100</v>
      </c>
      <c r="J45" s="223">
        <f t="shared" si="0"/>
        <v>49441270</v>
      </c>
      <c r="K45" s="626"/>
    </row>
    <row r="46" spans="1:11" ht="12.75" hidden="1">
      <c r="A46" s="229"/>
      <c r="B46" s="229"/>
      <c r="C46" s="230" t="s">
        <v>2</v>
      </c>
      <c r="D46" s="230" t="s">
        <v>150</v>
      </c>
      <c r="E46" s="230" t="s">
        <v>151</v>
      </c>
      <c r="F46" s="231">
        <v>0</v>
      </c>
      <c r="G46" s="231">
        <v>0</v>
      </c>
      <c r="H46" s="231">
        <v>0</v>
      </c>
      <c r="I46" s="231">
        <v>0</v>
      </c>
      <c r="J46" s="232">
        <f t="shared" si="0"/>
        <v>0</v>
      </c>
      <c r="K46" s="628"/>
    </row>
    <row r="47" spans="1:11" ht="12.75" hidden="1">
      <c r="A47" s="229"/>
      <c r="B47" s="229"/>
      <c r="C47" s="230"/>
      <c r="D47" s="230" t="s">
        <v>152</v>
      </c>
      <c r="E47" s="230" t="s">
        <v>153</v>
      </c>
      <c r="F47" s="231">
        <v>0</v>
      </c>
      <c r="G47" s="231">
        <v>0</v>
      </c>
      <c r="H47" s="231">
        <v>0</v>
      </c>
      <c r="I47" s="231">
        <v>0</v>
      </c>
      <c r="J47" s="232">
        <f t="shared" si="0"/>
        <v>0</v>
      </c>
      <c r="K47" s="628"/>
    </row>
    <row r="48" spans="1:11" ht="12" customHeight="1">
      <c r="A48" s="233"/>
      <c r="B48" s="233"/>
      <c r="C48" s="230" t="s">
        <v>2</v>
      </c>
      <c r="D48" s="234"/>
      <c r="E48" s="234" t="s">
        <v>226</v>
      </c>
      <c r="F48" s="231">
        <f>24880301+779383+1499099</f>
        <v>27158783</v>
      </c>
      <c r="G48" s="231">
        <v>0</v>
      </c>
      <c r="H48" s="231">
        <v>0</v>
      </c>
      <c r="I48" s="231">
        <v>2497100</v>
      </c>
      <c r="J48" s="232">
        <f t="shared" si="0"/>
        <v>29655883</v>
      </c>
      <c r="K48" s="628"/>
    </row>
    <row r="49" spans="1:11" ht="12.75" hidden="1">
      <c r="A49" s="229"/>
      <c r="B49" s="229"/>
      <c r="C49" s="230"/>
      <c r="D49" s="230" t="s">
        <v>156</v>
      </c>
      <c r="E49" s="230" t="s">
        <v>157</v>
      </c>
      <c r="F49" s="231">
        <v>0</v>
      </c>
      <c r="G49" s="231">
        <v>0</v>
      </c>
      <c r="H49" s="231">
        <v>0</v>
      </c>
      <c r="I49" s="231">
        <v>0</v>
      </c>
      <c r="J49" s="232">
        <f t="shared" si="0"/>
        <v>0</v>
      </c>
      <c r="K49" s="628"/>
    </row>
    <row r="50" spans="1:11" ht="12.75" hidden="1">
      <c r="A50" s="229"/>
      <c r="B50" s="229"/>
      <c r="C50" s="230"/>
      <c r="D50" s="230" t="s">
        <v>158</v>
      </c>
      <c r="E50" s="230" t="s">
        <v>159</v>
      </c>
      <c r="F50" s="231">
        <v>0</v>
      </c>
      <c r="G50" s="231">
        <v>0</v>
      </c>
      <c r="H50" s="231">
        <v>0</v>
      </c>
      <c r="I50" s="231">
        <v>0</v>
      </c>
      <c r="J50" s="232">
        <f t="shared" si="0"/>
        <v>0</v>
      </c>
      <c r="K50" s="628"/>
    </row>
    <row r="51" spans="1:11" ht="12.75" hidden="1">
      <c r="A51" s="229"/>
      <c r="B51" s="229"/>
      <c r="C51" s="230"/>
      <c r="D51" s="230" t="s">
        <v>160</v>
      </c>
      <c r="E51" s="230" t="s">
        <v>161</v>
      </c>
      <c r="F51" s="231"/>
      <c r="G51" s="231">
        <v>0</v>
      </c>
      <c r="H51" s="231">
        <v>0</v>
      </c>
      <c r="I51" s="231">
        <v>0</v>
      </c>
      <c r="J51" s="232">
        <f t="shared" si="0"/>
        <v>0</v>
      </c>
      <c r="K51" s="628"/>
    </row>
    <row r="52" spans="1:11" ht="12.75" hidden="1">
      <c r="A52" s="229"/>
      <c r="B52" s="229"/>
      <c r="C52" s="230"/>
      <c r="D52" s="230" t="s">
        <v>162</v>
      </c>
      <c r="E52" s="230" t="s">
        <v>163</v>
      </c>
      <c r="F52" s="231">
        <v>0</v>
      </c>
      <c r="G52" s="231">
        <v>0</v>
      </c>
      <c r="H52" s="231">
        <v>0</v>
      </c>
      <c r="I52" s="231">
        <v>0</v>
      </c>
      <c r="J52" s="232">
        <f t="shared" si="0"/>
        <v>0</v>
      </c>
      <c r="K52" s="628"/>
    </row>
    <row r="53" spans="1:11" ht="12.75" hidden="1">
      <c r="A53" s="229"/>
      <c r="B53" s="229"/>
      <c r="C53" s="230"/>
      <c r="D53" s="230" t="s">
        <v>164</v>
      </c>
      <c r="E53" s="230" t="s">
        <v>165</v>
      </c>
      <c r="F53" s="231">
        <v>0</v>
      </c>
      <c r="G53" s="231">
        <v>0</v>
      </c>
      <c r="H53" s="231">
        <v>0</v>
      </c>
      <c r="I53" s="231">
        <v>0</v>
      </c>
      <c r="J53" s="232">
        <f t="shared" si="0"/>
        <v>0</v>
      </c>
      <c r="K53" s="628"/>
    </row>
    <row r="54" spans="1:11" ht="12.75" hidden="1">
      <c r="A54" s="229"/>
      <c r="B54" s="229"/>
      <c r="C54" s="230"/>
      <c r="D54" s="230" t="s">
        <v>166</v>
      </c>
      <c r="E54" s="230" t="s">
        <v>167</v>
      </c>
      <c r="F54" s="231">
        <v>0</v>
      </c>
      <c r="G54" s="231">
        <v>0</v>
      </c>
      <c r="H54" s="231">
        <v>0</v>
      </c>
      <c r="I54" s="231">
        <v>0</v>
      </c>
      <c r="J54" s="232">
        <f t="shared" si="0"/>
        <v>0</v>
      </c>
      <c r="K54" s="628"/>
    </row>
    <row r="55" spans="1:11" ht="12.75" hidden="1">
      <c r="A55" s="229"/>
      <c r="B55" s="229"/>
      <c r="C55" s="230"/>
      <c r="D55" s="230" t="s">
        <v>168</v>
      </c>
      <c r="E55" s="230" t="s">
        <v>169</v>
      </c>
      <c r="F55" s="231">
        <v>0</v>
      </c>
      <c r="G55" s="231">
        <v>0</v>
      </c>
      <c r="H55" s="231">
        <v>0</v>
      </c>
      <c r="I55" s="231">
        <v>0</v>
      </c>
      <c r="J55" s="232">
        <f t="shared" si="0"/>
        <v>0</v>
      </c>
      <c r="K55" s="628"/>
    </row>
    <row r="56" spans="1:11" ht="12.75">
      <c r="A56" s="229"/>
      <c r="B56" s="229"/>
      <c r="C56" s="230"/>
      <c r="D56" s="230"/>
      <c r="E56" s="230" t="s">
        <v>161</v>
      </c>
      <c r="F56" s="231">
        <f>289870-39360+138684+900000</f>
        <v>1289194</v>
      </c>
      <c r="G56" s="231">
        <v>0</v>
      </c>
      <c r="H56" s="231">
        <v>0</v>
      </c>
      <c r="I56" s="231">
        <v>0</v>
      </c>
      <c r="J56" s="232">
        <f>SUM(F56:I56)</f>
        <v>1289194</v>
      </c>
      <c r="K56" s="628"/>
    </row>
    <row r="57" spans="1:11" ht="12.75">
      <c r="A57" s="229"/>
      <c r="B57" s="229"/>
      <c r="C57" s="230"/>
      <c r="D57" s="230"/>
      <c r="E57" s="230" t="s">
        <v>165</v>
      </c>
      <c r="F57" s="231">
        <f>16000000+1331031+401078+764084</f>
        <v>18496193</v>
      </c>
      <c r="G57" s="231">
        <v>0</v>
      </c>
      <c r="H57" s="231">
        <v>0</v>
      </c>
      <c r="I57" s="231">
        <v>0</v>
      </c>
      <c r="J57" s="232">
        <f t="shared" si="0"/>
        <v>18496193</v>
      </c>
      <c r="K57" s="628"/>
    </row>
    <row r="58" spans="1:11" s="220" customFormat="1" ht="12.75">
      <c r="A58" s="218" t="s">
        <v>235</v>
      </c>
      <c r="B58" s="986" t="s">
        <v>236</v>
      </c>
      <c r="C58" s="986"/>
      <c r="D58" s="986"/>
      <c r="E58" s="986"/>
      <c r="F58" s="219">
        <f>SUM(F59+F60+F61+F62+F65+F76)</f>
        <v>254780000</v>
      </c>
      <c r="G58" s="219">
        <f>SUM(G59+G60+G61+G62+G65+G76)</f>
        <v>0</v>
      </c>
      <c r="H58" s="219">
        <f>SUM(H59+H60+H61+H62+H65+H76)</f>
        <v>0</v>
      </c>
      <c r="I58" s="219">
        <f>SUM(I59+I60+I61+I62+I65+I76)</f>
        <v>0</v>
      </c>
      <c r="J58" s="219">
        <f t="shared" si="0"/>
        <v>254780000</v>
      </c>
      <c r="K58" s="625"/>
    </row>
    <row r="59" spans="1:11" ht="12.75">
      <c r="A59" s="221"/>
      <c r="B59" s="221" t="s">
        <v>237</v>
      </c>
      <c r="C59" s="982" t="s">
        <v>238</v>
      </c>
      <c r="D59" s="982"/>
      <c r="E59" s="982"/>
      <c r="F59" s="222">
        <v>50000</v>
      </c>
      <c r="G59" s="222">
        <v>0</v>
      </c>
      <c r="H59" s="222">
        <v>0</v>
      </c>
      <c r="I59" s="222">
        <v>0</v>
      </c>
      <c r="J59" s="223">
        <f t="shared" si="0"/>
        <v>50000</v>
      </c>
      <c r="K59" s="626"/>
    </row>
    <row r="60" spans="1:11" ht="12.75">
      <c r="A60" s="221"/>
      <c r="B60" s="221" t="s">
        <v>239</v>
      </c>
      <c r="C60" s="982" t="s">
        <v>240</v>
      </c>
      <c r="D60" s="982"/>
      <c r="E60" s="982"/>
      <c r="F60" s="222">
        <v>0</v>
      </c>
      <c r="G60" s="222">
        <v>0</v>
      </c>
      <c r="H60" s="222">
        <v>0</v>
      </c>
      <c r="I60" s="222">
        <v>0</v>
      </c>
      <c r="J60" s="223">
        <f t="shared" si="0"/>
        <v>0</v>
      </c>
      <c r="K60" s="626"/>
    </row>
    <row r="61" spans="1:11" ht="12.75">
      <c r="A61" s="221"/>
      <c r="B61" s="221" t="s">
        <v>241</v>
      </c>
      <c r="C61" s="982" t="s">
        <v>242</v>
      </c>
      <c r="D61" s="982"/>
      <c r="E61" s="982"/>
      <c r="F61" s="222">
        <v>0</v>
      </c>
      <c r="G61" s="222">
        <v>0</v>
      </c>
      <c r="H61" s="222">
        <v>0</v>
      </c>
      <c r="I61" s="222">
        <v>0</v>
      </c>
      <c r="J61" s="223">
        <f t="shared" si="0"/>
        <v>0</v>
      </c>
      <c r="K61" s="626"/>
    </row>
    <row r="62" spans="1:11" ht="12.75">
      <c r="A62" s="221"/>
      <c r="B62" s="221" t="s">
        <v>243</v>
      </c>
      <c r="C62" s="982" t="s">
        <v>244</v>
      </c>
      <c r="D62" s="982"/>
      <c r="E62" s="982"/>
      <c r="F62" s="222">
        <f>SUM(F63:F64)</f>
        <v>38930000</v>
      </c>
      <c r="G62" s="222">
        <f>SUM(G63:G64)</f>
        <v>0</v>
      </c>
      <c r="H62" s="222">
        <v>0</v>
      </c>
      <c r="I62" s="222">
        <v>0</v>
      </c>
      <c r="J62" s="223">
        <f t="shared" si="0"/>
        <v>38930000</v>
      </c>
      <c r="K62" s="626"/>
    </row>
    <row r="63" spans="1:11" ht="12.75">
      <c r="A63" s="229"/>
      <c r="B63" s="229"/>
      <c r="C63" s="230"/>
      <c r="D63" s="230"/>
      <c r="E63" s="230" t="s">
        <v>245</v>
      </c>
      <c r="F63" s="231">
        <v>38000000</v>
      </c>
      <c r="G63" s="231">
        <v>0</v>
      </c>
      <c r="H63" s="231">
        <v>0</v>
      </c>
      <c r="I63" s="231">
        <v>0</v>
      </c>
      <c r="J63" s="232">
        <f t="shared" si="0"/>
        <v>38000000</v>
      </c>
      <c r="K63" s="628"/>
    </row>
    <row r="64" spans="1:11" ht="12.75">
      <c r="A64" s="229"/>
      <c r="B64" s="229"/>
      <c r="C64" s="230"/>
      <c r="D64" s="230"/>
      <c r="E64" s="230" t="s">
        <v>246</v>
      </c>
      <c r="F64" s="231">
        <v>930000</v>
      </c>
      <c r="G64" s="231">
        <v>0</v>
      </c>
      <c r="H64" s="231">
        <v>0</v>
      </c>
      <c r="I64" s="231">
        <v>0</v>
      </c>
      <c r="J64" s="232">
        <f t="shared" si="0"/>
        <v>930000</v>
      </c>
      <c r="K64" s="628"/>
    </row>
    <row r="65" spans="1:11" ht="12.75">
      <c r="A65" s="221"/>
      <c r="B65" s="221" t="s">
        <v>247</v>
      </c>
      <c r="C65" s="982" t="s">
        <v>248</v>
      </c>
      <c r="D65" s="982"/>
      <c r="E65" s="982"/>
      <c r="F65" s="222">
        <f>SUM(F66+F69+F71+F72+F74)</f>
        <v>215200000</v>
      </c>
      <c r="G65" s="222">
        <f>SUM(G66+G69+G71+G72+G74)</f>
        <v>0</v>
      </c>
      <c r="H65" s="222">
        <v>0</v>
      </c>
      <c r="I65" s="222">
        <v>0</v>
      </c>
      <c r="J65" s="223">
        <f t="shared" si="0"/>
        <v>215200000</v>
      </c>
      <c r="K65" s="626"/>
    </row>
    <row r="66" spans="1:11" ht="12.75">
      <c r="A66" s="224"/>
      <c r="B66" s="224"/>
      <c r="C66" s="224" t="s">
        <v>249</v>
      </c>
      <c r="D66" s="224" t="s">
        <v>250</v>
      </c>
      <c r="E66" s="224"/>
      <c r="F66" s="225">
        <f>SUM(F67:F68)</f>
        <v>193200000</v>
      </c>
      <c r="G66" s="225">
        <f>SUM(G67:G68)</f>
        <v>0</v>
      </c>
      <c r="H66" s="225">
        <v>0</v>
      </c>
      <c r="I66" s="225">
        <v>0</v>
      </c>
      <c r="J66" s="226">
        <f t="shared" si="0"/>
        <v>193200000</v>
      </c>
      <c r="K66" s="627"/>
    </row>
    <row r="67" spans="1:11" ht="12.75">
      <c r="A67" s="229"/>
      <c r="B67" s="229"/>
      <c r="C67" s="230"/>
      <c r="D67" s="230"/>
      <c r="E67" s="230" t="s">
        <v>682</v>
      </c>
      <c r="F67" s="231">
        <v>193000000</v>
      </c>
      <c r="G67" s="231">
        <v>0</v>
      </c>
      <c r="H67" s="231">
        <v>0</v>
      </c>
      <c r="I67" s="231">
        <v>0</v>
      </c>
      <c r="J67" s="232">
        <f t="shared" si="0"/>
        <v>193000000</v>
      </c>
      <c r="K67" s="628"/>
    </row>
    <row r="68" spans="1:11" ht="12.75">
      <c r="A68" s="229"/>
      <c r="B68" s="229"/>
      <c r="C68" s="230"/>
      <c r="D68" s="230"/>
      <c r="E68" s="230" t="s">
        <v>683</v>
      </c>
      <c r="F68" s="231">
        <v>200000</v>
      </c>
      <c r="G68" s="231">
        <v>0</v>
      </c>
      <c r="H68" s="231">
        <v>0</v>
      </c>
      <c r="I68" s="231">
        <v>0</v>
      </c>
      <c r="J68" s="232">
        <f t="shared" si="0"/>
        <v>200000</v>
      </c>
      <c r="K68" s="628"/>
    </row>
    <row r="69" spans="1:11" ht="12.75">
      <c r="A69" s="224"/>
      <c r="B69" s="224"/>
      <c r="C69" s="224" t="s">
        <v>251</v>
      </c>
      <c r="D69" s="224" t="s">
        <v>599</v>
      </c>
      <c r="E69" s="224"/>
      <c r="F69" s="225">
        <f>SUM(F70)</f>
        <v>0</v>
      </c>
      <c r="G69" s="225">
        <f>SUM(G70)</f>
        <v>0</v>
      </c>
      <c r="H69" s="225">
        <f>SUM(H70)</f>
        <v>0</v>
      </c>
      <c r="I69" s="225">
        <f>SUM(I70)</f>
        <v>0</v>
      </c>
      <c r="J69" s="226">
        <f t="shared" si="0"/>
        <v>0</v>
      </c>
      <c r="K69" s="627"/>
    </row>
    <row r="70" spans="1:11" ht="12.75" hidden="1">
      <c r="A70" s="224"/>
      <c r="B70" s="224"/>
      <c r="C70" s="224"/>
      <c r="D70" s="224"/>
      <c r="E70" s="230" t="s">
        <v>600</v>
      </c>
      <c r="F70" s="225">
        <v>0</v>
      </c>
      <c r="G70" s="225">
        <v>0</v>
      </c>
      <c r="H70" s="225">
        <v>0</v>
      </c>
      <c r="I70" s="225">
        <v>0</v>
      </c>
      <c r="J70" s="226">
        <f t="shared" si="0"/>
        <v>0</v>
      </c>
      <c r="K70" s="627"/>
    </row>
    <row r="71" spans="1:11" ht="12.75">
      <c r="A71" s="224"/>
      <c r="B71" s="224"/>
      <c r="C71" s="224" t="s">
        <v>252</v>
      </c>
      <c r="D71" s="224" t="s">
        <v>253</v>
      </c>
      <c r="E71" s="224"/>
      <c r="F71" s="225">
        <v>0</v>
      </c>
      <c r="G71" s="225">
        <v>0</v>
      </c>
      <c r="H71" s="225">
        <v>0</v>
      </c>
      <c r="I71" s="225">
        <v>0</v>
      </c>
      <c r="J71" s="226">
        <f t="shared" si="0"/>
        <v>0</v>
      </c>
      <c r="K71" s="627"/>
    </row>
    <row r="72" spans="1:11" ht="12.75">
      <c r="A72" s="224"/>
      <c r="B72" s="224"/>
      <c r="C72" s="224" t="s">
        <v>254</v>
      </c>
      <c r="D72" s="224" t="s">
        <v>255</v>
      </c>
      <c r="E72" s="224"/>
      <c r="F72" s="225">
        <f>SUM(F73)</f>
        <v>22000000</v>
      </c>
      <c r="G72" s="225">
        <f>SUM(G73:G73)</f>
        <v>0</v>
      </c>
      <c r="H72" s="225">
        <v>0</v>
      </c>
      <c r="I72" s="225">
        <v>0</v>
      </c>
      <c r="J72" s="226">
        <f t="shared" si="0"/>
        <v>22000000</v>
      </c>
      <c r="K72" s="627"/>
    </row>
    <row r="73" spans="1:11" ht="12.75">
      <c r="A73" s="229"/>
      <c r="B73" s="229"/>
      <c r="C73" s="229"/>
      <c r="D73" s="230"/>
      <c r="E73" s="230" t="s">
        <v>684</v>
      </c>
      <c r="F73" s="231">
        <v>22000000</v>
      </c>
      <c r="G73" s="231">
        <v>0</v>
      </c>
      <c r="H73" s="231">
        <v>0</v>
      </c>
      <c r="I73" s="231">
        <v>0</v>
      </c>
      <c r="J73" s="232">
        <f t="shared" si="0"/>
        <v>22000000</v>
      </c>
      <c r="K73" s="628"/>
    </row>
    <row r="74" spans="1:11" ht="12.75">
      <c r="A74" s="224"/>
      <c r="B74" s="224"/>
      <c r="C74" s="224" t="s">
        <v>256</v>
      </c>
      <c r="D74" s="224" t="s">
        <v>257</v>
      </c>
      <c r="E74" s="224"/>
      <c r="F74" s="225">
        <f>SUM(F75:F75)</f>
        <v>0</v>
      </c>
      <c r="G74" s="225">
        <v>0</v>
      </c>
      <c r="H74" s="225">
        <v>0</v>
      </c>
      <c r="I74" s="225">
        <v>0</v>
      </c>
      <c r="J74" s="226">
        <f aca="true" t="shared" si="1" ref="J74:J137">SUM(F74:I74)</f>
        <v>0</v>
      </c>
      <c r="K74" s="627"/>
    </row>
    <row r="75" spans="1:11" ht="12.75" hidden="1">
      <c r="A75" s="229"/>
      <c r="B75" s="229"/>
      <c r="C75" s="229"/>
      <c r="D75" s="230"/>
      <c r="E75" s="230" t="s">
        <v>259</v>
      </c>
      <c r="F75" s="231">
        <v>0</v>
      </c>
      <c r="G75" s="231">
        <v>0</v>
      </c>
      <c r="H75" s="231">
        <v>0</v>
      </c>
      <c r="I75" s="231">
        <v>0</v>
      </c>
      <c r="J75" s="232">
        <f t="shared" si="1"/>
        <v>0</v>
      </c>
      <c r="K75" s="628"/>
    </row>
    <row r="76" spans="1:11" ht="12.75">
      <c r="A76" s="221"/>
      <c r="B76" s="221" t="s">
        <v>260</v>
      </c>
      <c r="C76" s="982" t="s">
        <v>261</v>
      </c>
      <c r="D76" s="982"/>
      <c r="E76" s="982"/>
      <c r="F76" s="222">
        <f>SUM(F77:F86)</f>
        <v>600000</v>
      </c>
      <c r="G76" s="222">
        <f>SUM(G77:G86)</f>
        <v>0</v>
      </c>
      <c r="H76" s="222">
        <f>SUM(H77:H86)</f>
        <v>0</v>
      </c>
      <c r="I76" s="222">
        <f>SUM(I77:I86)</f>
        <v>0</v>
      </c>
      <c r="J76" s="223">
        <f t="shared" si="1"/>
        <v>600000</v>
      </c>
      <c r="K76" s="626"/>
    </row>
    <row r="77" spans="1:11" ht="12.75" hidden="1">
      <c r="A77" s="235"/>
      <c r="B77" s="235"/>
      <c r="C77" s="235"/>
      <c r="D77" s="230"/>
      <c r="E77" s="230" t="s">
        <v>262</v>
      </c>
      <c r="F77" s="231">
        <v>0</v>
      </c>
      <c r="G77" s="231">
        <v>0</v>
      </c>
      <c r="H77" s="231">
        <v>0</v>
      </c>
      <c r="I77" s="231">
        <v>0</v>
      </c>
      <c r="J77" s="232">
        <f t="shared" si="1"/>
        <v>0</v>
      </c>
      <c r="K77" s="628"/>
    </row>
    <row r="78" spans="1:11" ht="12.75" hidden="1">
      <c r="A78" s="229"/>
      <c r="B78" s="229"/>
      <c r="C78" s="229"/>
      <c r="D78" s="230"/>
      <c r="E78" s="230" t="s">
        <v>263</v>
      </c>
      <c r="F78" s="231">
        <v>0</v>
      </c>
      <c r="G78" s="231"/>
      <c r="H78" s="231">
        <v>0</v>
      </c>
      <c r="I78" s="231">
        <v>0</v>
      </c>
      <c r="J78" s="232">
        <f t="shared" si="1"/>
        <v>0</v>
      </c>
      <c r="K78" s="628"/>
    </row>
    <row r="79" spans="1:11" ht="12.75" hidden="1">
      <c r="A79" s="235"/>
      <c r="B79" s="235"/>
      <c r="C79" s="235"/>
      <c r="D79" s="230"/>
      <c r="E79" s="230" t="s">
        <v>264</v>
      </c>
      <c r="F79" s="231">
        <v>0</v>
      </c>
      <c r="G79" s="231">
        <v>0</v>
      </c>
      <c r="H79" s="231">
        <v>0</v>
      </c>
      <c r="I79" s="231">
        <v>0</v>
      </c>
      <c r="J79" s="232">
        <f t="shared" si="1"/>
        <v>0</v>
      </c>
      <c r="K79" s="628"/>
    </row>
    <row r="80" spans="1:11" ht="12.75" customHeight="1">
      <c r="A80" s="235"/>
      <c r="B80" s="235"/>
      <c r="C80" s="235"/>
      <c r="D80" s="230"/>
      <c r="E80" s="230" t="s">
        <v>258</v>
      </c>
      <c r="F80" s="231">
        <v>350000</v>
      </c>
      <c r="G80" s="231">
        <v>0</v>
      </c>
      <c r="H80" s="231">
        <v>0</v>
      </c>
      <c r="I80" s="231">
        <v>0</v>
      </c>
      <c r="J80" s="232">
        <f t="shared" si="1"/>
        <v>350000</v>
      </c>
      <c r="K80" s="628"/>
    </row>
    <row r="81" spans="1:11" ht="0.75" customHeight="1" hidden="1">
      <c r="A81" s="235"/>
      <c r="B81" s="235"/>
      <c r="C81" s="235"/>
      <c r="D81" s="230"/>
      <c r="E81" s="230" t="s">
        <v>265</v>
      </c>
      <c r="F81" s="231"/>
      <c r="G81" s="231">
        <v>0</v>
      </c>
      <c r="H81" s="231">
        <v>0</v>
      </c>
      <c r="I81" s="231">
        <v>0</v>
      </c>
      <c r="J81" s="232">
        <f t="shared" si="1"/>
        <v>0</v>
      </c>
      <c r="K81" s="628"/>
    </row>
    <row r="82" spans="1:11" ht="12.75" hidden="1">
      <c r="A82" s="235"/>
      <c r="B82" s="235"/>
      <c r="C82" s="235"/>
      <c r="D82" s="230"/>
      <c r="E82" s="230" t="s">
        <v>266</v>
      </c>
      <c r="F82" s="231"/>
      <c r="G82" s="231">
        <v>0</v>
      </c>
      <c r="H82" s="231">
        <v>0</v>
      </c>
      <c r="I82" s="231">
        <v>0</v>
      </c>
      <c r="J82" s="232">
        <f t="shared" si="1"/>
        <v>0</v>
      </c>
      <c r="K82" s="628"/>
    </row>
    <row r="83" spans="1:11" ht="12.75" hidden="1">
      <c r="A83" s="235"/>
      <c r="B83" s="235"/>
      <c r="C83" s="235"/>
      <c r="D83" s="230"/>
      <c r="E83" s="230" t="s">
        <v>647</v>
      </c>
      <c r="F83" s="231"/>
      <c r="G83" s="231">
        <v>0</v>
      </c>
      <c r="H83" s="231">
        <v>0</v>
      </c>
      <c r="I83" s="231">
        <v>0</v>
      </c>
      <c r="J83" s="232">
        <f t="shared" si="1"/>
        <v>0</v>
      </c>
      <c r="K83" s="628"/>
    </row>
    <row r="84" spans="1:11" ht="30" customHeight="1" hidden="1">
      <c r="A84" s="229"/>
      <c r="B84" s="229"/>
      <c r="C84" s="229"/>
      <c r="D84" s="229"/>
      <c r="E84" s="236" t="s">
        <v>685</v>
      </c>
      <c r="F84" s="231"/>
      <c r="G84" s="231">
        <v>0</v>
      </c>
      <c r="H84" s="231">
        <v>0</v>
      </c>
      <c r="I84" s="231">
        <v>0</v>
      </c>
      <c r="J84" s="232">
        <f t="shared" si="1"/>
        <v>0</v>
      </c>
      <c r="K84" s="628"/>
    </row>
    <row r="85" spans="1:11" ht="12.75" hidden="1">
      <c r="A85" s="235"/>
      <c r="B85" s="235"/>
      <c r="C85" s="235"/>
      <c r="D85" s="235"/>
      <c r="E85" s="230" t="s">
        <v>267</v>
      </c>
      <c r="F85" s="231"/>
      <c r="G85" s="231">
        <v>0</v>
      </c>
      <c r="H85" s="231">
        <v>0</v>
      </c>
      <c r="I85" s="231">
        <v>0</v>
      </c>
      <c r="J85" s="232">
        <f t="shared" si="1"/>
        <v>0</v>
      </c>
      <c r="K85" s="628"/>
    </row>
    <row r="86" spans="1:11" ht="12.75">
      <c r="A86" s="229"/>
      <c r="B86" s="229"/>
      <c r="C86" s="229"/>
      <c r="D86" s="229"/>
      <c r="E86" s="234" t="s">
        <v>268</v>
      </c>
      <c r="F86" s="231">
        <v>250000</v>
      </c>
      <c r="G86" s="231">
        <v>0</v>
      </c>
      <c r="H86" s="231">
        <v>0</v>
      </c>
      <c r="I86" s="231">
        <v>0</v>
      </c>
      <c r="J86" s="232">
        <f t="shared" si="1"/>
        <v>250000</v>
      </c>
      <c r="K86" s="628"/>
    </row>
    <row r="87" spans="1:11" s="220" customFormat="1" ht="12.75">
      <c r="A87" s="218" t="s">
        <v>269</v>
      </c>
      <c r="B87" s="986" t="s">
        <v>270</v>
      </c>
      <c r="C87" s="986"/>
      <c r="D87" s="986"/>
      <c r="E87" s="986"/>
      <c r="F87" s="219">
        <f>SUM(F88+F89+F92+F94+F101+F102+F103+F104+F111+F119+F120)</f>
        <v>46463514</v>
      </c>
      <c r="G87" s="219">
        <f>SUM(G88+G89+G92+G94+G101+G102+G103+G104+G111+G119+G120)</f>
        <v>7049209</v>
      </c>
      <c r="H87" s="219">
        <f>SUM(H88+H89+H92+H94+H101+H102+H103+H104+H111+H119+H120)</f>
        <v>1081470</v>
      </c>
      <c r="I87" s="219">
        <f>SUM(I88+I89+I92+I94+I101+I102+I103+I104+I111+I119+I120)</f>
        <v>16780500</v>
      </c>
      <c r="J87" s="219">
        <f t="shared" si="1"/>
        <v>71374693</v>
      </c>
      <c r="K87" s="625"/>
    </row>
    <row r="88" spans="1:11" ht="12.75">
      <c r="A88" s="224"/>
      <c r="B88" s="224"/>
      <c r="C88" s="224" t="s">
        <v>271</v>
      </c>
      <c r="D88" s="224" t="s">
        <v>556</v>
      </c>
      <c r="E88" s="224"/>
      <c r="F88" s="225">
        <f>8000000+2794000+920000</f>
        <v>11714000</v>
      </c>
      <c r="G88" s="225">
        <v>0</v>
      </c>
      <c r="H88" s="225">
        <v>0</v>
      </c>
      <c r="I88" s="225">
        <v>0</v>
      </c>
      <c r="J88" s="226">
        <f t="shared" si="1"/>
        <v>11714000</v>
      </c>
      <c r="K88" s="627"/>
    </row>
    <row r="89" spans="1:11" ht="12.75">
      <c r="A89" s="224"/>
      <c r="B89" s="224"/>
      <c r="C89" s="224" t="s">
        <v>272</v>
      </c>
      <c r="D89" s="224" t="s">
        <v>344</v>
      </c>
      <c r="E89" s="224"/>
      <c r="F89" s="225">
        <f>13971380+540000+3110236</f>
        <v>17621616</v>
      </c>
      <c r="G89" s="225">
        <v>250000</v>
      </c>
      <c r="H89" s="225">
        <v>0</v>
      </c>
      <c r="I89" s="225">
        <f>3596300+1080000+8076772+300000+440000+160000</f>
        <v>13653072</v>
      </c>
      <c r="J89" s="226">
        <f t="shared" si="1"/>
        <v>31524688</v>
      </c>
      <c r="K89" s="627"/>
    </row>
    <row r="90" spans="1:11" ht="12.75">
      <c r="A90" s="229"/>
      <c r="B90" s="229"/>
      <c r="C90" s="230" t="s">
        <v>2</v>
      </c>
      <c r="D90" s="230"/>
      <c r="E90" s="230" t="s">
        <v>273</v>
      </c>
      <c r="F90" s="237">
        <f>9471380+540000</f>
        <v>10011380</v>
      </c>
      <c r="G90" s="237">
        <v>0</v>
      </c>
      <c r="H90" s="231">
        <v>0</v>
      </c>
      <c r="I90" s="231">
        <f>990000+1080000</f>
        <v>2070000</v>
      </c>
      <c r="J90" s="232">
        <f t="shared" si="1"/>
        <v>12081380</v>
      </c>
      <c r="K90" s="628"/>
    </row>
    <row r="91" spans="1:11" ht="12.75" hidden="1">
      <c r="A91" s="229"/>
      <c r="B91" s="229"/>
      <c r="C91" s="230"/>
      <c r="D91" s="230"/>
      <c r="E91" s="230" t="s">
        <v>1019</v>
      </c>
      <c r="F91" s="231">
        <v>0</v>
      </c>
      <c r="G91" s="231">
        <v>0</v>
      </c>
      <c r="H91" s="231">
        <v>0</v>
      </c>
      <c r="I91" s="231">
        <v>0</v>
      </c>
      <c r="J91" s="232">
        <f t="shared" si="1"/>
        <v>0</v>
      </c>
      <c r="K91" s="628"/>
    </row>
    <row r="92" spans="1:11" ht="12.75">
      <c r="A92" s="224"/>
      <c r="B92" s="224"/>
      <c r="C92" s="224" t="s">
        <v>274</v>
      </c>
      <c r="D92" s="224" t="s">
        <v>275</v>
      </c>
      <c r="E92" s="224"/>
      <c r="F92" s="225">
        <v>3613803</v>
      </c>
      <c r="G92" s="225">
        <v>5516975</v>
      </c>
      <c r="H92" s="225">
        <v>0</v>
      </c>
      <c r="I92" s="225"/>
      <c r="J92" s="226">
        <f t="shared" si="1"/>
        <v>9130778</v>
      </c>
      <c r="K92" s="627"/>
    </row>
    <row r="93" spans="1:11" ht="12.75">
      <c r="A93" s="229"/>
      <c r="B93" s="229"/>
      <c r="C93" s="230" t="s">
        <v>2</v>
      </c>
      <c r="D93" s="230"/>
      <c r="E93" s="230" t="s">
        <v>7</v>
      </c>
      <c r="F93" s="231">
        <v>2532447</v>
      </c>
      <c r="G93" s="231">
        <v>1749167</v>
      </c>
      <c r="H93" s="231">
        <v>0</v>
      </c>
      <c r="I93" s="231">
        <v>0</v>
      </c>
      <c r="J93" s="232">
        <f t="shared" si="1"/>
        <v>4281614</v>
      </c>
      <c r="K93" s="628"/>
    </row>
    <row r="94" spans="1:11" ht="12.75">
      <c r="A94" s="224"/>
      <c r="B94" s="224"/>
      <c r="C94" s="224" t="s">
        <v>276</v>
      </c>
      <c r="D94" s="224" t="s">
        <v>277</v>
      </c>
      <c r="E94" s="224"/>
      <c r="F94" s="225">
        <v>721000</v>
      </c>
      <c r="G94" s="225">
        <v>0</v>
      </c>
      <c r="H94" s="225">
        <v>0</v>
      </c>
      <c r="I94" s="225">
        <v>0</v>
      </c>
      <c r="J94" s="226">
        <f t="shared" si="1"/>
        <v>721000</v>
      </c>
      <c r="K94" s="627"/>
    </row>
    <row r="95" spans="1:11" ht="12.75" hidden="1">
      <c r="A95" s="229"/>
      <c r="B95" s="229"/>
      <c r="C95" s="230" t="s">
        <v>2</v>
      </c>
      <c r="D95" s="230"/>
      <c r="E95" s="230" t="s">
        <v>278</v>
      </c>
      <c r="F95" s="231">
        <v>0</v>
      </c>
      <c r="G95" s="231">
        <v>0</v>
      </c>
      <c r="H95" s="231">
        <v>0</v>
      </c>
      <c r="I95" s="231">
        <v>0</v>
      </c>
      <c r="J95" s="232">
        <f t="shared" si="1"/>
        <v>0</v>
      </c>
      <c r="K95" s="628"/>
    </row>
    <row r="96" spans="1:11" ht="12.75" hidden="1">
      <c r="A96" s="229"/>
      <c r="B96" s="229"/>
      <c r="C96" s="230"/>
      <c r="D96" s="230"/>
      <c r="E96" s="230" t="s">
        <v>686</v>
      </c>
      <c r="F96" s="231">
        <v>0</v>
      </c>
      <c r="G96" s="231">
        <v>0</v>
      </c>
      <c r="H96" s="231">
        <v>0</v>
      </c>
      <c r="I96" s="231">
        <v>0</v>
      </c>
      <c r="J96" s="232">
        <f t="shared" si="1"/>
        <v>0</v>
      </c>
      <c r="K96" s="628"/>
    </row>
    <row r="97" spans="1:11" ht="12" customHeight="1">
      <c r="A97" s="229"/>
      <c r="B97" s="229"/>
      <c r="C97" s="230" t="s">
        <v>2</v>
      </c>
      <c r="D97" s="230"/>
      <c r="E97" s="230" t="s">
        <v>687</v>
      </c>
      <c r="F97" s="231">
        <v>721000</v>
      </c>
      <c r="G97" s="231">
        <v>0</v>
      </c>
      <c r="H97" s="231">
        <v>0</v>
      </c>
      <c r="I97" s="231">
        <v>0</v>
      </c>
      <c r="J97" s="232">
        <f t="shared" si="1"/>
        <v>721000</v>
      </c>
      <c r="K97" s="628"/>
    </row>
    <row r="98" spans="1:11" ht="12.75" hidden="1">
      <c r="A98" s="229"/>
      <c r="B98" s="229"/>
      <c r="C98" s="230"/>
      <c r="D98" s="230"/>
      <c r="E98" s="230" t="s">
        <v>688</v>
      </c>
      <c r="F98" s="231">
        <v>0</v>
      </c>
      <c r="G98" s="231">
        <v>0</v>
      </c>
      <c r="H98" s="231">
        <v>0</v>
      </c>
      <c r="I98" s="231">
        <v>0</v>
      </c>
      <c r="J98" s="232">
        <f t="shared" si="1"/>
        <v>0</v>
      </c>
      <c r="K98" s="628"/>
    </row>
    <row r="99" spans="1:11" ht="12.75" hidden="1">
      <c r="A99" s="229"/>
      <c r="B99" s="229"/>
      <c r="C99" s="230"/>
      <c r="D99" s="230"/>
      <c r="E99" s="230" t="s">
        <v>689</v>
      </c>
      <c r="F99" s="231">
        <v>0</v>
      </c>
      <c r="G99" s="231">
        <v>0</v>
      </c>
      <c r="H99" s="231">
        <v>0</v>
      </c>
      <c r="I99" s="231">
        <v>0</v>
      </c>
      <c r="J99" s="232">
        <f t="shared" si="1"/>
        <v>0</v>
      </c>
      <c r="K99" s="628"/>
    </row>
    <row r="100" spans="1:11" ht="12.75" hidden="1">
      <c r="A100" s="229"/>
      <c r="B100" s="229"/>
      <c r="C100" s="230"/>
      <c r="D100" s="230"/>
      <c r="E100" s="230" t="s">
        <v>557</v>
      </c>
      <c r="F100" s="231">
        <v>0</v>
      </c>
      <c r="G100" s="231">
        <v>0</v>
      </c>
      <c r="H100" s="231">
        <v>0</v>
      </c>
      <c r="I100" s="231">
        <v>0</v>
      </c>
      <c r="J100" s="232">
        <f t="shared" si="1"/>
        <v>0</v>
      </c>
      <c r="K100" s="628"/>
    </row>
    <row r="101" spans="1:11" ht="12.75">
      <c r="A101" s="224"/>
      <c r="B101" s="224"/>
      <c r="C101" s="224" t="s">
        <v>279</v>
      </c>
      <c r="D101" s="224" t="s">
        <v>280</v>
      </c>
      <c r="E101" s="224"/>
      <c r="F101" s="225">
        <v>5191313</v>
      </c>
      <c r="G101" s="225">
        <v>0</v>
      </c>
      <c r="H101" s="225">
        <v>851551</v>
      </c>
      <c r="I101" s="225">
        <v>0</v>
      </c>
      <c r="J101" s="226">
        <f t="shared" si="1"/>
        <v>6042864</v>
      </c>
      <c r="K101" s="627"/>
    </row>
    <row r="102" spans="1:11" ht="12.75">
      <c r="A102" s="224"/>
      <c r="B102" s="224"/>
      <c r="C102" s="224" t="s">
        <v>281</v>
      </c>
      <c r="D102" s="224" t="s">
        <v>282</v>
      </c>
      <c r="E102" s="224"/>
      <c r="F102" s="225">
        <f>3474439+754380+248400+839764</f>
        <v>5316983</v>
      </c>
      <c r="G102" s="225">
        <v>1282234</v>
      </c>
      <c r="H102" s="225">
        <v>229919</v>
      </c>
      <c r="I102" s="225">
        <f>703700+2180728+81000+118800+43200</f>
        <v>3127428</v>
      </c>
      <c r="J102" s="226">
        <f t="shared" si="1"/>
        <v>9956564</v>
      </c>
      <c r="K102" s="627"/>
    </row>
    <row r="103" spans="1:11" ht="12.75">
      <c r="A103" s="224"/>
      <c r="B103" s="224"/>
      <c r="C103" s="224" t="s">
        <v>283</v>
      </c>
      <c r="D103" s="224" t="s">
        <v>284</v>
      </c>
      <c r="E103" s="224"/>
      <c r="F103" s="225">
        <f>30000+664721+78901+516434+128723+109120</f>
        <v>1527899</v>
      </c>
      <c r="G103" s="225">
        <v>0</v>
      </c>
      <c r="H103" s="225">
        <v>0</v>
      </c>
      <c r="I103" s="225">
        <v>0</v>
      </c>
      <c r="J103" s="226">
        <f t="shared" si="1"/>
        <v>1527899</v>
      </c>
      <c r="K103" s="627"/>
    </row>
    <row r="104" spans="1:11" ht="12" customHeight="1">
      <c r="A104" s="224"/>
      <c r="B104" s="224"/>
      <c r="C104" s="224" t="s">
        <v>285</v>
      </c>
      <c r="D104" s="224" t="s">
        <v>601</v>
      </c>
      <c r="E104" s="224"/>
      <c r="F104" s="225">
        <f>SUM(F105,F108)</f>
        <v>500</v>
      </c>
      <c r="G104" s="225">
        <f>SUM(G105+G108)</f>
        <v>0</v>
      </c>
      <c r="H104" s="225">
        <f>SUM(H105+H108)</f>
        <v>0</v>
      </c>
      <c r="I104" s="225">
        <f>SUM(I105+I108)</f>
        <v>0</v>
      </c>
      <c r="J104" s="226">
        <f t="shared" si="1"/>
        <v>500</v>
      </c>
      <c r="K104" s="627"/>
    </row>
    <row r="105" spans="1:11" ht="12.75" hidden="1">
      <c r="A105" s="224"/>
      <c r="B105" s="224"/>
      <c r="C105" s="230"/>
      <c r="D105" s="987" t="s">
        <v>690</v>
      </c>
      <c r="E105" s="988"/>
      <c r="F105" s="231">
        <v>0</v>
      </c>
      <c r="G105" s="231">
        <v>0</v>
      </c>
      <c r="H105" s="231">
        <v>0</v>
      </c>
      <c r="I105" s="231">
        <v>0</v>
      </c>
      <c r="J105" s="232">
        <f t="shared" si="1"/>
        <v>0</v>
      </c>
      <c r="K105" s="628"/>
    </row>
    <row r="106" spans="1:11" ht="12.75" hidden="1">
      <c r="A106" s="224"/>
      <c r="B106" s="224"/>
      <c r="C106" s="224" t="s">
        <v>2</v>
      </c>
      <c r="D106" s="224"/>
      <c r="E106" s="230" t="s">
        <v>7</v>
      </c>
      <c r="F106" s="231">
        <v>0</v>
      </c>
      <c r="G106" s="231">
        <v>0</v>
      </c>
      <c r="H106" s="231">
        <v>0</v>
      </c>
      <c r="I106" s="231">
        <v>0</v>
      </c>
      <c r="J106" s="232">
        <f t="shared" si="1"/>
        <v>0</v>
      </c>
      <c r="K106" s="628"/>
    </row>
    <row r="107" spans="1:11" ht="12.75" hidden="1">
      <c r="A107" s="224"/>
      <c r="B107" s="224"/>
      <c r="C107" s="224"/>
      <c r="D107" s="224"/>
      <c r="E107" s="230" t="s">
        <v>691</v>
      </c>
      <c r="F107" s="231">
        <v>0</v>
      </c>
      <c r="G107" s="231">
        <v>0</v>
      </c>
      <c r="H107" s="231">
        <v>0</v>
      </c>
      <c r="I107" s="231">
        <v>0</v>
      </c>
      <c r="J107" s="232">
        <f t="shared" si="1"/>
        <v>0</v>
      </c>
      <c r="K107" s="628"/>
    </row>
    <row r="108" spans="1:11" ht="12.75">
      <c r="A108" s="224"/>
      <c r="B108" s="224"/>
      <c r="C108" s="224" t="s">
        <v>2</v>
      </c>
      <c r="D108" s="987" t="s">
        <v>603</v>
      </c>
      <c r="E108" s="988"/>
      <c r="F108" s="231">
        <v>500</v>
      </c>
      <c r="G108" s="231">
        <v>0</v>
      </c>
      <c r="H108" s="231">
        <v>0</v>
      </c>
      <c r="I108" s="231">
        <v>0</v>
      </c>
      <c r="J108" s="232">
        <f t="shared" si="1"/>
        <v>500</v>
      </c>
      <c r="K108" s="628"/>
    </row>
    <row r="109" spans="1:11" ht="12.75" hidden="1">
      <c r="A109" s="224"/>
      <c r="B109" s="224"/>
      <c r="C109" s="224"/>
      <c r="D109" s="224"/>
      <c r="E109" s="230" t="s">
        <v>7</v>
      </c>
      <c r="F109" s="231">
        <v>0</v>
      </c>
      <c r="G109" s="231">
        <v>0</v>
      </c>
      <c r="H109" s="231">
        <v>0</v>
      </c>
      <c r="I109" s="231">
        <v>0</v>
      </c>
      <c r="J109" s="232">
        <f t="shared" si="1"/>
        <v>0</v>
      </c>
      <c r="K109" s="628"/>
    </row>
    <row r="110" spans="1:11" ht="12.75" hidden="1">
      <c r="A110" s="224"/>
      <c r="B110" s="224"/>
      <c r="C110" s="224"/>
      <c r="D110" s="224"/>
      <c r="E110" s="230" t="s">
        <v>558</v>
      </c>
      <c r="F110" s="231">
        <v>0</v>
      </c>
      <c r="G110" s="231">
        <v>0</v>
      </c>
      <c r="H110" s="231">
        <v>0</v>
      </c>
      <c r="I110" s="231">
        <v>0</v>
      </c>
      <c r="J110" s="232">
        <f t="shared" si="1"/>
        <v>0</v>
      </c>
      <c r="K110" s="628"/>
    </row>
    <row r="111" spans="1:11" ht="12.75">
      <c r="A111" s="224"/>
      <c r="B111" s="224"/>
      <c r="C111" s="224" t="s">
        <v>286</v>
      </c>
      <c r="D111" s="224" t="s">
        <v>606</v>
      </c>
      <c r="E111" s="224"/>
      <c r="F111" s="225">
        <f>SUM(F112:F113)</f>
        <v>0</v>
      </c>
      <c r="G111" s="225">
        <f>SUM(G112:G113)</f>
        <v>0</v>
      </c>
      <c r="H111" s="225">
        <f>SUM(H112:H113)</f>
        <v>0</v>
      </c>
      <c r="I111" s="225">
        <f>SUM(I112:I113)</f>
        <v>0</v>
      </c>
      <c r="J111" s="226">
        <f t="shared" si="1"/>
        <v>0</v>
      </c>
      <c r="K111" s="627"/>
    </row>
    <row r="112" spans="1:11" ht="12.75" hidden="1">
      <c r="A112" s="224"/>
      <c r="B112" s="224"/>
      <c r="C112" s="224"/>
      <c r="D112" s="987" t="s">
        <v>604</v>
      </c>
      <c r="E112" s="988"/>
      <c r="F112" s="225">
        <v>0</v>
      </c>
      <c r="G112" s="225">
        <v>0</v>
      </c>
      <c r="H112" s="225">
        <v>0</v>
      </c>
      <c r="I112" s="225">
        <v>0</v>
      </c>
      <c r="J112" s="226">
        <f t="shared" si="1"/>
        <v>0</v>
      </c>
      <c r="K112" s="627"/>
    </row>
    <row r="113" spans="1:11" ht="12.75" hidden="1">
      <c r="A113" s="224"/>
      <c r="B113" s="224"/>
      <c r="C113" s="224"/>
      <c r="D113" s="987" t="s">
        <v>605</v>
      </c>
      <c r="E113" s="988"/>
      <c r="F113" s="225">
        <v>0</v>
      </c>
      <c r="G113" s="225">
        <v>0</v>
      </c>
      <c r="H113" s="225">
        <v>0</v>
      </c>
      <c r="I113" s="225">
        <v>0</v>
      </c>
      <c r="J113" s="226">
        <f t="shared" si="1"/>
        <v>0</v>
      </c>
      <c r="K113" s="627"/>
    </row>
    <row r="114" spans="1:11" ht="12.75" hidden="1">
      <c r="A114" s="224"/>
      <c r="B114" s="224"/>
      <c r="C114" s="224" t="s">
        <v>2</v>
      </c>
      <c r="D114" s="224"/>
      <c r="E114" s="230" t="s">
        <v>607</v>
      </c>
      <c r="F114" s="225">
        <v>0</v>
      </c>
      <c r="G114" s="225">
        <v>0</v>
      </c>
      <c r="H114" s="225">
        <v>0</v>
      </c>
      <c r="I114" s="225">
        <v>0</v>
      </c>
      <c r="J114" s="226">
        <f t="shared" si="1"/>
        <v>0</v>
      </c>
      <c r="K114" s="627"/>
    </row>
    <row r="115" spans="1:11" ht="12.75" hidden="1">
      <c r="A115" s="224"/>
      <c r="B115" s="224"/>
      <c r="C115" s="224"/>
      <c r="D115" s="224"/>
      <c r="E115" s="230" t="s">
        <v>602</v>
      </c>
      <c r="F115" s="225">
        <v>0</v>
      </c>
      <c r="G115" s="225">
        <v>0</v>
      </c>
      <c r="H115" s="225">
        <v>0</v>
      </c>
      <c r="I115" s="225">
        <v>0</v>
      </c>
      <c r="J115" s="226">
        <f t="shared" si="1"/>
        <v>0</v>
      </c>
      <c r="K115" s="627"/>
    </row>
    <row r="116" spans="1:11" ht="12.75" hidden="1">
      <c r="A116" s="224"/>
      <c r="B116" s="224"/>
      <c r="C116" s="224"/>
      <c r="D116" s="224"/>
      <c r="E116" s="230" t="s">
        <v>608</v>
      </c>
      <c r="F116" s="225">
        <v>0</v>
      </c>
      <c r="G116" s="225">
        <v>0</v>
      </c>
      <c r="H116" s="225">
        <v>0</v>
      </c>
      <c r="I116" s="225">
        <v>0</v>
      </c>
      <c r="J116" s="226">
        <f t="shared" si="1"/>
        <v>0</v>
      </c>
      <c r="K116" s="627"/>
    </row>
    <row r="117" spans="1:11" ht="12.75" hidden="1">
      <c r="A117" s="224"/>
      <c r="B117" s="224"/>
      <c r="C117" s="224"/>
      <c r="D117" s="224"/>
      <c r="E117" s="230" t="s">
        <v>609</v>
      </c>
      <c r="F117" s="225">
        <v>0</v>
      </c>
      <c r="G117" s="225">
        <v>0</v>
      </c>
      <c r="H117" s="225">
        <v>0</v>
      </c>
      <c r="I117" s="225">
        <v>0</v>
      </c>
      <c r="J117" s="226">
        <f t="shared" si="1"/>
        <v>0</v>
      </c>
      <c r="K117" s="627"/>
    </row>
    <row r="118" spans="1:11" ht="12.75" hidden="1">
      <c r="A118" s="224"/>
      <c r="B118" s="224"/>
      <c r="C118" s="224"/>
      <c r="D118" s="224"/>
      <c r="E118" s="230" t="s">
        <v>610</v>
      </c>
      <c r="F118" s="225">
        <v>0</v>
      </c>
      <c r="G118" s="225">
        <v>0</v>
      </c>
      <c r="H118" s="225">
        <v>0</v>
      </c>
      <c r="I118" s="225">
        <v>0</v>
      </c>
      <c r="J118" s="226">
        <f t="shared" si="1"/>
        <v>0</v>
      </c>
      <c r="K118" s="627"/>
    </row>
    <row r="119" spans="1:11" ht="12.75">
      <c r="A119" s="224"/>
      <c r="B119" s="224"/>
      <c r="C119" s="224" t="s">
        <v>287</v>
      </c>
      <c r="D119" s="224" t="s">
        <v>559</v>
      </c>
      <c r="E119" s="224"/>
      <c r="F119" s="225">
        <v>0</v>
      </c>
      <c r="G119" s="225">
        <v>0</v>
      </c>
      <c r="H119" s="225">
        <v>0</v>
      </c>
      <c r="I119" s="225">
        <v>0</v>
      </c>
      <c r="J119" s="226">
        <f t="shared" si="1"/>
        <v>0</v>
      </c>
      <c r="K119" s="627"/>
    </row>
    <row r="120" spans="1:11" ht="22.5" customHeight="1">
      <c r="A120" s="224"/>
      <c r="B120" s="224"/>
      <c r="C120" s="885" t="s">
        <v>560</v>
      </c>
      <c r="D120" s="990" t="s">
        <v>561</v>
      </c>
      <c r="E120" s="990"/>
      <c r="F120" s="225">
        <f>12081400-233171+10464000-22252229+696400</f>
        <v>756400</v>
      </c>
      <c r="G120" s="225">
        <v>0</v>
      </c>
      <c r="H120" s="225">
        <v>0</v>
      </c>
      <c r="I120" s="225">
        <v>0</v>
      </c>
      <c r="J120" s="226">
        <f t="shared" si="1"/>
        <v>756400</v>
      </c>
      <c r="K120" s="627"/>
    </row>
    <row r="121" spans="1:11" ht="45.75" customHeight="1" hidden="1">
      <c r="A121" s="228"/>
      <c r="B121" s="228"/>
      <c r="C121" s="238" t="s">
        <v>2</v>
      </c>
      <c r="D121" s="236" t="s">
        <v>452</v>
      </c>
      <c r="E121" s="236" t="s">
        <v>583</v>
      </c>
      <c r="F121" s="231">
        <v>0</v>
      </c>
      <c r="G121" s="231">
        <v>0</v>
      </c>
      <c r="H121" s="231">
        <v>0</v>
      </c>
      <c r="I121" s="231">
        <v>0</v>
      </c>
      <c r="J121" s="232">
        <f t="shared" si="1"/>
        <v>0</v>
      </c>
      <c r="K121" s="628"/>
    </row>
    <row r="122" spans="1:11" ht="13.5" customHeight="1" hidden="1">
      <c r="A122" s="229"/>
      <c r="B122" s="229"/>
      <c r="C122" s="229"/>
      <c r="D122" s="230" t="s">
        <v>452</v>
      </c>
      <c r="E122" s="239" t="s">
        <v>611</v>
      </c>
      <c r="F122" s="231"/>
      <c r="G122" s="231">
        <v>0</v>
      </c>
      <c r="H122" s="231">
        <v>0</v>
      </c>
      <c r="I122" s="231">
        <v>0</v>
      </c>
      <c r="J122" s="232">
        <f t="shared" si="1"/>
        <v>0</v>
      </c>
      <c r="K122" s="628"/>
    </row>
    <row r="123" spans="1:11" s="220" customFormat="1" ht="12.75">
      <c r="A123" s="218" t="s">
        <v>288</v>
      </c>
      <c r="B123" s="986" t="s">
        <v>289</v>
      </c>
      <c r="C123" s="986"/>
      <c r="D123" s="986"/>
      <c r="E123" s="986"/>
      <c r="F123" s="219">
        <f>SUM(F124+F126+F128+F129+F130)</f>
        <v>67331023</v>
      </c>
      <c r="G123" s="219">
        <f>SUM(G124+G126+G128+G129+G130)</f>
        <v>0</v>
      </c>
      <c r="H123" s="219">
        <f>SUM(H124+H126+H128+H129+H130)</f>
        <v>0</v>
      </c>
      <c r="I123" s="219">
        <f>SUM(I124+I126+I128+I129+I130)</f>
        <v>0</v>
      </c>
      <c r="J123" s="219">
        <f t="shared" si="1"/>
        <v>67331023</v>
      </c>
      <c r="K123" s="625"/>
    </row>
    <row r="124" spans="1:11" ht="12.75">
      <c r="A124" s="221"/>
      <c r="B124" s="221" t="s">
        <v>290</v>
      </c>
      <c r="C124" s="982" t="s">
        <v>345</v>
      </c>
      <c r="D124" s="982"/>
      <c r="E124" s="982"/>
      <c r="F124" s="222">
        <v>0</v>
      </c>
      <c r="G124" s="222">
        <v>0</v>
      </c>
      <c r="H124" s="222">
        <v>0</v>
      </c>
      <c r="I124" s="222">
        <v>0</v>
      </c>
      <c r="J124" s="223">
        <f t="shared" si="1"/>
        <v>0</v>
      </c>
      <c r="K124" s="626"/>
    </row>
    <row r="125" spans="1:11" ht="12.75" hidden="1">
      <c r="A125" s="229"/>
      <c r="B125" s="229"/>
      <c r="C125" s="230" t="s">
        <v>2</v>
      </c>
      <c r="D125" s="230" t="s">
        <v>452</v>
      </c>
      <c r="E125" s="230" t="s">
        <v>663</v>
      </c>
      <c r="F125" s="231">
        <v>0</v>
      </c>
      <c r="G125" s="231">
        <v>0</v>
      </c>
      <c r="H125" s="231">
        <v>0</v>
      </c>
      <c r="I125" s="231">
        <v>0</v>
      </c>
      <c r="J125" s="232">
        <f t="shared" si="1"/>
        <v>0</v>
      </c>
      <c r="K125" s="628"/>
    </row>
    <row r="126" spans="1:11" ht="12.75">
      <c r="A126" s="221"/>
      <c r="B126" s="221" t="s">
        <v>291</v>
      </c>
      <c r="C126" s="982" t="s">
        <v>292</v>
      </c>
      <c r="D126" s="982"/>
      <c r="E126" s="982"/>
      <c r="F126" s="222">
        <f>118591616+254000-540000-34818+1000000+233171+45000+27436735-68144196+140105-900000+88787+200000-8458000-2581377</f>
        <v>67331023</v>
      </c>
      <c r="G126" s="222">
        <v>0</v>
      </c>
      <c r="H126" s="222">
        <v>0</v>
      </c>
      <c r="I126" s="222">
        <v>0</v>
      </c>
      <c r="J126" s="223">
        <f t="shared" si="1"/>
        <v>67331023</v>
      </c>
      <c r="K126" s="626"/>
    </row>
    <row r="127" spans="1:11" ht="12.75" hidden="1">
      <c r="A127" s="229"/>
      <c r="B127" s="229"/>
      <c r="C127" s="230" t="s">
        <v>2</v>
      </c>
      <c r="D127" s="230" t="s">
        <v>452</v>
      </c>
      <c r="E127" s="230" t="s">
        <v>293</v>
      </c>
      <c r="F127" s="231">
        <v>0</v>
      </c>
      <c r="G127" s="231">
        <v>0</v>
      </c>
      <c r="H127" s="231">
        <v>0</v>
      </c>
      <c r="I127" s="231">
        <v>0</v>
      </c>
      <c r="J127" s="232">
        <f t="shared" si="1"/>
        <v>0</v>
      </c>
      <c r="K127" s="628"/>
    </row>
    <row r="128" spans="1:11" ht="12.75" hidden="1">
      <c r="A128" s="221"/>
      <c r="B128" s="221" t="s">
        <v>294</v>
      </c>
      <c r="C128" s="982" t="s">
        <v>295</v>
      </c>
      <c r="D128" s="982"/>
      <c r="E128" s="982"/>
      <c r="F128" s="222">
        <v>0</v>
      </c>
      <c r="G128" s="222">
        <v>0</v>
      </c>
      <c r="H128" s="222">
        <v>0</v>
      </c>
      <c r="I128" s="222">
        <v>0</v>
      </c>
      <c r="J128" s="223">
        <f t="shared" si="1"/>
        <v>0</v>
      </c>
      <c r="K128" s="626"/>
    </row>
    <row r="129" spans="1:11" ht="12.75" hidden="1">
      <c r="A129" s="221"/>
      <c r="B129" s="221" t="s">
        <v>296</v>
      </c>
      <c r="C129" s="982" t="s">
        <v>297</v>
      </c>
      <c r="D129" s="982"/>
      <c r="E129" s="982"/>
      <c r="F129" s="222">
        <v>0</v>
      </c>
      <c r="G129" s="222">
        <v>0</v>
      </c>
      <c r="H129" s="222">
        <v>0</v>
      </c>
      <c r="I129" s="222">
        <v>0</v>
      </c>
      <c r="J129" s="223">
        <f t="shared" si="1"/>
        <v>0</v>
      </c>
      <c r="K129" s="626"/>
    </row>
    <row r="130" spans="1:11" ht="12.75" hidden="1">
      <c r="A130" s="221"/>
      <c r="B130" s="221" t="s">
        <v>298</v>
      </c>
      <c r="C130" s="982" t="s">
        <v>299</v>
      </c>
      <c r="D130" s="982"/>
      <c r="E130" s="982"/>
      <c r="F130" s="222">
        <v>0</v>
      </c>
      <c r="G130" s="222">
        <v>0</v>
      </c>
      <c r="H130" s="222">
        <v>0</v>
      </c>
      <c r="I130" s="222">
        <v>0</v>
      </c>
      <c r="J130" s="223">
        <f t="shared" si="1"/>
        <v>0</v>
      </c>
      <c r="K130" s="626"/>
    </row>
    <row r="131" spans="1:11" s="220" customFormat="1" ht="12.75">
      <c r="A131" s="218" t="s">
        <v>300</v>
      </c>
      <c r="B131" s="986" t="s">
        <v>301</v>
      </c>
      <c r="C131" s="986"/>
      <c r="D131" s="986"/>
      <c r="E131" s="986"/>
      <c r="F131" s="219">
        <f>SUM(F132+F133+F134+F135+F145)</f>
        <v>6019800</v>
      </c>
      <c r="G131" s="219">
        <f>SUM(G132+G133+G134+G135+G145)</f>
        <v>0</v>
      </c>
      <c r="H131" s="219">
        <f>SUM(H132+H133+H134+H135+H145)</f>
        <v>0</v>
      </c>
      <c r="I131" s="219">
        <f>SUM(I132+I133+I134+I135+I145)</f>
        <v>0</v>
      </c>
      <c r="J131" s="219">
        <f t="shared" si="1"/>
        <v>6019800</v>
      </c>
      <c r="K131" s="625"/>
    </row>
    <row r="132" spans="1:11" ht="12.75" hidden="1">
      <c r="A132" s="221"/>
      <c r="B132" s="221" t="s">
        <v>302</v>
      </c>
      <c r="C132" s="982" t="s">
        <v>692</v>
      </c>
      <c r="D132" s="982"/>
      <c r="E132" s="982"/>
      <c r="F132" s="222">
        <v>0</v>
      </c>
      <c r="G132" s="222">
        <v>0</v>
      </c>
      <c r="H132" s="222">
        <v>0</v>
      </c>
      <c r="I132" s="222">
        <v>0</v>
      </c>
      <c r="J132" s="223">
        <f t="shared" si="1"/>
        <v>0</v>
      </c>
      <c r="K132" s="626"/>
    </row>
    <row r="133" spans="1:11" ht="12.75" hidden="1">
      <c r="A133" s="221"/>
      <c r="B133" s="221" t="s">
        <v>303</v>
      </c>
      <c r="C133" s="982" t="s">
        <v>693</v>
      </c>
      <c r="D133" s="982"/>
      <c r="E133" s="982"/>
      <c r="F133" s="222">
        <v>0</v>
      </c>
      <c r="G133" s="222">
        <v>0</v>
      </c>
      <c r="H133" s="222">
        <v>0</v>
      </c>
      <c r="I133" s="222">
        <v>0</v>
      </c>
      <c r="J133" s="223">
        <f t="shared" si="1"/>
        <v>0</v>
      </c>
      <c r="K133" s="626"/>
    </row>
    <row r="134" spans="1:11" ht="26.25" customHeight="1" hidden="1">
      <c r="A134" s="221"/>
      <c r="B134" s="221" t="s">
        <v>305</v>
      </c>
      <c r="C134" s="989" t="s">
        <v>694</v>
      </c>
      <c r="D134" s="989"/>
      <c r="E134" s="989"/>
      <c r="F134" s="222">
        <v>0</v>
      </c>
      <c r="G134" s="222">
        <v>0</v>
      </c>
      <c r="H134" s="222">
        <v>0</v>
      </c>
      <c r="I134" s="222">
        <v>0</v>
      </c>
      <c r="J134" s="223">
        <f t="shared" si="1"/>
        <v>0</v>
      </c>
      <c r="K134" s="626"/>
    </row>
    <row r="135" spans="1:11" ht="12.75" hidden="1">
      <c r="A135" s="221"/>
      <c r="B135" s="221" t="s">
        <v>562</v>
      </c>
      <c r="C135" s="982" t="s">
        <v>695</v>
      </c>
      <c r="D135" s="982"/>
      <c r="E135" s="982"/>
      <c r="F135" s="222">
        <f>SUM(F136:F144)</f>
        <v>0</v>
      </c>
      <c r="G135" s="222">
        <v>0</v>
      </c>
      <c r="H135" s="222">
        <v>0</v>
      </c>
      <c r="I135" s="222">
        <v>0</v>
      </c>
      <c r="J135" s="223">
        <f t="shared" si="1"/>
        <v>0</v>
      </c>
      <c r="K135" s="626"/>
    </row>
    <row r="136" spans="1:11" ht="12.75" hidden="1">
      <c r="A136" s="228"/>
      <c r="B136" s="228"/>
      <c r="C136" s="230" t="s">
        <v>2</v>
      </c>
      <c r="D136" s="230" t="s">
        <v>150</v>
      </c>
      <c r="E136" s="230" t="s">
        <v>177</v>
      </c>
      <c r="F136" s="231">
        <v>0</v>
      </c>
      <c r="G136" s="231">
        <v>0</v>
      </c>
      <c r="H136" s="231">
        <v>0</v>
      </c>
      <c r="I136" s="231">
        <v>0</v>
      </c>
      <c r="J136" s="232">
        <f t="shared" si="1"/>
        <v>0</v>
      </c>
      <c r="K136" s="628"/>
    </row>
    <row r="137" spans="1:11" ht="12.75" hidden="1">
      <c r="A137" s="228"/>
      <c r="B137" s="228"/>
      <c r="C137" s="230"/>
      <c r="D137" s="230" t="s">
        <v>152</v>
      </c>
      <c r="E137" s="230" t="s">
        <v>584</v>
      </c>
      <c r="F137" s="231">
        <v>0</v>
      </c>
      <c r="G137" s="231">
        <v>0</v>
      </c>
      <c r="H137" s="231">
        <v>0</v>
      </c>
      <c r="I137" s="231">
        <v>0</v>
      </c>
      <c r="J137" s="232">
        <f t="shared" si="1"/>
        <v>0</v>
      </c>
      <c r="K137" s="628"/>
    </row>
    <row r="138" spans="1:11" ht="12.75" hidden="1">
      <c r="A138" s="228"/>
      <c r="B138" s="228"/>
      <c r="C138" s="230"/>
      <c r="D138" s="230" t="s">
        <v>154</v>
      </c>
      <c r="E138" s="230" t="s">
        <v>178</v>
      </c>
      <c r="F138" s="231">
        <v>0</v>
      </c>
      <c r="G138" s="231">
        <v>0</v>
      </c>
      <c r="H138" s="231">
        <v>0</v>
      </c>
      <c r="I138" s="231">
        <v>0</v>
      </c>
      <c r="J138" s="232">
        <f aca="true" t="shared" si="2" ref="J138:J201">SUM(F138:I138)</f>
        <v>0</v>
      </c>
      <c r="K138" s="628"/>
    </row>
    <row r="139" spans="1:11" ht="12.75" hidden="1">
      <c r="A139" s="228"/>
      <c r="B139" s="228"/>
      <c r="C139" s="230"/>
      <c r="D139" s="230" t="s">
        <v>156</v>
      </c>
      <c r="E139" s="230" t="s">
        <v>179</v>
      </c>
      <c r="F139" s="231">
        <v>0</v>
      </c>
      <c r="G139" s="231">
        <v>0</v>
      </c>
      <c r="H139" s="231">
        <v>0</v>
      </c>
      <c r="I139" s="231">
        <v>0</v>
      </c>
      <c r="J139" s="232">
        <f t="shared" si="2"/>
        <v>0</v>
      </c>
      <c r="K139" s="628"/>
    </row>
    <row r="140" spans="1:11" ht="12.75" hidden="1">
      <c r="A140" s="228"/>
      <c r="B140" s="228"/>
      <c r="C140" s="230"/>
      <c r="D140" s="230" t="s">
        <v>158</v>
      </c>
      <c r="E140" s="230" t="s">
        <v>180</v>
      </c>
      <c r="F140" s="231">
        <v>0</v>
      </c>
      <c r="G140" s="231">
        <v>0</v>
      </c>
      <c r="H140" s="231">
        <v>0</v>
      </c>
      <c r="I140" s="231">
        <v>0</v>
      </c>
      <c r="J140" s="232">
        <f t="shared" si="2"/>
        <v>0</v>
      </c>
      <c r="K140" s="628"/>
    </row>
    <row r="141" spans="1:11" ht="12.75" hidden="1">
      <c r="A141" s="228"/>
      <c r="B141" s="228"/>
      <c r="C141" s="230"/>
      <c r="D141" s="230" t="s">
        <v>160</v>
      </c>
      <c r="E141" s="230" t="s">
        <v>546</v>
      </c>
      <c r="F141" s="231">
        <v>0</v>
      </c>
      <c r="G141" s="231">
        <v>0</v>
      </c>
      <c r="H141" s="231">
        <v>0</v>
      </c>
      <c r="I141" s="231">
        <v>0</v>
      </c>
      <c r="J141" s="232">
        <f t="shared" si="2"/>
        <v>0</v>
      </c>
      <c r="K141" s="628"/>
    </row>
    <row r="142" spans="1:11" ht="12.75" hidden="1">
      <c r="A142" s="228"/>
      <c r="B142" s="228"/>
      <c r="C142" s="230"/>
      <c r="D142" s="230" t="s">
        <v>162</v>
      </c>
      <c r="E142" s="230" t="s">
        <v>545</v>
      </c>
      <c r="F142" s="240">
        <v>0</v>
      </c>
      <c r="G142" s="231">
        <v>0</v>
      </c>
      <c r="H142" s="231">
        <v>0</v>
      </c>
      <c r="I142" s="231">
        <v>0</v>
      </c>
      <c r="J142" s="232">
        <f t="shared" si="2"/>
        <v>0</v>
      </c>
      <c r="K142" s="628"/>
    </row>
    <row r="143" spans="1:11" ht="12.75" hidden="1">
      <c r="A143" s="228"/>
      <c r="B143" s="228"/>
      <c r="C143" s="230"/>
      <c r="D143" s="230" t="s">
        <v>164</v>
      </c>
      <c r="E143" s="230" t="s">
        <v>183</v>
      </c>
      <c r="F143" s="231"/>
      <c r="G143" s="231">
        <v>0</v>
      </c>
      <c r="H143" s="231">
        <v>0</v>
      </c>
      <c r="I143" s="231">
        <v>0</v>
      </c>
      <c r="J143" s="232">
        <f t="shared" si="2"/>
        <v>0</v>
      </c>
      <c r="K143" s="628"/>
    </row>
    <row r="144" spans="1:11" ht="12.75" hidden="1">
      <c r="A144" s="228"/>
      <c r="B144" s="228"/>
      <c r="C144" s="230"/>
      <c r="D144" s="230" t="s">
        <v>166</v>
      </c>
      <c r="E144" s="230" t="s">
        <v>585</v>
      </c>
      <c r="F144" s="231">
        <v>0</v>
      </c>
      <c r="G144" s="231">
        <v>0</v>
      </c>
      <c r="H144" s="231">
        <v>0</v>
      </c>
      <c r="I144" s="231">
        <v>0</v>
      </c>
      <c r="J144" s="232">
        <f t="shared" si="2"/>
        <v>0</v>
      </c>
      <c r="K144" s="628"/>
    </row>
    <row r="145" spans="1:11" ht="12.75">
      <c r="A145" s="221"/>
      <c r="B145" s="221" t="s">
        <v>563</v>
      </c>
      <c r="C145" s="982" t="s">
        <v>664</v>
      </c>
      <c r="D145" s="982"/>
      <c r="E145" s="982"/>
      <c r="F145" s="222">
        <f>SUM(F146)</f>
        <v>6019800</v>
      </c>
      <c r="G145" s="222">
        <v>0</v>
      </c>
      <c r="H145" s="222">
        <v>0</v>
      </c>
      <c r="I145" s="222">
        <v>0</v>
      </c>
      <c r="J145" s="223">
        <f t="shared" si="2"/>
        <v>6019800</v>
      </c>
      <c r="K145" s="626"/>
    </row>
    <row r="146" spans="1:11" ht="12.75">
      <c r="A146" s="221"/>
      <c r="B146" s="221"/>
      <c r="C146" s="230" t="s">
        <v>2</v>
      </c>
      <c r="D146" s="619"/>
      <c r="E146" s="230" t="s">
        <v>178</v>
      </c>
      <c r="F146" s="231">
        <v>6019800</v>
      </c>
      <c r="G146" s="231">
        <v>0</v>
      </c>
      <c r="H146" s="231">
        <v>0</v>
      </c>
      <c r="I146" s="231">
        <v>0</v>
      </c>
      <c r="J146" s="232">
        <f>SUM(F146:I146)</f>
        <v>6019800</v>
      </c>
      <c r="K146" s="626"/>
    </row>
    <row r="147" spans="1:11" s="220" customFormat="1" ht="12.75">
      <c r="A147" s="218" t="s">
        <v>306</v>
      </c>
      <c r="B147" s="986" t="s">
        <v>307</v>
      </c>
      <c r="C147" s="986"/>
      <c r="D147" s="986"/>
      <c r="E147" s="986"/>
      <c r="F147" s="219">
        <f>SUM(F148+F149+F150+F151+F161)</f>
        <v>0</v>
      </c>
      <c r="G147" s="219">
        <f>SUM(G148+G149+G150+G151+G161)</f>
        <v>0</v>
      </c>
      <c r="H147" s="219">
        <f>SUM(H148+H149+H150+H151+H161)</f>
        <v>0</v>
      </c>
      <c r="I147" s="219">
        <f>SUM(I148+I149+I150+I151+I161)</f>
        <v>0</v>
      </c>
      <c r="J147" s="219">
        <f t="shared" si="2"/>
        <v>0</v>
      </c>
      <c r="K147" s="625"/>
    </row>
    <row r="148" spans="1:11" ht="12.75" hidden="1">
      <c r="A148" s="221"/>
      <c r="B148" s="221" t="s">
        <v>308</v>
      </c>
      <c r="C148" s="982" t="s">
        <v>696</v>
      </c>
      <c r="D148" s="982"/>
      <c r="E148" s="982"/>
      <c r="F148" s="222">
        <v>0</v>
      </c>
      <c r="G148" s="222">
        <v>0</v>
      </c>
      <c r="H148" s="222">
        <v>0</v>
      </c>
      <c r="I148" s="222">
        <v>0</v>
      </c>
      <c r="J148" s="223">
        <f t="shared" si="2"/>
        <v>0</v>
      </c>
      <c r="K148" s="626"/>
    </row>
    <row r="149" spans="1:11" ht="12.75" hidden="1">
      <c r="A149" s="221"/>
      <c r="B149" s="221" t="s">
        <v>309</v>
      </c>
      <c r="C149" s="982" t="s">
        <v>697</v>
      </c>
      <c r="D149" s="982"/>
      <c r="E149" s="982"/>
      <c r="F149" s="222">
        <v>0</v>
      </c>
      <c r="G149" s="222">
        <v>0</v>
      </c>
      <c r="H149" s="222">
        <v>0</v>
      </c>
      <c r="I149" s="222">
        <v>0</v>
      </c>
      <c r="J149" s="223">
        <f t="shared" si="2"/>
        <v>0</v>
      </c>
      <c r="K149" s="626"/>
    </row>
    <row r="150" spans="1:11" ht="25.5" customHeight="1" hidden="1">
      <c r="A150" s="221"/>
      <c r="B150" s="221" t="s">
        <v>310</v>
      </c>
      <c r="C150" s="989" t="s">
        <v>698</v>
      </c>
      <c r="D150" s="989"/>
      <c r="E150" s="989"/>
      <c r="F150" s="222">
        <v>0</v>
      </c>
      <c r="G150" s="222">
        <v>0</v>
      </c>
      <c r="H150" s="222">
        <v>0</v>
      </c>
      <c r="I150" s="222">
        <v>0</v>
      </c>
      <c r="J150" s="223">
        <f t="shared" si="2"/>
        <v>0</v>
      </c>
      <c r="K150" s="626"/>
    </row>
    <row r="151" spans="1:11" ht="12.75" hidden="1">
      <c r="A151" s="228"/>
      <c r="B151" s="221" t="s">
        <v>564</v>
      </c>
      <c r="C151" s="982" t="s">
        <v>699</v>
      </c>
      <c r="D151" s="982"/>
      <c r="E151" s="982"/>
      <c r="F151" s="222">
        <f>SUM(F152:F160)</f>
        <v>0</v>
      </c>
      <c r="G151" s="222">
        <f>SUM(G152:G160)</f>
        <v>0</v>
      </c>
      <c r="H151" s="222">
        <f>SUM(H152:H160)</f>
        <v>0</v>
      </c>
      <c r="I151" s="222">
        <f>SUM(I152:I160)</f>
        <v>0</v>
      </c>
      <c r="J151" s="223">
        <f t="shared" si="2"/>
        <v>0</v>
      </c>
      <c r="K151" s="626"/>
    </row>
    <row r="152" spans="1:11" ht="12.75" hidden="1">
      <c r="A152" s="228"/>
      <c r="B152" s="228"/>
      <c r="C152" s="230" t="s">
        <v>2</v>
      </c>
      <c r="D152" s="230" t="s">
        <v>150</v>
      </c>
      <c r="E152" s="230" t="s">
        <v>177</v>
      </c>
      <c r="F152" s="231">
        <v>0</v>
      </c>
      <c r="G152" s="231">
        <v>0</v>
      </c>
      <c r="H152" s="231">
        <v>0</v>
      </c>
      <c r="I152" s="231">
        <v>0</v>
      </c>
      <c r="J152" s="232">
        <f t="shared" si="2"/>
        <v>0</v>
      </c>
      <c r="K152" s="628"/>
    </row>
    <row r="153" spans="1:11" ht="12.75" hidden="1">
      <c r="A153" s="228"/>
      <c r="B153" s="228"/>
      <c r="C153" s="230"/>
      <c r="D153" s="230" t="s">
        <v>152</v>
      </c>
      <c r="E153" s="230" t="s">
        <v>584</v>
      </c>
      <c r="F153" s="231">
        <v>0</v>
      </c>
      <c r="G153" s="231">
        <v>0</v>
      </c>
      <c r="H153" s="231">
        <v>0</v>
      </c>
      <c r="I153" s="231">
        <v>0</v>
      </c>
      <c r="J153" s="232">
        <f t="shared" si="2"/>
        <v>0</v>
      </c>
      <c r="K153" s="628"/>
    </row>
    <row r="154" spans="1:11" ht="12.75" hidden="1">
      <c r="A154" s="228"/>
      <c r="B154" s="228"/>
      <c r="C154" s="230"/>
      <c r="D154" s="230" t="s">
        <v>154</v>
      </c>
      <c r="E154" s="230" t="s">
        <v>178</v>
      </c>
      <c r="F154" s="231">
        <v>0</v>
      </c>
      <c r="G154" s="231">
        <v>0</v>
      </c>
      <c r="H154" s="231">
        <v>0</v>
      </c>
      <c r="I154" s="231">
        <v>0</v>
      </c>
      <c r="J154" s="232">
        <f t="shared" si="2"/>
        <v>0</v>
      </c>
      <c r="K154" s="628"/>
    </row>
    <row r="155" spans="1:11" ht="12.75" hidden="1">
      <c r="A155" s="228"/>
      <c r="B155" s="228"/>
      <c r="C155" s="230"/>
      <c r="D155" s="230" t="s">
        <v>156</v>
      </c>
      <c r="E155" s="230" t="s">
        <v>179</v>
      </c>
      <c r="F155" s="231">
        <v>0</v>
      </c>
      <c r="G155" s="231">
        <v>0</v>
      </c>
      <c r="H155" s="231">
        <v>0</v>
      </c>
      <c r="I155" s="231">
        <v>0</v>
      </c>
      <c r="J155" s="232">
        <f t="shared" si="2"/>
        <v>0</v>
      </c>
      <c r="K155" s="628"/>
    </row>
    <row r="156" spans="1:11" ht="12.75" hidden="1">
      <c r="A156" s="228"/>
      <c r="B156" s="228"/>
      <c r="C156" s="230"/>
      <c r="D156" s="230" t="s">
        <v>158</v>
      </c>
      <c r="E156" s="230" t="s">
        <v>180</v>
      </c>
      <c r="F156" s="231">
        <v>0</v>
      </c>
      <c r="G156" s="231">
        <v>0</v>
      </c>
      <c r="H156" s="231">
        <v>0</v>
      </c>
      <c r="I156" s="231">
        <v>0</v>
      </c>
      <c r="J156" s="232">
        <f t="shared" si="2"/>
        <v>0</v>
      </c>
      <c r="K156" s="628"/>
    </row>
    <row r="157" spans="1:11" ht="12.75" hidden="1">
      <c r="A157" s="228"/>
      <c r="B157" s="228"/>
      <c r="C157" s="230"/>
      <c r="D157" s="230" t="s">
        <v>160</v>
      </c>
      <c r="E157" s="230" t="s">
        <v>546</v>
      </c>
      <c r="F157" s="231">
        <v>0</v>
      </c>
      <c r="G157" s="231">
        <v>0</v>
      </c>
      <c r="H157" s="231">
        <v>0</v>
      </c>
      <c r="I157" s="231">
        <v>0</v>
      </c>
      <c r="J157" s="232">
        <f t="shared" si="2"/>
        <v>0</v>
      </c>
      <c r="K157" s="628"/>
    </row>
    <row r="158" spans="1:11" ht="12.75" hidden="1">
      <c r="A158" s="228"/>
      <c r="B158" s="228"/>
      <c r="C158" s="230"/>
      <c r="D158" s="230" t="s">
        <v>162</v>
      </c>
      <c r="E158" s="230" t="s">
        <v>545</v>
      </c>
      <c r="F158" s="240">
        <v>0</v>
      </c>
      <c r="G158" s="231">
        <v>0</v>
      </c>
      <c r="H158" s="231">
        <v>0</v>
      </c>
      <c r="I158" s="231">
        <v>0</v>
      </c>
      <c r="J158" s="232">
        <f t="shared" si="2"/>
        <v>0</v>
      </c>
      <c r="K158" s="628"/>
    </row>
    <row r="159" spans="1:11" ht="12.75" hidden="1">
      <c r="A159" s="228"/>
      <c r="B159" s="228"/>
      <c r="C159" s="230"/>
      <c r="D159" s="230" t="s">
        <v>164</v>
      </c>
      <c r="E159" s="230" t="s">
        <v>183</v>
      </c>
      <c r="F159" s="231">
        <v>0</v>
      </c>
      <c r="G159" s="231">
        <v>0</v>
      </c>
      <c r="H159" s="231">
        <v>0</v>
      </c>
      <c r="I159" s="231">
        <v>0</v>
      </c>
      <c r="J159" s="232">
        <f t="shared" si="2"/>
        <v>0</v>
      </c>
      <c r="K159" s="628"/>
    </row>
    <row r="160" spans="1:11" ht="12.75" hidden="1">
      <c r="A160" s="228"/>
      <c r="B160" s="228"/>
      <c r="C160" s="230"/>
      <c r="D160" s="230" t="s">
        <v>166</v>
      </c>
      <c r="E160" s="230" t="s">
        <v>585</v>
      </c>
      <c r="F160" s="231">
        <v>0</v>
      </c>
      <c r="G160" s="231">
        <v>0</v>
      </c>
      <c r="H160" s="231">
        <v>0</v>
      </c>
      <c r="I160" s="231">
        <v>0</v>
      </c>
      <c r="J160" s="232">
        <f t="shared" si="2"/>
        <v>0</v>
      </c>
      <c r="K160" s="628"/>
    </row>
    <row r="161" spans="1:11" ht="12.75" hidden="1">
      <c r="A161" s="228"/>
      <c r="B161" s="221" t="s">
        <v>565</v>
      </c>
      <c r="C161" s="982" t="s">
        <v>648</v>
      </c>
      <c r="D161" s="982"/>
      <c r="E161" s="982"/>
      <c r="F161" s="222">
        <f>SUM(F162:F172)</f>
        <v>0</v>
      </c>
      <c r="G161" s="222">
        <f>SUM(G162:G172)</f>
        <v>0</v>
      </c>
      <c r="H161" s="222">
        <f>SUM(H162:H172)</f>
        <v>0</v>
      </c>
      <c r="I161" s="222">
        <f>SUM(I162:I172)</f>
        <v>0</v>
      </c>
      <c r="J161" s="223">
        <f t="shared" si="2"/>
        <v>0</v>
      </c>
      <c r="K161" s="626"/>
    </row>
    <row r="162" spans="1:11" ht="12" customHeight="1" hidden="1">
      <c r="A162" s="228"/>
      <c r="B162" s="228"/>
      <c r="C162" s="230" t="s">
        <v>2</v>
      </c>
      <c r="D162" s="230" t="s">
        <v>150</v>
      </c>
      <c r="E162" s="230" t="s">
        <v>177</v>
      </c>
      <c r="F162" s="231"/>
      <c r="G162" s="231">
        <v>0</v>
      </c>
      <c r="H162" s="231">
        <v>0</v>
      </c>
      <c r="I162" s="231">
        <v>0</v>
      </c>
      <c r="J162" s="232">
        <f t="shared" si="2"/>
        <v>0</v>
      </c>
      <c r="K162" s="628"/>
    </row>
    <row r="163" spans="1:11" ht="12.75" hidden="1">
      <c r="A163" s="228"/>
      <c r="B163" s="228"/>
      <c r="C163" s="230"/>
      <c r="D163" s="230" t="s">
        <v>152</v>
      </c>
      <c r="E163" s="230" t="s">
        <v>584</v>
      </c>
      <c r="F163" s="231">
        <v>0</v>
      </c>
      <c r="G163" s="231">
        <v>0</v>
      </c>
      <c r="H163" s="231">
        <v>0</v>
      </c>
      <c r="I163" s="231">
        <v>0</v>
      </c>
      <c r="J163" s="232">
        <f t="shared" si="2"/>
        <v>0</v>
      </c>
      <c r="K163" s="628"/>
    </row>
    <row r="164" spans="1:11" ht="12.75" hidden="1">
      <c r="A164" s="228"/>
      <c r="B164" s="228"/>
      <c r="C164" s="230"/>
      <c r="D164" s="230" t="s">
        <v>154</v>
      </c>
      <c r="E164" s="230" t="s">
        <v>178</v>
      </c>
      <c r="F164" s="231">
        <v>0</v>
      </c>
      <c r="G164" s="231">
        <v>0</v>
      </c>
      <c r="H164" s="231">
        <v>0</v>
      </c>
      <c r="I164" s="231">
        <v>0</v>
      </c>
      <c r="J164" s="232">
        <f t="shared" si="2"/>
        <v>0</v>
      </c>
      <c r="K164" s="628"/>
    </row>
    <row r="165" spans="1:11" ht="12.75" hidden="1">
      <c r="A165" s="228"/>
      <c r="B165" s="228"/>
      <c r="C165" s="230"/>
      <c r="D165" s="230" t="s">
        <v>156</v>
      </c>
      <c r="E165" s="230" t="s">
        <v>179</v>
      </c>
      <c r="F165" s="231">
        <v>0</v>
      </c>
      <c r="G165" s="231">
        <v>0</v>
      </c>
      <c r="H165" s="231">
        <v>0</v>
      </c>
      <c r="I165" s="231">
        <v>0</v>
      </c>
      <c r="J165" s="232">
        <f t="shared" si="2"/>
        <v>0</v>
      </c>
      <c r="K165" s="628"/>
    </row>
    <row r="166" spans="1:11" ht="12.75" hidden="1">
      <c r="A166" s="228"/>
      <c r="B166" s="228"/>
      <c r="C166" s="230"/>
      <c r="D166" s="230" t="s">
        <v>158</v>
      </c>
      <c r="E166" s="230" t="s">
        <v>180</v>
      </c>
      <c r="F166" s="231">
        <v>0</v>
      </c>
      <c r="G166" s="231">
        <v>0</v>
      </c>
      <c r="H166" s="231">
        <v>0</v>
      </c>
      <c r="I166" s="231">
        <v>0</v>
      </c>
      <c r="J166" s="232">
        <f t="shared" si="2"/>
        <v>0</v>
      </c>
      <c r="K166" s="628"/>
    </row>
    <row r="167" spans="1:11" ht="12.75" hidden="1">
      <c r="A167" s="228"/>
      <c r="B167" s="228"/>
      <c r="C167" s="230"/>
      <c r="D167" s="230" t="s">
        <v>160</v>
      </c>
      <c r="E167" s="230" t="s">
        <v>546</v>
      </c>
      <c r="F167" s="231">
        <v>0</v>
      </c>
      <c r="G167" s="231">
        <v>0</v>
      </c>
      <c r="H167" s="231">
        <v>0</v>
      </c>
      <c r="I167" s="231">
        <v>0</v>
      </c>
      <c r="J167" s="232">
        <f t="shared" si="2"/>
        <v>0</v>
      </c>
      <c r="K167" s="628"/>
    </row>
    <row r="168" spans="1:11" ht="12.75" hidden="1">
      <c r="A168" s="228"/>
      <c r="B168" s="228"/>
      <c r="C168" s="230"/>
      <c r="D168" s="230" t="s">
        <v>162</v>
      </c>
      <c r="E168" s="230" t="s">
        <v>545</v>
      </c>
      <c r="F168" s="240">
        <v>0</v>
      </c>
      <c r="G168" s="231">
        <v>0</v>
      </c>
      <c r="H168" s="231">
        <v>0</v>
      </c>
      <c r="I168" s="231">
        <v>0</v>
      </c>
      <c r="J168" s="232">
        <f t="shared" si="2"/>
        <v>0</v>
      </c>
      <c r="K168" s="628"/>
    </row>
    <row r="169" spans="1:11" ht="12.75" hidden="1">
      <c r="A169" s="228"/>
      <c r="B169" s="228"/>
      <c r="C169" s="230"/>
      <c r="D169" s="230" t="s">
        <v>164</v>
      </c>
      <c r="E169" s="230" t="s">
        <v>183</v>
      </c>
      <c r="F169" s="231">
        <v>0</v>
      </c>
      <c r="G169" s="231">
        <v>0</v>
      </c>
      <c r="H169" s="231">
        <v>0</v>
      </c>
      <c r="I169" s="231">
        <v>0</v>
      </c>
      <c r="J169" s="232">
        <f t="shared" si="2"/>
        <v>0</v>
      </c>
      <c r="K169" s="628"/>
    </row>
    <row r="170" spans="1:11" ht="12.75" hidden="1">
      <c r="A170" s="228"/>
      <c r="B170" s="228"/>
      <c r="C170" s="230"/>
      <c r="D170" s="230" t="s">
        <v>166</v>
      </c>
      <c r="E170" s="230" t="s">
        <v>184</v>
      </c>
      <c r="F170" s="231">
        <v>0</v>
      </c>
      <c r="G170" s="231">
        <v>0</v>
      </c>
      <c r="H170" s="231">
        <v>0</v>
      </c>
      <c r="I170" s="231">
        <v>0</v>
      </c>
      <c r="J170" s="232">
        <f t="shared" si="2"/>
        <v>0</v>
      </c>
      <c r="K170" s="628"/>
    </row>
    <row r="171" spans="1:11" ht="12.75" hidden="1">
      <c r="A171" s="228"/>
      <c r="B171" s="228"/>
      <c r="C171" s="230"/>
      <c r="D171" s="230" t="s">
        <v>168</v>
      </c>
      <c r="E171" s="230" t="s">
        <v>185</v>
      </c>
      <c r="F171" s="231">
        <v>0</v>
      </c>
      <c r="G171" s="231">
        <v>0</v>
      </c>
      <c r="H171" s="231">
        <v>0</v>
      </c>
      <c r="I171" s="231">
        <v>0</v>
      </c>
      <c r="J171" s="232">
        <f t="shared" si="2"/>
        <v>0</v>
      </c>
      <c r="K171" s="628"/>
    </row>
    <row r="172" spans="1:11" ht="12.75" hidden="1">
      <c r="A172" s="228"/>
      <c r="B172" s="228"/>
      <c r="C172" s="230"/>
      <c r="D172" s="230" t="s">
        <v>586</v>
      </c>
      <c r="E172" s="230" t="s">
        <v>186</v>
      </c>
      <c r="F172" s="231">
        <v>0</v>
      </c>
      <c r="G172" s="231">
        <v>0</v>
      </c>
      <c r="H172" s="231">
        <v>0</v>
      </c>
      <c r="I172" s="231">
        <v>0</v>
      </c>
      <c r="J172" s="232">
        <f t="shared" si="2"/>
        <v>0</v>
      </c>
      <c r="K172" s="628"/>
    </row>
    <row r="173" spans="1:11" s="220" customFormat="1" ht="12.75">
      <c r="A173" s="218" t="s">
        <v>311</v>
      </c>
      <c r="B173" s="986" t="s">
        <v>312</v>
      </c>
      <c r="C173" s="986"/>
      <c r="D173" s="986"/>
      <c r="E173" s="986"/>
      <c r="F173" s="219">
        <f>SUM(F174+F197+F198+F199)</f>
        <v>1429238592</v>
      </c>
      <c r="G173" s="219">
        <f>SUM(G174+G197+G198+G199)</f>
        <v>1537859</v>
      </c>
      <c r="H173" s="219">
        <f>SUM(H174+H197+H198+H199)</f>
        <v>44046233</v>
      </c>
      <c r="I173" s="219">
        <f>SUM(I174+I197+I198+I199)</f>
        <v>622539</v>
      </c>
      <c r="J173" s="219">
        <f t="shared" si="2"/>
        <v>1475445223</v>
      </c>
      <c r="K173" s="625"/>
    </row>
    <row r="174" spans="1:11" ht="12.75">
      <c r="A174" s="228"/>
      <c r="B174" s="221" t="s">
        <v>313</v>
      </c>
      <c r="C174" s="982" t="s">
        <v>314</v>
      </c>
      <c r="D174" s="982"/>
      <c r="E174" s="982"/>
      <c r="F174" s="222">
        <f>SUM(F175+F179+F184+F189+F190+F191+F192+F193+F194)</f>
        <v>1429238592</v>
      </c>
      <c r="G174" s="222">
        <f>SUM(G175+G179+G184+G189+G190+G191+G192+G193+G194)</f>
        <v>1537859</v>
      </c>
      <c r="H174" s="222">
        <f>SUM(H175+H179+H184+H189+H190+H191+H192+H193+H194)</f>
        <v>44046233</v>
      </c>
      <c r="I174" s="222">
        <f>SUM(I175+I179+I184+I189+I190+I191+I192+I193+I194)</f>
        <v>622539</v>
      </c>
      <c r="J174" s="223">
        <f t="shared" si="2"/>
        <v>1475445223</v>
      </c>
      <c r="K174" s="626"/>
    </row>
    <row r="175" spans="1:11" ht="12.75">
      <c r="A175" s="224"/>
      <c r="B175" s="224"/>
      <c r="C175" s="224" t="s">
        <v>315</v>
      </c>
      <c r="D175" s="224" t="s">
        <v>612</v>
      </c>
      <c r="E175" s="224"/>
      <c r="F175" s="225">
        <f>SUM(F176:F178)</f>
        <v>0</v>
      </c>
      <c r="G175" s="225">
        <f>SUM(G176:G178)</f>
        <v>0</v>
      </c>
      <c r="H175" s="225">
        <f>SUM(H176:H178)</f>
        <v>0</v>
      </c>
      <c r="I175" s="225">
        <f>SUM(I176:I178)</f>
        <v>0</v>
      </c>
      <c r="J175" s="226">
        <f t="shared" si="2"/>
        <v>0</v>
      </c>
      <c r="K175" s="627"/>
    </row>
    <row r="176" spans="1:11" ht="12.75" hidden="1">
      <c r="A176" s="241"/>
      <c r="B176" s="241"/>
      <c r="C176" s="241"/>
      <c r="D176" s="241" t="s">
        <v>316</v>
      </c>
      <c r="E176" s="241" t="s">
        <v>700</v>
      </c>
      <c r="F176" s="242">
        <v>0</v>
      </c>
      <c r="G176" s="242">
        <v>0</v>
      </c>
      <c r="H176" s="242">
        <v>0</v>
      </c>
      <c r="I176" s="242">
        <v>0</v>
      </c>
      <c r="J176" s="243">
        <f t="shared" si="2"/>
        <v>0</v>
      </c>
      <c r="K176" s="629"/>
    </row>
    <row r="177" spans="1:11" ht="12.75" hidden="1">
      <c r="A177" s="241"/>
      <c r="B177" s="241"/>
      <c r="C177" s="241"/>
      <c r="D177" s="241" t="s">
        <v>317</v>
      </c>
      <c r="E177" s="241" t="s">
        <v>701</v>
      </c>
      <c r="F177" s="242">
        <v>0</v>
      </c>
      <c r="G177" s="242">
        <v>0</v>
      </c>
      <c r="H177" s="242">
        <v>0</v>
      </c>
      <c r="I177" s="242">
        <v>0</v>
      </c>
      <c r="J177" s="243">
        <f t="shared" si="2"/>
        <v>0</v>
      </c>
      <c r="K177" s="629"/>
    </row>
    <row r="178" spans="1:11" ht="12.75" hidden="1">
      <c r="A178" s="241"/>
      <c r="B178" s="241"/>
      <c r="C178" s="241"/>
      <c r="D178" s="241" t="s">
        <v>318</v>
      </c>
      <c r="E178" s="241" t="s">
        <v>702</v>
      </c>
      <c r="F178" s="242">
        <v>0</v>
      </c>
      <c r="G178" s="242">
        <v>0</v>
      </c>
      <c r="H178" s="242">
        <v>0</v>
      </c>
      <c r="I178" s="242">
        <v>0</v>
      </c>
      <c r="J178" s="243">
        <f t="shared" si="2"/>
        <v>0</v>
      </c>
      <c r="K178" s="629"/>
    </row>
    <row r="179" spans="1:11" ht="12.75">
      <c r="A179" s="224"/>
      <c r="B179" s="224"/>
      <c r="C179" s="224" t="s">
        <v>319</v>
      </c>
      <c r="D179" s="224" t="s">
        <v>320</v>
      </c>
      <c r="E179" s="224"/>
      <c r="F179" s="225">
        <f>SUM(F180:F183)</f>
        <v>0</v>
      </c>
      <c r="G179" s="225">
        <f>SUM(G180:G183)</f>
        <v>0</v>
      </c>
      <c r="H179" s="225">
        <f>SUM(H180:H183)</f>
        <v>0</v>
      </c>
      <c r="I179" s="225">
        <f>SUM(I180:I183)</f>
        <v>0</v>
      </c>
      <c r="J179" s="226">
        <f t="shared" si="2"/>
        <v>0</v>
      </c>
      <c r="K179" s="627"/>
    </row>
    <row r="180" spans="1:11" ht="12.75" hidden="1">
      <c r="A180" s="224"/>
      <c r="B180" s="224"/>
      <c r="C180" s="224"/>
      <c r="D180" s="241" t="s">
        <v>566</v>
      </c>
      <c r="E180" s="241" t="s">
        <v>567</v>
      </c>
      <c r="F180" s="225">
        <v>0</v>
      </c>
      <c r="G180" s="225">
        <v>0</v>
      </c>
      <c r="H180" s="225">
        <v>0</v>
      </c>
      <c r="I180" s="225">
        <v>0</v>
      </c>
      <c r="J180" s="226">
        <f t="shared" si="2"/>
        <v>0</v>
      </c>
      <c r="K180" s="627"/>
    </row>
    <row r="181" spans="1:11" ht="12.75" hidden="1">
      <c r="A181" s="224"/>
      <c r="B181" s="224"/>
      <c r="C181" s="224"/>
      <c r="D181" s="241" t="s">
        <v>568</v>
      </c>
      <c r="E181" s="241" t="s">
        <v>569</v>
      </c>
      <c r="F181" s="225">
        <v>0</v>
      </c>
      <c r="G181" s="225">
        <v>0</v>
      </c>
      <c r="H181" s="225">
        <v>0</v>
      </c>
      <c r="I181" s="225">
        <v>0</v>
      </c>
      <c r="J181" s="226">
        <f t="shared" si="2"/>
        <v>0</v>
      </c>
      <c r="K181" s="627"/>
    </row>
    <row r="182" spans="1:11" ht="12.75" hidden="1">
      <c r="A182" s="224"/>
      <c r="B182" s="224"/>
      <c r="C182" s="224"/>
      <c r="D182" s="241" t="s">
        <v>570</v>
      </c>
      <c r="E182" s="241" t="s">
        <v>571</v>
      </c>
      <c r="F182" s="225">
        <v>0</v>
      </c>
      <c r="G182" s="225">
        <v>0</v>
      </c>
      <c r="H182" s="225">
        <v>0</v>
      </c>
      <c r="I182" s="225">
        <v>0</v>
      </c>
      <c r="J182" s="226">
        <f t="shared" si="2"/>
        <v>0</v>
      </c>
      <c r="K182" s="627"/>
    </row>
    <row r="183" spans="1:11" ht="12.75" hidden="1">
      <c r="A183" s="224"/>
      <c r="B183" s="224"/>
      <c r="C183" s="224"/>
      <c r="D183" s="241" t="s">
        <v>572</v>
      </c>
      <c r="E183" s="241" t="s">
        <v>573</v>
      </c>
      <c r="F183" s="225">
        <v>0</v>
      </c>
      <c r="G183" s="225">
        <v>0</v>
      </c>
      <c r="H183" s="225">
        <v>0</v>
      </c>
      <c r="I183" s="225">
        <v>0</v>
      </c>
      <c r="J183" s="226">
        <f t="shared" si="2"/>
        <v>0</v>
      </c>
      <c r="K183" s="627"/>
    </row>
    <row r="184" spans="1:11" ht="12.75">
      <c r="A184" s="224"/>
      <c r="B184" s="224"/>
      <c r="C184" s="224" t="s">
        <v>321</v>
      </c>
      <c r="D184" s="224" t="s">
        <v>322</v>
      </c>
      <c r="E184" s="224"/>
      <c r="F184" s="225">
        <f>SUM(F185,F188)</f>
        <v>1429238592</v>
      </c>
      <c r="G184" s="225">
        <f>SUM(G185,G188)</f>
        <v>1537859</v>
      </c>
      <c r="H184" s="225">
        <f>SUM(H185,H188)</f>
        <v>44046233</v>
      </c>
      <c r="I184" s="225">
        <f>SUM(I185,I188)</f>
        <v>622539</v>
      </c>
      <c r="J184" s="226">
        <f t="shared" si="2"/>
        <v>1475445223</v>
      </c>
      <c r="K184" s="627"/>
    </row>
    <row r="185" spans="1:11" ht="12.75">
      <c r="A185" s="241"/>
      <c r="B185" s="241"/>
      <c r="C185" s="241"/>
      <c r="D185" s="241" t="s">
        <v>323</v>
      </c>
      <c r="E185" s="241" t="s">
        <v>324</v>
      </c>
      <c r="F185" s="242">
        <f>SUM(F186:F187)</f>
        <v>1426298320</v>
      </c>
      <c r="G185" s="242">
        <f>SUM(G186:G187)</f>
        <v>1537859</v>
      </c>
      <c r="H185" s="242">
        <f>SUM(H186:H187)</f>
        <v>44046233</v>
      </c>
      <c r="I185" s="242">
        <f>SUM(I186:I187)</f>
        <v>622539</v>
      </c>
      <c r="J185" s="243">
        <f t="shared" si="2"/>
        <v>1472504951</v>
      </c>
      <c r="K185" s="629"/>
    </row>
    <row r="186" spans="1:11" s="248" customFormat="1" ht="12.75">
      <c r="A186" s="244"/>
      <c r="B186" s="244"/>
      <c r="C186" s="244"/>
      <c r="D186" s="244"/>
      <c r="E186" s="245" t="s">
        <v>36</v>
      </c>
      <c r="F186" s="246">
        <f>159291075+55+97110256</f>
        <v>256401386</v>
      </c>
      <c r="G186" s="246">
        <v>1537859</v>
      </c>
      <c r="H186" s="246">
        <f>32890088+11156145</f>
        <v>44046233</v>
      </c>
      <c r="I186" s="246">
        <v>622539</v>
      </c>
      <c r="J186" s="247">
        <f t="shared" si="2"/>
        <v>302608017</v>
      </c>
      <c r="K186" s="630"/>
    </row>
    <row r="187" spans="1:11" s="248" customFormat="1" ht="12.75">
      <c r="A187" s="244"/>
      <c r="B187" s="244"/>
      <c r="C187" s="244"/>
      <c r="D187" s="244"/>
      <c r="E187" s="245" t="s">
        <v>37</v>
      </c>
      <c r="F187" s="246">
        <f>1164857629-55+5039360</f>
        <v>1169896934</v>
      </c>
      <c r="G187" s="246">
        <v>0</v>
      </c>
      <c r="H187" s="246">
        <v>0</v>
      </c>
      <c r="I187" s="246">
        <v>0</v>
      </c>
      <c r="J187" s="247">
        <f t="shared" si="2"/>
        <v>1169896934</v>
      </c>
      <c r="K187" s="630"/>
    </row>
    <row r="188" spans="1:11" ht="12.75">
      <c r="A188" s="241"/>
      <c r="B188" s="241"/>
      <c r="C188" s="241"/>
      <c r="D188" s="241" t="s">
        <v>325</v>
      </c>
      <c r="E188" s="241" t="s">
        <v>326</v>
      </c>
      <c r="F188" s="242">
        <v>2940272</v>
      </c>
      <c r="G188" s="242">
        <v>0</v>
      </c>
      <c r="H188" s="242">
        <v>0</v>
      </c>
      <c r="I188" s="242">
        <v>0</v>
      </c>
      <c r="J188" s="243">
        <f t="shared" si="2"/>
        <v>2940272</v>
      </c>
      <c r="K188" s="629"/>
    </row>
    <row r="189" spans="1:11" ht="12.75" hidden="1">
      <c r="A189" s="224"/>
      <c r="B189" s="224"/>
      <c r="C189" s="224" t="s">
        <v>327</v>
      </c>
      <c r="D189" s="224" t="s">
        <v>613</v>
      </c>
      <c r="E189" s="224"/>
      <c r="F189" s="225">
        <v>0</v>
      </c>
      <c r="G189" s="225">
        <v>0</v>
      </c>
      <c r="H189" s="225">
        <v>0</v>
      </c>
      <c r="I189" s="225">
        <v>0</v>
      </c>
      <c r="J189" s="226">
        <f t="shared" si="2"/>
        <v>0</v>
      </c>
      <c r="K189" s="627"/>
    </row>
    <row r="190" spans="1:11" ht="12.75" hidden="1">
      <c r="A190" s="224"/>
      <c r="B190" s="224"/>
      <c r="C190" s="224" t="s">
        <v>328</v>
      </c>
      <c r="D190" s="224" t="s">
        <v>614</v>
      </c>
      <c r="E190" s="224"/>
      <c r="F190" s="225">
        <v>0</v>
      </c>
      <c r="G190" s="225">
        <v>0</v>
      </c>
      <c r="H190" s="225">
        <v>0</v>
      </c>
      <c r="I190" s="225">
        <v>0</v>
      </c>
      <c r="J190" s="226">
        <f t="shared" si="2"/>
        <v>0</v>
      </c>
      <c r="K190" s="627"/>
    </row>
    <row r="191" spans="1:11" ht="12.75" hidden="1">
      <c r="A191" s="224"/>
      <c r="B191" s="224"/>
      <c r="C191" s="224" t="s">
        <v>329</v>
      </c>
      <c r="D191" s="224" t="s">
        <v>330</v>
      </c>
      <c r="E191" s="224"/>
      <c r="F191" s="225">
        <v>0</v>
      </c>
      <c r="G191" s="225">
        <v>0</v>
      </c>
      <c r="H191" s="225">
        <v>0</v>
      </c>
      <c r="I191" s="225">
        <v>0</v>
      </c>
      <c r="J191" s="226">
        <f t="shared" si="2"/>
        <v>0</v>
      </c>
      <c r="K191" s="627"/>
    </row>
    <row r="192" spans="1:11" ht="12.75" hidden="1">
      <c r="A192" s="224"/>
      <c r="B192" s="224"/>
      <c r="C192" s="224" t="s">
        <v>331</v>
      </c>
      <c r="D192" s="224" t="s">
        <v>574</v>
      </c>
      <c r="E192" s="224"/>
      <c r="F192" s="225">
        <v>0</v>
      </c>
      <c r="G192" s="225">
        <v>0</v>
      </c>
      <c r="H192" s="225">
        <v>0</v>
      </c>
      <c r="I192" s="225">
        <v>0</v>
      </c>
      <c r="J192" s="226">
        <f t="shared" si="2"/>
        <v>0</v>
      </c>
      <c r="K192" s="627"/>
    </row>
    <row r="193" spans="1:11" ht="12.75" hidden="1">
      <c r="A193" s="224"/>
      <c r="B193" s="224"/>
      <c r="C193" s="224" t="s">
        <v>332</v>
      </c>
      <c r="D193" s="224" t="s">
        <v>333</v>
      </c>
      <c r="E193" s="224"/>
      <c r="F193" s="225">
        <v>0</v>
      </c>
      <c r="G193" s="225">
        <v>0</v>
      </c>
      <c r="H193" s="225">
        <v>0</v>
      </c>
      <c r="I193" s="225">
        <v>0</v>
      </c>
      <c r="J193" s="226">
        <f t="shared" si="2"/>
        <v>0</v>
      </c>
      <c r="K193" s="627"/>
    </row>
    <row r="194" spans="1:11" ht="12.75" hidden="1">
      <c r="A194" s="224"/>
      <c r="B194" s="224"/>
      <c r="C194" s="224" t="s">
        <v>575</v>
      </c>
      <c r="D194" s="224" t="s">
        <v>576</v>
      </c>
      <c r="E194" s="224"/>
      <c r="F194" s="225">
        <v>0</v>
      </c>
      <c r="G194" s="225">
        <v>0</v>
      </c>
      <c r="H194" s="225">
        <v>0</v>
      </c>
      <c r="I194" s="225">
        <v>0</v>
      </c>
      <c r="J194" s="226">
        <f t="shared" si="2"/>
        <v>0</v>
      </c>
      <c r="K194" s="627"/>
    </row>
    <row r="195" spans="1:11" ht="12.75" hidden="1">
      <c r="A195" s="224"/>
      <c r="B195" s="224"/>
      <c r="C195" s="224"/>
      <c r="D195" s="241" t="s">
        <v>577</v>
      </c>
      <c r="E195" s="241" t="s">
        <v>578</v>
      </c>
      <c r="F195" s="246">
        <v>0</v>
      </c>
      <c r="G195" s="246">
        <v>0</v>
      </c>
      <c r="H195" s="246">
        <v>0</v>
      </c>
      <c r="I195" s="246">
        <v>0</v>
      </c>
      <c r="J195" s="226">
        <f t="shared" si="2"/>
        <v>0</v>
      </c>
      <c r="K195" s="627"/>
    </row>
    <row r="196" spans="1:11" ht="12.75" hidden="1">
      <c r="A196" s="224"/>
      <c r="B196" s="224"/>
      <c r="C196" s="224"/>
      <c r="D196" s="241" t="s">
        <v>579</v>
      </c>
      <c r="E196" s="241" t="s">
        <v>580</v>
      </c>
      <c r="F196" s="246">
        <v>0</v>
      </c>
      <c r="G196" s="246">
        <v>0</v>
      </c>
      <c r="H196" s="246">
        <v>0</v>
      </c>
      <c r="I196" s="246">
        <v>0</v>
      </c>
      <c r="J196" s="226">
        <f t="shared" si="2"/>
        <v>0</v>
      </c>
      <c r="K196" s="627"/>
    </row>
    <row r="197" spans="1:11" ht="12.75">
      <c r="A197" s="228"/>
      <c r="B197" s="221" t="s">
        <v>334</v>
      </c>
      <c r="C197" s="982" t="s">
        <v>335</v>
      </c>
      <c r="D197" s="982"/>
      <c r="E197" s="982"/>
      <c r="F197" s="222">
        <v>0</v>
      </c>
      <c r="G197" s="222">
        <v>0</v>
      </c>
      <c r="H197" s="222">
        <v>0</v>
      </c>
      <c r="I197" s="222">
        <v>0</v>
      </c>
      <c r="J197" s="223">
        <f t="shared" si="2"/>
        <v>0</v>
      </c>
      <c r="K197" s="626"/>
    </row>
    <row r="198" spans="1:11" ht="12.75">
      <c r="A198" s="228"/>
      <c r="B198" s="221" t="s">
        <v>336</v>
      </c>
      <c r="C198" s="982" t="s">
        <v>337</v>
      </c>
      <c r="D198" s="982"/>
      <c r="E198" s="982"/>
      <c r="F198" s="222">
        <v>0</v>
      </c>
      <c r="G198" s="222">
        <v>0</v>
      </c>
      <c r="H198" s="222">
        <v>0</v>
      </c>
      <c r="I198" s="222">
        <v>0</v>
      </c>
      <c r="J198" s="223">
        <f t="shared" si="2"/>
        <v>0</v>
      </c>
      <c r="K198" s="626"/>
    </row>
    <row r="199" spans="1:11" ht="12.75">
      <c r="A199" s="228"/>
      <c r="B199" s="221" t="s">
        <v>581</v>
      </c>
      <c r="C199" s="982" t="s">
        <v>582</v>
      </c>
      <c r="D199" s="982"/>
      <c r="E199" s="982"/>
      <c r="F199" s="222">
        <v>0</v>
      </c>
      <c r="G199" s="222">
        <v>0</v>
      </c>
      <c r="H199" s="222">
        <v>0</v>
      </c>
      <c r="I199" s="222">
        <v>0</v>
      </c>
      <c r="J199" s="223">
        <f t="shared" si="2"/>
        <v>0</v>
      </c>
      <c r="K199" s="626"/>
    </row>
    <row r="200" spans="1:11" ht="12.75">
      <c r="A200" s="228"/>
      <c r="B200" s="228"/>
      <c r="C200" s="228"/>
      <c r="D200" s="228"/>
      <c r="E200" s="228"/>
      <c r="F200" s="249"/>
      <c r="G200" s="250"/>
      <c r="H200" s="250"/>
      <c r="I200" s="250"/>
      <c r="J200" s="249">
        <f t="shared" si="2"/>
        <v>0</v>
      </c>
      <c r="K200" s="631"/>
    </row>
    <row r="201" spans="1:11" s="252" customFormat="1" ht="15.75">
      <c r="A201" s="991" t="s">
        <v>451</v>
      </c>
      <c r="B201" s="991"/>
      <c r="C201" s="991"/>
      <c r="D201" s="991"/>
      <c r="E201" s="991"/>
      <c r="F201" s="251">
        <f>SUM(F173+F147+F131+F123+F87+F58+F40+F7)</f>
        <v>2563722589</v>
      </c>
      <c r="G201" s="251">
        <f>SUM(G173+G147+G131+G123+G87+G58+G40+G7)</f>
        <v>13185969</v>
      </c>
      <c r="H201" s="251">
        <f>SUM(H173+H147+H131+H123+H87+H58+H40+H7)</f>
        <v>46572069</v>
      </c>
      <c r="I201" s="251">
        <f>SUM(I173+I147+I131+I123+I87+I58+I40+I7)</f>
        <v>42665651</v>
      </c>
      <c r="J201" s="251">
        <f t="shared" si="2"/>
        <v>2666146278</v>
      </c>
      <c r="K201" s="632"/>
    </row>
  </sheetData>
  <sheetProtection/>
  <mergeCells count="54">
    <mergeCell ref="C198:E198"/>
    <mergeCell ref="C174:E174"/>
    <mergeCell ref="F1:J1"/>
    <mergeCell ref="B6:E6"/>
    <mergeCell ref="A2:J2"/>
    <mergeCell ref="C129:E129"/>
    <mergeCell ref="C42:E42"/>
    <mergeCell ref="C62:E62"/>
    <mergeCell ref="C65:E65"/>
    <mergeCell ref="C161:E161"/>
    <mergeCell ref="A201:E201"/>
    <mergeCell ref="C132:E132"/>
    <mergeCell ref="C135:E135"/>
    <mergeCell ref="C145:E145"/>
    <mergeCell ref="B147:E147"/>
    <mergeCell ref="C199:E199"/>
    <mergeCell ref="B173:E173"/>
    <mergeCell ref="C150:E150"/>
    <mergeCell ref="C151:E151"/>
    <mergeCell ref="C149:E149"/>
    <mergeCell ref="C148:E148"/>
    <mergeCell ref="C197:E197"/>
    <mergeCell ref="C133:E133"/>
    <mergeCell ref="C134:E134"/>
    <mergeCell ref="C43:E43"/>
    <mergeCell ref="C41:E41"/>
    <mergeCell ref="D120:E120"/>
    <mergeCell ref="B123:E123"/>
    <mergeCell ref="C44:E44"/>
    <mergeCell ref="D113:E113"/>
    <mergeCell ref="B58:E58"/>
    <mergeCell ref="D108:E108"/>
    <mergeCell ref="C61:E61"/>
    <mergeCell ref="D105:E105"/>
    <mergeCell ref="C59:E59"/>
    <mergeCell ref="C76:E76"/>
    <mergeCell ref="B87:E87"/>
    <mergeCell ref="C60:E60"/>
    <mergeCell ref="B131:E131"/>
    <mergeCell ref="C126:E126"/>
    <mergeCell ref="C128:E128"/>
    <mergeCell ref="D112:E112"/>
    <mergeCell ref="C130:E130"/>
    <mergeCell ref="C124:E124"/>
    <mergeCell ref="C16:E16"/>
    <mergeCell ref="C17:E17"/>
    <mergeCell ref="C28:E28"/>
    <mergeCell ref="C45:E45"/>
    <mergeCell ref="A5:E5"/>
    <mergeCell ref="B7:E7"/>
    <mergeCell ref="C8:E8"/>
    <mergeCell ref="C15:E15"/>
    <mergeCell ref="B40:E40"/>
    <mergeCell ref="C29:E29"/>
  </mergeCells>
  <printOptions horizontalCentered="1"/>
  <pageMargins left="0.5118110236220472" right="0.5118110236220472" top="0.8661417322834646" bottom="0.8661417322834646" header="0.31496062992125984" footer="0.31496062992125984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E53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4.125" style="93" bestFit="1" customWidth="1"/>
    <col min="2" max="2" width="2.375" style="51" customWidth="1"/>
    <col min="3" max="3" width="66.625" style="51" customWidth="1"/>
    <col min="4" max="4" width="16.625" style="51" bestFit="1" customWidth="1"/>
  </cols>
  <sheetData>
    <row r="1" spans="1:5" s="51" customFormat="1" ht="15">
      <c r="A1" s="93"/>
      <c r="C1" s="1026" t="s">
        <v>1161</v>
      </c>
      <c r="D1" s="1302"/>
      <c r="E1" s="88"/>
    </row>
    <row r="2" spans="3:4" ht="15">
      <c r="C2" s="2"/>
      <c r="D2" s="88"/>
    </row>
    <row r="3" spans="2:4" ht="14.25">
      <c r="B3" s="1316" t="s">
        <v>382</v>
      </c>
      <c r="C3" s="1316"/>
      <c r="D3" s="1316"/>
    </row>
    <row r="4" spans="2:4" ht="14.25">
      <c r="B4" s="1316" t="s">
        <v>456</v>
      </c>
      <c r="C4" s="1316"/>
      <c r="D4" s="1316"/>
    </row>
    <row r="5" spans="2:4" ht="14.25">
      <c r="B5" s="53"/>
      <c r="C5" s="53"/>
      <c r="D5" s="53"/>
    </row>
    <row r="6" ht="15">
      <c r="D6" s="52"/>
    </row>
    <row r="7" spans="1:4" ht="14.25">
      <c r="A7" s="1317" t="s">
        <v>446</v>
      </c>
      <c r="B7" s="1319" t="s">
        <v>367</v>
      </c>
      <c r="C7" s="1319"/>
      <c r="D7" s="95" t="s">
        <v>380</v>
      </c>
    </row>
    <row r="8" spans="1:4" ht="12.75">
      <c r="A8" s="1318"/>
      <c r="B8" s="1320" t="s">
        <v>440</v>
      </c>
      <c r="C8" s="1321"/>
      <c r="D8" s="94" t="s">
        <v>441</v>
      </c>
    </row>
    <row r="9" spans="1:4" ht="14.25">
      <c r="A9" s="94">
        <v>1</v>
      </c>
      <c r="B9" s="55" t="s">
        <v>393</v>
      </c>
      <c r="C9" s="54"/>
      <c r="D9" s="98"/>
    </row>
    <row r="10" spans="1:4" ht="15">
      <c r="A10" s="94">
        <v>2</v>
      </c>
      <c r="B10" s="91" t="s">
        <v>381</v>
      </c>
      <c r="C10" s="92" t="s">
        <v>439</v>
      </c>
      <c r="D10" s="179">
        <v>1000000</v>
      </c>
    </row>
    <row r="11" spans="1:4" ht="30">
      <c r="A11" s="94">
        <v>3</v>
      </c>
      <c r="B11" s="91" t="s">
        <v>381</v>
      </c>
      <c r="C11" s="92" t="s">
        <v>1063</v>
      </c>
      <c r="D11" s="908">
        <v>-180000</v>
      </c>
    </row>
    <row r="12" spans="1:4" ht="15">
      <c r="A12" s="94">
        <v>4</v>
      </c>
      <c r="B12" s="91" t="s">
        <v>381</v>
      </c>
      <c r="C12" s="92" t="s">
        <v>1064</v>
      </c>
      <c r="D12" s="908">
        <v>-220000</v>
      </c>
    </row>
    <row r="13" spans="1:4" ht="18" customHeight="1">
      <c r="A13" s="94">
        <v>5</v>
      </c>
      <c r="B13" s="91" t="s">
        <v>381</v>
      </c>
      <c r="C13" s="92" t="s">
        <v>1072</v>
      </c>
      <c r="D13" s="908">
        <v>-512000</v>
      </c>
    </row>
    <row r="14" spans="1:4" ht="14.25">
      <c r="A14" s="94">
        <v>6</v>
      </c>
      <c r="B14" s="55" t="s">
        <v>370</v>
      </c>
      <c r="C14" s="55"/>
      <c r="D14" s="180">
        <f>SUM(D10:D13)</f>
        <v>88000</v>
      </c>
    </row>
    <row r="15" spans="1:4" ht="6.75" customHeight="1">
      <c r="A15" s="97"/>
      <c r="B15" s="96"/>
      <c r="C15" s="96"/>
      <c r="D15" s="98"/>
    </row>
    <row r="16" spans="1:4" ht="14.25">
      <c r="A16" s="94">
        <v>7</v>
      </c>
      <c r="B16" s="1315" t="s">
        <v>392</v>
      </c>
      <c r="C16" s="1315"/>
      <c r="D16" s="1315"/>
    </row>
    <row r="17" spans="1:4" ht="15">
      <c r="A17" s="94">
        <v>8</v>
      </c>
      <c r="B17" s="91" t="s">
        <v>381</v>
      </c>
      <c r="C17" s="92" t="s">
        <v>876</v>
      </c>
      <c r="D17" s="179">
        <v>350000</v>
      </c>
    </row>
    <row r="18" spans="1:4" ht="15">
      <c r="A18" s="94">
        <v>9</v>
      </c>
      <c r="B18" s="91" t="s">
        <v>381</v>
      </c>
      <c r="C18" s="92" t="s">
        <v>1055</v>
      </c>
      <c r="D18" s="179">
        <v>926229</v>
      </c>
    </row>
    <row r="19" spans="1:4" ht="15">
      <c r="A19" s="94">
        <v>10</v>
      </c>
      <c r="B19" s="905"/>
      <c r="C19" s="906" t="s">
        <v>1056</v>
      </c>
      <c r="D19" s="907">
        <f>SUM(D17:D18)</f>
        <v>1276229</v>
      </c>
    </row>
    <row r="20" spans="1:4" ht="15">
      <c r="A20" s="94">
        <v>11</v>
      </c>
      <c r="B20" s="91" t="s">
        <v>381</v>
      </c>
      <c r="C20" s="92" t="s">
        <v>1073</v>
      </c>
      <c r="D20" s="179">
        <v>200000</v>
      </c>
    </row>
    <row r="21" spans="1:4" ht="30">
      <c r="A21" s="94">
        <v>12</v>
      </c>
      <c r="B21" s="91" t="s">
        <v>381</v>
      </c>
      <c r="C21" s="92" t="s">
        <v>1074</v>
      </c>
      <c r="D21" s="908">
        <v>-200000</v>
      </c>
    </row>
    <row r="22" spans="1:4" ht="30">
      <c r="A22" s="94">
        <v>13</v>
      </c>
      <c r="B22" s="905"/>
      <c r="C22" s="906" t="s">
        <v>1058</v>
      </c>
      <c r="D22" s="907">
        <f>SUM(D20:D21)</f>
        <v>0</v>
      </c>
    </row>
    <row r="23" spans="1:4" ht="15">
      <c r="A23" s="94">
        <v>14</v>
      </c>
      <c r="B23" s="91" t="s">
        <v>381</v>
      </c>
      <c r="C23" s="92" t="s">
        <v>1065</v>
      </c>
      <c r="D23" s="179">
        <v>2036448</v>
      </c>
    </row>
    <row r="24" spans="1:4" ht="30">
      <c r="A24" s="94">
        <v>15</v>
      </c>
      <c r="B24" s="905"/>
      <c r="C24" s="906" t="s">
        <v>1066</v>
      </c>
      <c r="D24" s="907">
        <f>SUM(D23)</f>
        <v>2036448</v>
      </c>
    </row>
    <row r="25" spans="1:4" ht="15">
      <c r="A25" s="94">
        <v>16</v>
      </c>
      <c r="B25" s="91" t="s">
        <v>381</v>
      </c>
      <c r="C25" s="92" t="s">
        <v>1067</v>
      </c>
      <c r="D25" s="179">
        <v>8004000</v>
      </c>
    </row>
    <row r="26" spans="1:4" ht="15">
      <c r="A26" s="94">
        <v>17</v>
      </c>
      <c r="B26" s="91" t="s">
        <v>381</v>
      </c>
      <c r="C26" s="92" t="s">
        <v>1068</v>
      </c>
      <c r="D26" s="908">
        <v>-8004000</v>
      </c>
    </row>
    <row r="27" spans="1:4" ht="15">
      <c r="A27" s="94">
        <v>18</v>
      </c>
      <c r="B27" s="905"/>
      <c r="C27" s="906" t="s">
        <v>1069</v>
      </c>
      <c r="D27" s="907">
        <f>SUM(D25:D26)</f>
        <v>0</v>
      </c>
    </row>
    <row r="28" spans="1:4" ht="14.25">
      <c r="A28" s="94">
        <v>19</v>
      </c>
      <c r="B28" s="55" t="s">
        <v>1057</v>
      </c>
      <c r="C28" s="55"/>
      <c r="D28" s="180">
        <f>SUM(D19+D22+D24+D27)</f>
        <v>3312677</v>
      </c>
    </row>
    <row r="29" spans="1:4" ht="7.5" customHeight="1">
      <c r="A29" s="97"/>
      <c r="B29" s="96"/>
      <c r="C29" s="96"/>
      <c r="D29" s="98"/>
    </row>
    <row r="30" spans="1:4" ht="14.25">
      <c r="A30" s="94">
        <v>20</v>
      </c>
      <c r="B30" s="55" t="s">
        <v>644</v>
      </c>
      <c r="C30" s="54"/>
      <c r="D30" s="98"/>
    </row>
    <row r="31" spans="1:4" ht="15">
      <c r="A31" s="94">
        <v>21</v>
      </c>
      <c r="B31" s="91" t="s">
        <v>381</v>
      </c>
      <c r="C31" s="92" t="s">
        <v>643</v>
      </c>
      <c r="D31" s="179">
        <v>1000000</v>
      </c>
    </row>
    <row r="32" spans="1:4" ht="30">
      <c r="A32" s="94">
        <v>22</v>
      </c>
      <c r="B32" s="91" t="s">
        <v>381</v>
      </c>
      <c r="C32" s="92" t="s">
        <v>1062</v>
      </c>
      <c r="D32" s="908">
        <v>-1000000</v>
      </c>
    </row>
    <row r="33" spans="1:4" ht="15">
      <c r="A33" s="94">
        <v>23</v>
      </c>
      <c r="B33" s="91" t="s">
        <v>381</v>
      </c>
      <c r="C33" s="92" t="s">
        <v>1115</v>
      </c>
      <c r="D33" s="179">
        <v>1618094</v>
      </c>
    </row>
    <row r="34" spans="1:4" ht="30">
      <c r="A34" s="94">
        <v>24</v>
      </c>
      <c r="B34" s="91" t="s">
        <v>381</v>
      </c>
      <c r="C34" s="92" t="s">
        <v>1152</v>
      </c>
      <c r="D34" s="908">
        <v>-603515</v>
      </c>
    </row>
    <row r="35" spans="1:4" ht="14.25">
      <c r="A35" s="94">
        <v>25</v>
      </c>
      <c r="B35" s="55" t="s">
        <v>370</v>
      </c>
      <c r="C35" s="55"/>
      <c r="D35" s="180">
        <f>SUM(D31:D34)</f>
        <v>1014579</v>
      </c>
    </row>
    <row r="36" spans="1:4" ht="7.5" customHeight="1">
      <c r="A36" s="94"/>
      <c r="B36" s="55"/>
      <c r="C36" s="55"/>
      <c r="D36" s="180"/>
    </row>
    <row r="37" spans="1:4" ht="14.25">
      <c r="A37" s="94">
        <v>26</v>
      </c>
      <c r="B37" s="1315" t="s">
        <v>1020</v>
      </c>
      <c r="C37" s="1315"/>
      <c r="D37" s="1315"/>
    </row>
    <row r="38" spans="1:4" ht="15">
      <c r="A38" s="94">
        <v>27</v>
      </c>
      <c r="B38" s="91" t="s">
        <v>381</v>
      </c>
      <c r="C38" s="92" t="s">
        <v>1059</v>
      </c>
      <c r="D38" s="179">
        <v>102149616</v>
      </c>
    </row>
    <row r="39" spans="1:4" ht="15">
      <c r="A39" s="94">
        <v>28</v>
      </c>
      <c r="B39" s="91" t="s">
        <v>381</v>
      </c>
      <c r="C39" s="92" t="s">
        <v>1060</v>
      </c>
      <c r="D39" s="908">
        <v>-102149616</v>
      </c>
    </row>
    <row r="40" spans="1:4" ht="14.25">
      <c r="A40" s="94">
        <v>29</v>
      </c>
      <c r="B40" s="55" t="s">
        <v>370</v>
      </c>
      <c r="C40" s="55"/>
      <c r="D40" s="180">
        <f>SUM(D38:D39)</f>
        <v>0</v>
      </c>
    </row>
    <row r="41" spans="1:4" ht="8.25" customHeight="1">
      <c r="A41" s="94"/>
      <c r="B41" s="55"/>
      <c r="C41" s="55"/>
      <c r="D41" s="180"/>
    </row>
    <row r="42" spans="1:4" ht="14.25">
      <c r="A42" s="94">
        <v>30</v>
      </c>
      <c r="B42" s="1315" t="s">
        <v>1021</v>
      </c>
      <c r="C42" s="1315"/>
      <c r="D42" s="1315"/>
    </row>
    <row r="43" spans="1:4" ht="15">
      <c r="A43" s="94">
        <v>31</v>
      </c>
      <c r="B43" s="91" t="s">
        <v>381</v>
      </c>
      <c r="C43" s="92" t="s">
        <v>1061</v>
      </c>
      <c r="D43" s="179">
        <v>2940272</v>
      </c>
    </row>
    <row r="44" spans="1:4" ht="15">
      <c r="A44" s="94">
        <v>32</v>
      </c>
      <c r="B44" s="91" t="s">
        <v>381</v>
      </c>
      <c r="C44" s="92" t="s">
        <v>1060</v>
      </c>
      <c r="D44" s="908">
        <v>-2940272</v>
      </c>
    </row>
    <row r="45" spans="1:4" ht="14.25">
      <c r="A45" s="94">
        <v>33</v>
      </c>
      <c r="B45" s="55" t="s">
        <v>370</v>
      </c>
      <c r="C45" s="55"/>
      <c r="D45" s="180">
        <f>SUM(D43:D44)</f>
        <v>0</v>
      </c>
    </row>
    <row r="46" spans="1:4" ht="6" customHeight="1">
      <c r="A46" s="94"/>
      <c r="B46" s="55"/>
      <c r="C46" s="55"/>
      <c r="D46" s="55"/>
    </row>
    <row r="47" spans="1:4" ht="14.25">
      <c r="A47" s="94">
        <v>34</v>
      </c>
      <c r="B47" s="55" t="s">
        <v>395</v>
      </c>
      <c r="C47" s="55"/>
      <c r="D47" s="180">
        <f>SUM(D14,D28,D40,D45,D35)</f>
        <v>4415256</v>
      </c>
    </row>
    <row r="48" spans="1:4" ht="7.5" customHeight="1">
      <c r="A48" s="94"/>
      <c r="B48" s="55"/>
      <c r="C48" s="55"/>
      <c r="D48" s="55"/>
    </row>
    <row r="49" spans="1:4" ht="14.25">
      <c r="A49" s="94">
        <v>35</v>
      </c>
      <c r="B49" s="1315" t="s">
        <v>377</v>
      </c>
      <c r="C49" s="1315"/>
      <c r="D49" s="1315"/>
    </row>
    <row r="50" spans="1:4" ht="6" customHeight="1">
      <c r="A50" s="94"/>
      <c r="B50" s="896"/>
      <c r="C50" s="92"/>
      <c r="D50" s="179"/>
    </row>
    <row r="51" spans="1:4" ht="14.25">
      <c r="A51" s="94">
        <v>36</v>
      </c>
      <c r="B51" s="55" t="s">
        <v>396</v>
      </c>
      <c r="C51" s="55"/>
      <c r="D51" s="180">
        <f>SUM(D50:D50)</f>
        <v>0</v>
      </c>
    </row>
    <row r="52" spans="1:4" ht="14.25">
      <c r="A52" s="97"/>
      <c r="B52" s="96"/>
      <c r="C52" s="96"/>
      <c r="D52" s="98"/>
    </row>
    <row r="53" spans="1:4" ht="14.25">
      <c r="A53" s="94">
        <v>37</v>
      </c>
      <c r="B53" s="55" t="s">
        <v>394</v>
      </c>
      <c r="C53" s="55"/>
      <c r="D53" s="180">
        <f>SUM(D51,D47)</f>
        <v>4415256</v>
      </c>
    </row>
  </sheetData>
  <sheetProtection/>
  <mergeCells count="10">
    <mergeCell ref="B49:D49"/>
    <mergeCell ref="C1:D1"/>
    <mergeCell ref="B3:D3"/>
    <mergeCell ref="B4:D4"/>
    <mergeCell ref="A7:A8"/>
    <mergeCell ref="B7:C7"/>
    <mergeCell ref="B8:C8"/>
    <mergeCell ref="B16:D16"/>
    <mergeCell ref="B37:D37"/>
    <mergeCell ref="B42:D42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54"/>
  <sheetViews>
    <sheetView zoomScalePageLayoutView="0" workbookViewId="0" topLeftCell="A1">
      <selection activeCell="A2" sqref="A2:K2"/>
    </sheetView>
  </sheetViews>
  <sheetFormatPr defaultColWidth="9.00390625" defaultRowHeight="12.75"/>
  <cols>
    <col min="1" max="1" width="5.125" style="36" bestFit="1" customWidth="1"/>
    <col min="2" max="2" width="8.875" style="32" customWidth="1"/>
    <col min="3" max="3" width="72.75390625" style="32" customWidth="1"/>
    <col min="4" max="4" width="9.75390625" style="32" bestFit="1" customWidth="1"/>
    <col min="5" max="5" width="10.375" style="32" bestFit="1" customWidth="1"/>
    <col min="6" max="6" width="16.125" style="32" bestFit="1" customWidth="1"/>
    <col min="7" max="7" width="9.75390625" style="32" bestFit="1" customWidth="1"/>
    <col min="8" max="8" width="11.25390625" style="32" customWidth="1"/>
    <col min="9" max="9" width="9.625" style="32" customWidth="1"/>
    <col min="10" max="10" width="11.25390625" style="32" customWidth="1"/>
    <col min="11" max="12" width="16.125" style="32" bestFit="1" customWidth="1"/>
    <col min="13" max="13" width="9.125" style="32" customWidth="1"/>
    <col min="14" max="14" width="12.375" style="32" bestFit="1" customWidth="1"/>
    <col min="15" max="16384" width="9.125" style="32" customWidth="1"/>
  </cols>
  <sheetData>
    <row r="1" spans="9:13" ht="15" customHeight="1">
      <c r="I1" s="577" t="s">
        <v>1162</v>
      </c>
      <c r="J1" s="178"/>
      <c r="K1" s="178"/>
      <c r="L1" s="576"/>
      <c r="M1" s="178"/>
    </row>
    <row r="2" spans="1:256" ht="15.75">
      <c r="A2" s="1331" t="s">
        <v>846</v>
      </c>
      <c r="B2" s="1331"/>
      <c r="C2" s="1331"/>
      <c r="D2" s="1331"/>
      <c r="E2" s="1331"/>
      <c r="F2" s="1331"/>
      <c r="G2" s="1331"/>
      <c r="H2" s="1331"/>
      <c r="I2" s="1331"/>
      <c r="J2" s="1331"/>
      <c r="K2" s="1331"/>
      <c r="L2" s="21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ht="15.75">
      <c r="A3" s="1332" t="s">
        <v>1084</v>
      </c>
      <c r="B3" s="1332"/>
      <c r="C3" s="1332"/>
      <c r="D3" s="1332"/>
      <c r="E3" s="1332"/>
      <c r="F3" s="1332"/>
      <c r="G3" s="1332"/>
      <c r="H3" s="1332"/>
      <c r="I3" s="1332"/>
      <c r="J3" s="1332"/>
      <c r="K3" s="1332"/>
      <c r="L3" s="23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ht="13.5" thickBot="1"/>
    <row r="5" spans="1:256" ht="28.5" customHeight="1">
      <c r="A5" s="1333" t="s">
        <v>460</v>
      </c>
      <c r="B5" s="1333"/>
      <c r="C5" s="1334"/>
      <c r="D5" s="1335" t="s">
        <v>453</v>
      </c>
      <c r="E5" s="1333"/>
      <c r="F5" s="1336"/>
      <c r="G5" s="1337" t="s">
        <v>592</v>
      </c>
      <c r="H5" s="1338"/>
      <c r="I5" s="1338"/>
      <c r="J5" s="1339"/>
      <c r="K5" s="1340"/>
      <c r="L5" s="1326" t="s">
        <v>372</v>
      </c>
      <c r="M5" s="29"/>
      <c r="N5" s="29" t="s">
        <v>492</v>
      </c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ht="25.5">
      <c r="A6" s="1328" t="s">
        <v>461</v>
      </c>
      <c r="B6" s="1329"/>
      <c r="C6" s="24" t="s">
        <v>462</v>
      </c>
      <c r="D6" s="25" t="s">
        <v>463</v>
      </c>
      <c r="E6" s="27" t="s">
        <v>464</v>
      </c>
      <c r="F6" s="28" t="s">
        <v>491</v>
      </c>
      <c r="G6" s="25" t="s">
        <v>465</v>
      </c>
      <c r="H6" s="26" t="s">
        <v>476</v>
      </c>
      <c r="I6" s="26" t="s">
        <v>466</v>
      </c>
      <c r="J6" s="26" t="s">
        <v>476</v>
      </c>
      <c r="K6" s="28" t="s">
        <v>638</v>
      </c>
      <c r="L6" s="1327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ht="12.75">
      <c r="A7" s="1330" t="s">
        <v>440</v>
      </c>
      <c r="B7" s="1330"/>
      <c r="C7" s="114" t="s">
        <v>441</v>
      </c>
      <c r="D7" s="115" t="s">
        <v>442</v>
      </c>
      <c r="E7" s="116" t="s">
        <v>443</v>
      </c>
      <c r="F7" s="117" t="s">
        <v>444</v>
      </c>
      <c r="G7" s="115" t="s">
        <v>445</v>
      </c>
      <c r="H7" s="118" t="s">
        <v>447</v>
      </c>
      <c r="I7" s="118" t="s">
        <v>448</v>
      </c>
      <c r="J7" s="118" t="s">
        <v>398</v>
      </c>
      <c r="K7" s="117" t="s">
        <v>399</v>
      </c>
      <c r="L7" s="159" t="s">
        <v>400</v>
      </c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  <c r="IT7" s="119"/>
      <c r="IU7" s="119"/>
      <c r="IV7" s="119"/>
    </row>
    <row r="8" spans="1:256" ht="12.75">
      <c r="A8" s="137" t="s">
        <v>479</v>
      </c>
      <c r="B8" s="138"/>
      <c r="C8" s="139" t="s">
        <v>489</v>
      </c>
      <c r="D8" s="140"/>
      <c r="E8" s="141"/>
      <c r="F8" s="142">
        <f>F9+F10+F15+F16+F17+F18</f>
        <v>191481682</v>
      </c>
      <c r="G8" s="140"/>
      <c r="H8" s="143"/>
      <c r="I8" s="143"/>
      <c r="J8" s="141"/>
      <c r="K8" s="142"/>
      <c r="L8" s="160">
        <f aca="true" t="shared" si="0" ref="L8:L14">F8+K8</f>
        <v>191481682</v>
      </c>
      <c r="M8" s="134"/>
      <c r="N8" s="162">
        <f>SUM(N9:N18)</f>
        <v>191481682</v>
      </c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  <c r="IR8" s="135"/>
      <c r="IS8" s="135"/>
      <c r="IT8" s="135"/>
      <c r="IU8" s="135"/>
      <c r="IV8" s="135"/>
    </row>
    <row r="9" spans="1:256" ht="12.75">
      <c r="A9" s="128"/>
      <c r="B9" s="129" t="s">
        <v>531</v>
      </c>
      <c r="C9" s="130" t="s">
        <v>477</v>
      </c>
      <c r="D9" s="579">
        <v>26.16</v>
      </c>
      <c r="E9" s="580">
        <v>4580000</v>
      </c>
      <c r="F9" s="581">
        <f>D9*E9+3401000</f>
        <v>123213800</v>
      </c>
      <c r="G9" s="582"/>
      <c r="H9" s="583"/>
      <c r="I9" s="583"/>
      <c r="J9" s="580"/>
      <c r="K9" s="581"/>
      <c r="L9" s="584">
        <f t="shared" si="0"/>
        <v>123213800</v>
      </c>
      <c r="M9" s="131"/>
      <c r="N9" s="177">
        <f>SUM(L9)</f>
        <v>123213800</v>
      </c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</row>
    <row r="10" spans="1:256" ht="12.75">
      <c r="A10" s="128"/>
      <c r="B10" s="129" t="s">
        <v>532</v>
      </c>
      <c r="C10" s="130" t="s">
        <v>847</v>
      </c>
      <c r="D10" s="582"/>
      <c r="E10" s="580"/>
      <c r="F10" s="581">
        <f>SUM(F11:F14)</f>
        <v>63536320</v>
      </c>
      <c r="G10" s="582"/>
      <c r="H10" s="583"/>
      <c r="I10" s="583"/>
      <c r="J10" s="580"/>
      <c r="K10" s="581"/>
      <c r="L10" s="584">
        <f t="shared" si="0"/>
        <v>63536320</v>
      </c>
      <c r="M10" s="131"/>
      <c r="N10" s="177">
        <f>SUM(L11:L14)</f>
        <v>63536320</v>
      </c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2"/>
      <c r="IT10" s="132"/>
      <c r="IU10" s="132"/>
      <c r="IV10" s="132"/>
    </row>
    <row r="11" spans="1:14" ht="12.75">
      <c r="A11" s="30"/>
      <c r="B11" s="126" t="s">
        <v>533</v>
      </c>
      <c r="C11" s="127" t="s">
        <v>848</v>
      </c>
      <c r="D11" s="585"/>
      <c r="E11" s="586"/>
      <c r="F11" s="587">
        <v>18207950</v>
      </c>
      <c r="G11" s="585"/>
      <c r="H11" s="588"/>
      <c r="I11" s="588"/>
      <c r="J11" s="586"/>
      <c r="K11" s="587"/>
      <c r="L11" s="589">
        <f t="shared" si="0"/>
        <v>18207950</v>
      </c>
      <c r="M11" s="31"/>
      <c r="N11" s="177"/>
    </row>
    <row r="12" spans="1:14" ht="12.75">
      <c r="A12" s="30"/>
      <c r="B12" s="126" t="s">
        <v>534</v>
      </c>
      <c r="C12" s="127" t="s">
        <v>849</v>
      </c>
      <c r="D12" s="585"/>
      <c r="E12" s="586"/>
      <c r="F12" s="587">
        <v>30176000</v>
      </c>
      <c r="G12" s="585"/>
      <c r="H12" s="588"/>
      <c r="I12" s="588"/>
      <c r="J12" s="586"/>
      <c r="K12" s="587"/>
      <c r="L12" s="589">
        <f t="shared" si="0"/>
        <v>30176000</v>
      </c>
      <c r="M12" s="31"/>
      <c r="N12" s="177"/>
    </row>
    <row r="13" spans="1:14" ht="12.75">
      <c r="A13" s="30"/>
      <c r="B13" s="126" t="s">
        <v>535</v>
      </c>
      <c r="C13" s="127" t="s">
        <v>850</v>
      </c>
      <c r="D13" s="585"/>
      <c r="E13" s="586"/>
      <c r="F13" s="587">
        <v>100000</v>
      </c>
      <c r="G13" s="585"/>
      <c r="H13" s="588"/>
      <c r="I13" s="588"/>
      <c r="J13" s="586"/>
      <c r="K13" s="587"/>
      <c r="L13" s="589">
        <f t="shared" si="0"/>
        <v>100000</v>
      </c>
      <c r="M13" s="31"/>
      <c r="N13" s="177"/>
    </row>
    <row r="14" spans="1:14" ht="12.75">
      <c r="A14" s="30"/>
      <c r="B14" s="126" t="s">
        <v>536</v>
      </c>
      <c r="C14" s="127" t="s">
        <v>851</v>
      </c>
      <c r="D14" s="585"/>
      <c r="E14" s="586"/>
      <c r="F14" s="587">
        <v>15052370</v>
      </c>
      <c r="G14" s="585"/>
      <c r="H14" s="588"/>
      <c r="I14" s="588"/>
      <c r="J14" s="586"/>
      <c r="K14" s="587"/>
      <c r="L14" s="589">
        <f t="shared" si="0"/>
        <v>15052370</v>
      </c>
      <c r="M14" s="31"/>
      <c r="N14" s="177"/>
    </row>
    <row r="15" spans="1:256" ht="12.75">
      <c r="A15" s="128"/>
      <c r="B15" s="129" t="s">
        <v>537</v>
      </c>
      <c r="C15" s="133" t="s">
        <v>866</v>
      </c>
      <c r="D15" s="582">
        <v>8684</v>
      </c>
      <c r="E15" s="580">
        <v>2700</v>
      </c>
      <c r="F15" s="581">
        <v>1670980</v>
      </c>
      <c r="G15" s="582"/>
      <c r="H15" s="583"/>
      <c r="I15" s="583"/>
      <c r="J15" s="580"/>
      <c r="K15" s="581"/>
      <c r="L15" s="584">
        <f>F15+K15</f>
        <v>1670980</v>
      </c>
      <c r="M15" s="131"/>
      <c r="N15" s="177">
        <f>SUM(L15)</f>
        <v>1670980</v>
      </c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  <c r="IR15" s="132"/>
      <c r="IS15" s="132"/>
      <c r="IT15" s="132"/>
      <c r="IU15" s="132"/>
      <c r="IV15" s="132"/>
    </row>
    <row r="16" spans="1:256" ht="12.75">
      <c r="A16" s="128"/>
      <c r="B16" s="129" t="s">
        <v>538</v>
      </c>
      <c r="C16" s="133" t="s">
        <v>91</v>
      </c>
      <c r="D16" s="582">
        <v>276</v>
      </c>
      <c r="E16" s="580">
        <v>2550</v>
      </c>
      <c r="F16" s="581">
        <f>D16*E16</f>
        <v>703800</v>
      </c>
      <c r="G16" s="582"/>
      <c r="H16" s="583"/>
      <c r="I16" s="583"/>
      <c r="J16" s="580"/>
      <c r="K16" s="581"/>
      <c r="L16" s="584">
        <f>F16+K16</f>
        <v>703800</v>
      </c>
      <c r="M16" s="131"/>
      <c r="N16" s="177">
        <f>SUM(L16)</f>
        <v>703800</v>
      </c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  <c r="IR16" s="132"/>
      <c r="IS16" s="132"/>
      <c r="IT16" s="132"/>
      <c r="IU16" s="132"/>
      <c r="IV16" s="132"/>
    </row>
    <row r="17" spans="1:256" ht="25.5">
      <c r="A17" s="128"/>
      <c r="B17" s="129" t="s">
        <v>759</v>
      </c>
      <c r="C17" s="130" t="s">
        <v>852</v>
      </c>
      <c r="D17" s="582"/>
      <c r="E17" s="580"/>
      <c r="F17" s="581">
        <f>593921+81261</f>
        <v>675182</v>
      </c>
      <c r="G17" s="582"/>
      <c r="H17" s="583"/>
      <c r="I17" s="583"/>
      <c r="J17" s="580"/>
      <c r="K17" s="581"/>
      <c r="L17" s="584">
        <f>F17+K17</f>
        <v>675182</v>
      </c>
      <c r="M17" s="131"/>
      <c r="N17" s="177">
        <f>SUM(L17)</f>
        <v>675182</v>
      </c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  <c r="IQ17" s="132"/>
      <c r="IR17" s="132"/>
      <c r="IS17" s="132"/>
      <c r="IT17" s="132"/>
      <c r="IU17" s="132"/>
      <c r="IV17" s="132"/>
    </row>
    <row r="18" spans="1:256" ht="12.75">
      <c r="A18" s="128"/>
      <c r="B18" s="129" t="s">
        <v>539</v>
      </c>
      <c r="C18" s="133" t="s">
        <v>760</v>
      </c>
      <c r="D18" s="582"/>
      <c r="E18" s="580"/>
      <c r="F18" s="581">
        <v>1681600</v>
      </c>
      <c r="G18" s="582"/>
      <c r="H18" s="583"/>
      <c r="I18" s="583"/>
      <c r="J18" s="580"/>
      <c r="K18" s="581"/>
      <c r="L18" s="584">
        <f>F18+K18</f>
        <v>1681600</v>
      </c>
      <c r="M18" s="131"/>
      <c r="N18" s="177">
        <f>SUM(L18)</f>
        <v>1681600</v>
      </c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  <c r="IR18" s="132"/>
      <c r="IS18" s="132"/>
      <c r="IT18" s="132"/>
      <c r="IU18" s="132"/>
      <c r="IV18" s="132"/>
    </row>
    <row r="19" spans="1:14" ht="12.75">
      <c r="A19" s="137" t="s">
        <v>478</v>
      </c>
      <c r="B19" s="144"/>
      <c r="C19" s="139" t="s">
        <v>113</v>
      </c>
      <c r="D19" s="590"/>
      <c r="E19" s="591"/>
      <c r="F19" s="142"/>
      <c r="G19" s="590"/>
      <c r="H19" s="592"/>
      <c r="I19" s="592"/>
      <c r="J19" s="591"/>
      <c r="K19" s="142">
        <f>K20+K23+K24+K25</f>
        <v>115198183.33333333</v>
      </c>
      <c r="L19" s="160">
        <f>F19+K19</f>
        <v>115198183.33333333</v>
      </c>
      <c r="M19" s="31"/>
      <c r="N19" s="161">
        <f>SUM(N23:N25,+N20)</f>
        <v>115198183.33333334</v>
      </c>
    </row>
    <row r="20" spans="1:256" ht="25.5">
      <c r="A20" s="136"/>
      <c r="B20" s="129" t="s">
        <v>480</v>
      </c>
      <c r="C20" s="130" t="s">
        <v>114</v>
      </c>
      <c r="D20" s="582"/>
      <c r="E20" s="580"/>
      <c r="F20" s="581"/>
      <c r="G20" s="582"/>
      <c r="H20" s="583"/>
      <c r="I20" s="583"/>
      <c r="J20" s="580"/>
      <c r="K20" s="581">
        <f>SUM(K21:K22)</f>
        <v>92409650</v>
      </c>
      <c r="L20" s="584">
        <f>SUM(K20,F20)</f>
        <v>92409650</v>
      </c>
      <c r="M20" s="131"/>
      <c r="N20" s="177">
        <f>SUM(L21:L22)</f>
        <v>92409650</v>
      </c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  <c r="IN20" s="132"/>
      <c r="IO20" s="132"/>
      <c r="IP20" s="132"/>
      <c r="IQ20" s="132"/>
      <c r="IR20" s="132"/>
      <c r="IS20" s="132"/>
      <c r="IT20" s="132"/>
      <c r="IU20" s="132"/>
      <c r="IV20" s="132"/>
    </row>
    <row r="21" spans="1:14" ht="12.75">
      <c r="A21" s="30"/>
      <c r="B21" s="126" t="s">
        <v>761</v>
      </c>
      <c r="C21" s="127" t="s">
        <v>481</v>
      </c>
      <c r="D21" s="585"/>
      <c r="E21" s="586"/>
      <c r="F21" s="587"/>
      <c r="G21" s="593">
        <v>15.4</v>
      </c>
      <c r="H21" s="588">
        <v>4371500</v>
      </c>
      <c r="I21" s="594">
        <v>14.5</v>
      </c>
      <c r="J21" s="588">
        <v>4371500</v>
      </c>
      <c r="K21" s="587">
        <f>(G21*H21/12*8)+(I21*J21/12*4)+1568617</f>
        <v>67578267</v>
      </c>
      <c r="L21" s="589">
        <f aca="true" t="shared" si="1" ref="L21:L47">F21+K21</f>
        <v>67578267</v>
      </c>
      <c r="M21" s="31"/>
      <c r="N21" s="177"/>
    </row>
    <row r="22" spans="1:14" ht="25.5">
      <c r="A22" s="30"/>
      <c r="B22" s="126" t="s">
        <v>762</v>
      </c>
      <c r="C22" s="165" t="s">
        <v>594</v>
      </c>
      <c r="D22" s="585"/>
      <c r="E22" s="586"/>
      <c r="F22" s="587"/>
      <c r="G22" s="585">
        <v>11</v>
      </c>
      <c r="H22" s="588">
        <v>2205000</v>
      </c>
      <c r="I22" s="588">
        <v>11</v>
      </c>
      <c r="J22" s="586">
        <v>2205000</v>
      </c>
      <c r="K22" s="587">
        <f>(G22*H22/12*8)+(I22*J22/12*4)+576383</f>
        <v>24831383</v>
      </c>
      <c r="L22" s="589">
        <f t="shared" si="1"/>
        <v>24831383</v>
      </c>
      <c r="M22" s="31"/>
      <c r="N22" s="177"/>
    </row>
    <row r="23" spans="1:256" ht="12.75">
      <c r="A23" s="128"/>
      <c r="B23" s="129" t="s">
        <v>482</v>
      </c>
      <c r="C23" s="133" t="s">
        <v>483</v>
      </c>
      <c r="D23" s="595"/>
      <c r="E23" s="596"/>
      <c r="F23" s="581"/>
      <c r="G23" s="597">
        <v>175</v>
      </c>
      <c r="H23" s="583">
        <v>97400</v>
      </c>
      <c r="I23" s="598">
        <v>165</v>
      </c>
      <c r="J23" s="580">
        <v>97400</v>
      </c>
      <c r="K23" s="581">
        <f>(G23*H23/12*8)+(I23*J23/12*4)</f>
        <v>16720333.333333334</v>
      </c>
      <c r="L23" s="584">
        <f t="shared" si="1"/>
        <v>16720333.333333334</v>
      </c>
      <c r="M23" s="131"/>
      <c r="N23" s="177">
        <f>SUM(L23)</f>
        <v>16720333.333333334</v>
      </c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  <c r="IQ23" s="132"/>
      <c r="IR23" s="132"/>
      <c r="IS23" s="132"/>
      <c r="IT23" s="132"/>
      <c r="IU23" s="132"/>
      <c r="IV23" s="132"/>
    </row>
    <row r="24" spans="1:256" ht="12.75">
      <c r="A24" s="128"/>
      <c r="B24" s="129" t="s">
        <v>639</v>
      </c>
      <c r="C24" s="133" t="s">
        <v>640</v>
      </c>
      <c r="D24" s="599"/>
      <c r="E24" s="600"/>
      <c r="F24" s="581"/>
      <c r="G24" s="597"/>
      <c r="H24" s="583"/>
      <c r="I24" s="598"/>
      <c r="J24" s="580"/>
      <c r="K24" s="581">
        <v>0</v>
      </c>
      <c r="L24" s="584">
        <f>F24+K24</f>
        <v>0</v>
      </c>
      <c r="M24" s="131"/>
      <c r="N24" s="177">
        <f>SUM(L24)</f>
        <v>0</v>
      </c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  <c r="IE24" s="132"/>
      <c r="IF24" s="132"/>
      <c r="IG24" s="132"/>
      <c r="IH24" s="132"/>
      <c r="II24" s="132"/>
      <c r="IJ24" s="132"/>
      <c r="IK24" s="132"/>
      <c r="IL24" s="132"/>
      <c r="IM24" s="132"/>
      <c r="IN24" s="132"/>
      <c r="IO24" s="132"/>
      <c r="IP24" s="132"/>
      <c r="IQ24" s="132"/>
      <c r="IR24" s="132"/>
      <c r="IS24" s="132"/>
      <c r="IT24" s="132"/>
      <c r="IU24" s="132"/>
      <c r="IV24" s="132"/>
    </row>
    <row r="25" spans="1:256" ht="25.5">
      <c r="A25" s="128"/>
      <c r="B25" s="129" t="s">
        <v>540</v>
      </c>
      <c r="C25" s="130" t="s">
        <v>541</v>
      </c>
      <c r="D25" s="595"/>
      <c r="E25" s="596"/>
      <c r="F25" s="581"/>
      <c r="G25" s="597"/>
      <c r="H25" s="583"/>
      <c r="I25" s="598"/>
      <c r="J25" s="580"/>
      <c r="K25" s="581">
        <f>SUM(K26:K29)</f>
        <v>6068200</v>
      </c>
      <c r="L25" s="584">
        <f>F25+K25</f>
        <v>6068200</v>
      </c>
      <c r="M25" s="131"/>
      <c r="N25" s="177">
        <f>SUM(L26:L29)</f>
        <v>6068200</v>
      </c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  <c r="HG25" s="132"/>
      <c r="HH25" s="132"/>
      <c r="HI25" s="132"/>
      <c r="HJ25" s="132"/>
      <c r="HK25" s="132"/>
      <c r="HL25" s="132"/>
      <c r="HM25" s="132"/>
      <c r="HN25" s="132"/>
      <c r="HO25" s="132"/>
      <c r="HP25" s="132"/>
      <c r="HQ25" s="132"/>
      <c r="HR25" s="132"/>
      <c r="HS25" s="132"/>
      <c r="HT25" s="132"/>
      <c r="HU25" s="132"/>
      <c r="HV25" s="132"/>
      <c r="HW25" s="132"/>
      <c r="HX25" s="132"/>
      <c r="HY25" s="132"/>
      <c r="HZ25" s="132"/>
      <c r="IA25" s="132"/>
      <c r="IB25" s="132"/>
      <c r="IC25" s="132"/>
      <c r="ID25" s="132"/>
      <c r="IE25" s="132"/>
      <c r="IF25" s="132"/>
      <c r="IG25" s="132"/>
      <c r="IH25" s="132"/>
      <c r="II25" s="132"/>
      <c r="IJ25" s="132"/>
      <c r="IK25" s="132"/>
      <c r="IL25" s="132"/>
      <c r="IM25" s="132"/>
      <c r="IN25" s="132"/>
      <c r="IO25" s="132"/>
      <c r="IP25" s="132"/>
      <c r="IQ25" s="132"/>
      <c r="IR25" s="132"/>
      <c r="IS25" s="132"/>
      <c r="IT25" s="132"/>
      <c r="IU25" s="132"/>
      <c r="IV25" s="132"/>
    </row>
    <row r="26" spans="1:14" ht="25.5">
      <c r="A26" s="30"/>
      <c r="B26" s="126" t="s">
        <v>641</v>
      </c>
      <c r="C26" s="165" t="s">
        <v>853</v>
      </c>
      <c r="D26" s="585"/>
      <c r="E26" s="586"/>
      <c r="F26" s="587"/>
      <c r="G26" s="585">
        <v>8</v>
      </c>
      <c r="H26" s="588">
        <v>396700</v>
      </c>
      <c r="I26" s="588"/>
      <c r="J26" s="586"/>
      <c r="K26" s="587">
        <f>G26*H26</f>
        <v>3173600</v>
      </c>
      <c r="L26" s="589">
        <f>SUM(K26)</f>
        <v>3173600</v>
      </c>
      <c r="M26" s="31"/>
      <c r="N26" s="177"/>
    </row>
    <row r="27" spans="1:14" ht="38.25">
      <c r="A27" s="30"/>
      <c r="B27" s="126"/>
      <c r="C27" s="165" t="s">
        <v>854</v>
      </c>
      <c r="D27" s="585"/>
      <c r="E27" s="586"/>
      <c r="F27" s="587"/>
      <c r="G27" s="585">
        <v>0</v>
      </c>
      <c r="H27" s="588">
        <v>363642</v>
      </c>
      <c r="I27" s="588"/>
      <c r="J27" s="586"/>
      <c r="K27" s="587">
        <f>G27*H27</f>
        <v>0</v>
      </c>
      <c r="L27" s="589">
        <f>SUM(K27)</f>
        <v>0</v>
      </c>
      <c r="M27" s="31"/>
      <c r="N27" s="177"/>
    </row>
    <row r="28" spans="1:14" ht="25.5">
      <c r="A28" s="30"/>
      <c r="B28" s="126" t="s">
        <v>642</v>
      </c>
      <c r="C28" s="165" t="s">
        <v>855</v>
      </c>
      <c r="D28" s="585"/>
      <c r="E28" s="586"/>
      <c r="F28" s="587"/>
      <c r="G28" s="585">
        <v>2</v>
      </c>
      <c r="H28" s="588">
        <v>1447300</v>
      </c>
      <c r="I28" s="588"/>
      <c r="J28" s="586"/>
      <c r="K28" s="587">
        <f>G28*H28</f>
        <v>2894600</v>
      </c>
      <c r="L28" s="589">
        <f>SUM(K28)</f>
        <v>2894600</v>
      </c>
      <c r="M28" s="31"/>
      <c r="N28" s="177"/>
    </row>
    <row r="29" spans="1:14" ht="38.25">
      <c r="A29" s="30"/>
      <c r="B29" s="126"/>
      <c r="C29" s="165" t="s">
        <v>856</v>
      </c>
      <c r="D29" s="585"/>
      <c r="E29" s="586"/>
      <c r="F29" s="587"/>
      <c r="G29" s="585">
        <v>0</v>
      </c>
      <c r="H29" s="588">
        <v>1326692</v>
      </c>
      <c r="I29" s="588"/>
      <c r="J29" s="586"/>
      <c r="K29" s="587">
        <f>G29*H29</f>
        <v>0</v>
      </c>
      <c r="L29" s="589">
        <f>SUM(K29)</f>
        <v>0</v>
      </c>
      <c r="M29" s="31"/>
      <c r="N29" s="177"/>
    </row>
    <row r="30" spans="1:256" ht="25.5">
      <c r="A30" s="137" t="s">
        <v>484</v>
      </c>
      <c r="B30" s="145"/>
      <c r="C30" s="139" t="s">
        <v>115</v>
      </c>
      <c r="D30" s="140"/>
      <c r="E30" s="141"/>
      <c r="F30" s="142">
        <f>SUM(F31:F33,F37,F41)</f>
        <v>125373693</v>
      </c>
      <c r="G30" s="601"/>
      <c r="H30" s="143"/>
      <c r="I30" s="602"/>
      <c r="J30" s="141"/>
      <c r="K30" s="142">
        <f>SUM(K31:K33,K37,K40,K41)</f>
        <v>53939460</v>
      </c>
      <c r="L30" s="142">
        <f>SUM(L31:L33,L37,L41)</f>
        <v>179313153</v>
      </c>
      <c r="M30" s="131"/>
      <c r="N30" s="161">
        <f>SUM(N31:N44)</f>
        <v>179313153</v>
      </c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2"/>
      <c r="GP30" s="132"/>
      <c r="GQ30" s="132"/>
      <c r="GR30" s="132"/>
      <c r="GS30" s="132"/>
      <c r="GT30" s="132"/>
      <c r="GU30" s="132"/>
      <c r="GV30" s="132"/>
      <c r="GW30" s="132"/>
      <c r="GX30" s="132"/>
      <c r="GY30" s="132"/>
      <c r="GZ30" s="132"/>
      <c r="HA30" s="132"/>
      <c r="HB30" s="132"/>
      <c r="HC30" s="132"/>
      <c r="HD30" s="132"/>
      <c r="HE30" s="132"/>
      <c r="HF30" s="132"/>
      <c r="HG30" s="132"/>
      <c r="HH30" s="132"/>
      <c r="HI30" s="132"/>
      <c r="HJ30" s="132"/>
      <c r="HK30" s="132"/>
      <c r="HL30" s="132"/>
      <c r="HM30" s="132"/>
      <c r="HN30" s="132"/>
      <c r="HO30" s="132"/>
      <c r="HP30" s="132"/>
      <c r="HQ30" s="132"/>
      <c r="HR30" s="132"/>
      <c r="HS30" s="132"/>
      <c r="HT30" s="132"/>
      <c r="HU30" s="132"/>
      <c r="HV30" s="132"/>
      <c r="HW30" s="132"/>
      <c r="HX30" s="132"/>
      <c r="HY30" s="132"/>
      <c r="HZ30" s="132"/>
      <c r="IA30" s="132"/>
      <c r="IB30" s="132"/>
      <c r="IC30" s="132"/>
      <c r="ID30" s="132"/>
      <c r="IE30" s="132"/>
      <c r="IF30" s="132"/>
      <c r="IG30" s="132"/>
      <c r="IH30" s="132"/>
      <c r="II30" s="132"/>
      <c r="IJ30" s="132"/>
      <c r="IK30" s="132"/>
      <c r="IL30" s="132"/>
      <c r="IM30" s="132"/>
      <c r="IN30" s="132"/>
      <c r="IO30" s="132"/>
      <c r="IP30" s="132"/>
      <c r="IQ30" s="132"/>
      <c r="IR30" s="132"/>
      <c r="IS30" s="132"/>
      <c r="IT30" s="132"/>
      <c r="IU30" s="132"/>
      <c r="IV30" s="132"/>
    </row>
    <row r="31" spans="1:256" ht="12.75">
      <c r="A31" s="128"/>
      <c r="B31" s="129" t="s">
        <v>485</v>
      </c>
      <c r="C31" s="133" t="s">
        <v>857</v>
      </c>
      <c r="D31" s="595"/>
      <c r="E31" s="596"/>
      <c r="F31" s="581"/>
      <c r="G31" s="597"/>
      <c r="H31" s="583"/>
      <c r="I31" s="598"/>
      <c r="J31" s="580"/>
      <c r="K31" s="581">
        <v>10844656</v>
      </c>
      <c r="L31" s="584">
        <f t="shared" si="1"/>
        <v>10844656</v>
      </c>
      <c r="M31" s="131"/>
      <c r="N31" s="177">
        <f>SUM(L31)</f>
        <v>10844656</v>
      </c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  <c r="GF31" s="132"/>
      <c r="GG31" s="132"/>
      <c r="GH31" s="132"/>
      <c r="GI31" s="132"/>
      <c r="GJ31" s="132"/>
      <c r="GK31" s="132"/>
      <c r="GL31" s="132"/>
      <c r="GM31" s="132"/>
      <c r="GN31" s="132"/>
      <c r="GO31" s="132"/>
      <c r="GP31" s="132"/>
      <c r="GQ31" s="132"/>
      <c r="GR31" s="132"/>
      <c r="GS31" s="132"/>
      <c r="GT31" s="132"/>
      <c r="GU31" s="132"/>
      <c r="GV31" s="132"/>
      <c r="GW31" s="132"/>
      <c r="GX31" s="132"/>
      <c r="GY31" s="132"/>
      <c r="GZ31" s="132"/>
      <c r="HA31" s="132"/>
      <c r="HB31" s="132"/>
      <c r="HC31" s="132"/>
      <c r="HD31" s="132"/>
      <c r="HE31" s="132"/>
      <c r="HF31" s="132"/>
      <c r="HG31" s="132"/>
      <c r="HH31" s="132"/>
      <c r="HI31" s="132"/>
      <c r="HJ31" s="132"/>
      <c r="HK31" s="132"/>
      <c r="HL31" s="132"/>
      <c r="HM31" s="132"/>
      <c r="HN31" s="132"/>
      <c r="HO31" s="132"/>
      <c r="HP31" s="132"/>
      <c r="HQ31" s="132"/>
      <c r="HR31" s="132"/>
      <c r="HS31" s="132"/>
      <c r="HT31" s="132"/>
      <c r="HU31" s="132"/>
      <c r="HV31" s="132"/>
      <c r="HW31" s="132"/>
      <c r="HX31" s="132"/>
      <c r="HY31" s="132"/>
      <c r="HZ31" s="132"/>
      <c r="IA31" s="132"/>
      <c r="IB31" s="132"/>
      <c r="IC31" s="132"/>
      <c r="ID31" s="132"/>
      <c r="IE31" s="132"/>
      <c r="IF31" s="132"/>
      <c r="IG31" s="132"/>
      <c r="IH31" s="132"/>
      <c r="II31" s="132"/>
      <c r="IJ31" s="132"/>
      <c r="IK31" s="132"/>
      <c r="IL31" s="132"/>
      <c r="IM31" s="132"/>
      <c r="IN31" s="132"/>
      <c r="IO31" s="132"/>
      <c r="IP31" s="132"/>
      <c r="IQ31" s="132"/>
      <c r="IR31" s="132"/>
      <c r="IS31" s="132"/>
      <c r="IT31" s="132"/>
      <c r="IU31" s="132"/>
      <c r="IV31" s="132"/>
    </row>
    <row r="32" spans="1:256" ht="12.75">
      <c r="A32" s="128"/>
      <c r="B32" s="129" t="s">
        <v>486</v>
      </c>
      <c r="C32" s="133" t="s">
        <v>995</v>
      </c>
      <c r="D32" s="595"/>
      <c r="E32" s="596"/>
      <c r="F32" s="581">
        <v>49762591</v>
      </c>
      <c r="G32" s="597"/>
      <c r="H32" s="583"/>
      <c r="I32" s="598"/>
      <c r="J32" s="580"/>
      <c r="K32" s="581"/>
      <c r="L32" s="584">
        <f t="shared" si="1"/>
        <v>49762591</v>
      </c>
      <c r="M32" s="131"/>
      <c r="N32" s="177">
        <f>SUM(L32)</f>
        <v>49762591</v>
      </c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  <c r="GH32" s="132"/>
      <c r="GI32" s="132"/>
      <c r="GJ32" s="132"/>
      <c r="GK32" s="132"/>
      <c r="GL32" s="132"/>
      <c r="GM32" s="132"/>
      <c r="GN32" s="132"/>
      <c r="GO32" s="132"/>
      <c r="GP32" s="132"/>
      <c r="GQ32" s="132"/>
      <c r="GR32" s="132"/>
      <c r="GS32" s="132"/>
      <c r="GT32" s="132"/>
      <c r="GU32" s="132"/>
      <c r="GV32" s="132"/>
      <c r="GW32" s="132"/>
      <c r="GX32" s="132"/>
      <c r="GY32" s="132"/>
      <c r="GZ32" s="132"/>
      <c r="HA32" s="132"/>
      <c r="HB32" s="132"/>
      <c r="HC32" s="132"/>
      <c r="HD32" s="132"/>
      <c r="HE32" s="132"/>
      <c r="HF32" s="132"/>
      <c r="HG32" s="132"/>
      <c r="HH32" s="132"/>
      <c r="HI32" s="132"/>
      <c r="HJ32" s="132"/>
      <c r="HK32" s="132"/>
      <c r="HL32" s="132"/>
      <c r="HM32" s="132"/>
      <c r="HN32" s="132"/>
      <c r="HO32" s="132"/>
      <c r="HP32" s="132"/>
      <c r="HQ32" s="132"/>
      <c r="HR32" s="132"/>
      <c r="HS32" s="132"/>
      <c r="HT32" s="132"/>
      <c r="HU32" s="132"/>
      <c r="HV32" s="132"/>
      <c r="HW32" s="132"/>
      <c r="HX32" s="132"/>
      <c r="HY32" s="132"/>
      <c r="HZ32" s="132"/>
      <c r="IA32" s="132"/>
      <c r="IB32" s="132"/>
      <c r="IC32" s="132"/>
      <c r="ID32" s="132"/>
      <c r="IE32" s="132"/>
      <c r="IF32" s="132"/>
      <c r="IG32" s="132"/>
      <c r="IH32" s="132"/>
      <c r="II32" s="132"/>
      <c r="IJ32" s="132"/>
      <c r="IK32" s="132"/>
      <c r="IL32" s="132"/>
      <c r="IM32" s="132"/>
      <c r="IN32" s="132"/>
      <c r="IO32" s="132"/>
      <c r="IP32" s="132"/>
      <c r="IQ32" s="132"/>
      <c r="IR32" s="132"/>
      <c r="IS32" s="132"/>
      <c r="IT32" s="132"/>
      <c r="IU32" s="132"/>
      <c r="IV32" s="132"/>
    </row>
    <row r="33" spans="1:256" ht="12.75">
      <c r="A33" s="128"/>
      <c r="B33" s="129" t="s">
        <v>487</v>
      </c>
      <c r="C33" s="133" t="s">
        <v>488</v>
      </c>
      <c r="D33" s="595"/>
      <c r="E33" s="596"/>
      <c r="F33" s="581">
        <f>SUM(F34:F35)</f>
        <v>0</v>
      </c>
      <c r="G33" s="597"/>
      <c r="H33" s="583"/>
      <c r="I33" s="598"/>
      <c r="J33" s="580"/>
      <c r="K33" s="581">
        <f>SUM(K34:K36)</f>
        <v>31743579</v>
      </c>
      <c r="L33" s="584">
        <f t="shared" si="1"/>
        <v>31743579</v>
      </c>
      <c r="M33" s="131"/>
      <c r="N33" s="177">
        <f>SUM(L34:L35)</f>
        <v>24446000</v>
      </c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  <c r="GF33" s="132"/>
      <c r="GG33" s="132"/>
      <c r="GH33" s="132"/>
      <c r="GI33" s="132"/>
      <c r="GJ33" s="132"/>
      <c r="GK33" s="132"/>
      <c r="GL33" s="132"/>
      <c r="GM33" s="132"/>
      <c r="GN33" s="132"/>
      <c r="GO33" s="132"/>
      <c r="GP33" s="132"/>
      <c r="GQ33" s="132"/>
      <c r="GR33" s="132"/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2"/>
      <c r="HG33" s="132"/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2"/>
      <c r="HV33" s="132"/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2"/>
      <c r="IK33" s="132"/>
      <c r="IL33" s="132"/>
      <c r="IM33" s="132"/>
      <c r="IN33" s="132"/>
      <c r="IO33" s="132"/>
      <c r="IP33" s="132"/>
      <c r="IQ33" s="132"/>
      <c r="IR33" s="132"/>
      <c r="IS33" s="132"/>
      <c r="IT33" s="132"/>
      <c r="IU33" s="132"/>
      <c r="IV33" s="132"/>
    </row>
    <row r="34" spans="1:14" ht="12.75">
      <c r="A34" s="30"/>
      <c r="B34" s="126" t="s">
        <v>595</v>
      </c>
      <c r="C34" s="127" t="s">
        <v>596</v>
      </c>
      <c r="D34" s="585"/>
      <c r="E34" s="586"/>
      <c r="F34" s="587"/>
      <c r="G34" s="603"/>
      <c r="H34" s="588"/>
      <c r="I34" s="604"/>
      <c r="J34" s="586"/>
      <c r="K34" s="587">
        <f>3740000+436704</f>
        <v>4176704</v>
      </c>
      <c r="L34" s="589">
        <f t="shared" si="1"/>
        <v>4176704</v>
      </c>
      <c r="M34" s="31"/>
      <c r="N34" s="31"/>
    </row>
    <row r="35" spans="1:14" ht="12.75">
      <c r="A35" s="30"/>
      <c r="B35" s="126" t="s">
        <v>598</v>
      </c>
      <c r="C35" s="127" t="s">
        <v>597</v>
      </c>
      <c r="D35" s="585"/>
      <c r="E35" s="586"/>
      <c r="F35" s="587"/>
      <c r="G35" s="603"/>
      <c r="H35" s="588"/>
      <c r="I35" s="604"/>
      <c r="J35" s="586"/>
      <c r="K35" s="587">
        <f>18150000+2119296</f>
        <v>20269296</v>
      </c>
      <c r="L35" s="589">
        <f t="shared" si="1"/>
        <v>20269296</v>
      </c>
      <c r="M35" s="31"/>
      <c r="N35" s="31"/>
    </row>
    <row r="36" spans="1:14" ht="12.75">
      <c r="A36" s="30"/>
      <c r="B36" s="126" t="s">
        <v>867</v>
      </c>
      <c r="C36" s="127" t="s">
        <v>868</v>
      </c>
      <c r="D36" s="585"/>
      <c r="E36" s="586"/>
      <c r="F36" s="587"/>
      <c r="G36" s="603"/>
      <c r="H36" s="588"/>
      <c r="I36" s="604"/>
      <c r="J36" s="586"/>
      <c r="K36" s="587">
        <v>7297579</v>
      </c>
      <c r="L36" s="589">
        <f t="shared" si="1"/>
        <v>7297579</v>
      </c>
      <c r="M36" s="31"/>
      <c r="N36" s="31">
        <f>SUM(L36)</f>
        <v>7297579</v>
      </c>
    </row>
    <row r="37" spans="1:256" ht="12.75">
      <c r="A37" s="128"/>
      <c r="B37" s="129" t="s">
        <v>116</v>
      </c>
      <c r="C37" s="133" t="s">
        <v>767</v>
      </c>
      <c r="D37" s="595"/>
      <c r="E37" s="596"/>
      <c r="F37" s="581">
        <f>SUM(F38:F40)</f>
        <v>75611102</v>
      </c>
      <c r="G37" s="597"/>
      <c r="H37" s="583"/>
      <c r="I37" s="598"/>
      <c r="J37" s="580"/>
      <c r="K37" s="581">
        <f>SUM(K38:K40)</f>
        <v>0</v>
      </c>
      <c r="L37" s="584">
        <f t="shared" si="1"/>
        <v>75611102</v>
      </c>
      <c r="M37" s="131"/>
      <c r="N37" s="177">
        <f>SUM(L38:L40)</f>
        <v>75611102</v>
      </c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  <c r="FL37" s="132"/>
      <c r="FM37" s="132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2"/>
      <c r="FZ37" s="132"/>
      <c r="GA37" s="132"/>
      <c r="GB37" s="132"/>
      <c r="GC37" s="132"/>
      <c r="GD37" s="132"/>
      <c r="GE37" s="132"/>
      <c r="GF37" s="132"/>
      <c r="GG37" s="132"/>
      <c r="GH37" s="132"/>
      <c r="GI37" s="132"/>
      <c r="GJ37" s="132"/>
      <c r="GK37" s="132"/>
      <c r="GL37" s="132"/>
      <c r="GM37" s="132"/>
      <c r="GN37" s="132"/>
      <c r="GO37" s="132"/>
      <c r="GP37" s="132"/>
      <c r="GQ37" s="132"/>
      <c r="GR37" s="132"/>
      <c r="GS37" s="132"/>
      <c r="GT37" s="132"/>
      <c r="GU37" s="132"/>
      <c r="GV37" s="132"/>
      <c r="GW37" s="132"/>
      <c r="GX37" s="132"/>
      <c r="GY37" s="132"/>
      <c r="GZ37" s="132"/>
      <c r="HA37" s="132"/>
      <c r="HB37" s="132"/>
      <c r="HC37" s="132"/>
      <c r="HD37" s="132"/>
      <c r="HE37" s="132"/>
      <c r="HF37" s="132"/>
      <c r="HG37" s="132"/>
      <c r="HH37" s="132"/>
      <c r="HI37" s="132"/>
      <c r="HJ37" s="132"/>
      <c r="HK37" s="132"/>
      <c r="HL37" s="132"/>
      <c r="HM37" s="132"/>
      <c r="HN37" s="132"/>
      <c r="HO37" s="132"/>
      <c r="HP37" s="132"/>
      <c r="HQ37" s="132"/>
      <c r="HR37" s="132"/>
      <c r="HS37" s="132"/>
      <c r="HT37" s="132"/>
      <c r="HU37" s="132"/>
      <c r="HV37" s="132"/>
      <c r="HW37" s="132"/>
      <c r="HX37" s="132"/>
      <c r="HY37" s="132"/>
      <c r="HZ37" s="132"/>
      <c r="IA37" s="132"/>
      <c r="IB37" s="132"/>
      <c r="IC37" s="132"/>
      <c r="ID37" s="132"/>
      <c r="IE37" s="132"/>
      <c r="IF37" s="132"/>
      <c r="IG37" s="132"/>
      <c r="IH37" s="132"/>
      <c r="II37" s="132"/>
      <c r="IJ37" s="132"/>
      <c r="IK37" s="132"/>
      <c r="IL37" s="132"/>
      <c r="IM37" s="132"/>
      <c r="IN37" s="132"/>
      <c r="IO37" s="132"/>
      <c r="IP37" s="132"/>
      <c r="IQ37" s="132"/>
      <c r="IR37" s="132"/>
      <c r="IS37" s="132"/>
      <c r="IT37" s="132"/>
      <c r="IU37" s="132"/>
      <c r="IV37" s="132"/>
    </row>
    <row r="38" spans="1:14" ht="12.75">
      <c r="A38" s="30"/>
      <c r="B38" s="126" t="s">
        <v>858</v>
      </c>
      <c r="C38" s="165" t="s">
        <v>768</v>
      </c>
      <c r="D38" s="605">
        <v>10.69</v>
      </c>
      <c r="E38" s="606">
        <v>1900000</v>
      </c>
      <c r="F38" s="587">
        <f>E38*D38</f>
        <v>20311000</v>
      </c>
      <c r="G38" s="593"/>
      <c r="H38" s="588"/>
      <c r="I38" s="594"/>
      <c r="J38" s="586"/>
      <c r="K38" s="587"/>
      <c r="L38" s="607">
        <f t="shared" si="1"/>
        <v>20311000</v>
      </c>
      <c r="M38" s="31"/>
      <c r="N38" s="177"/>
    </row>
    <row r="39" spans="1:14" ht="12.75">
      <c r="A39" s="30"/>
      <c r="B39" s="126" t="s">
        <v>859</v>
      </c>
      <c r="C39" s="165" t="s">
        <v>118</v>
      </c>
      <c r="D39" s="605"/>
      <c r="E39" s="586"/>
      <c r="F39" s="799">
        <f>50774910+2774152</f>
        <v>53549062</v>
      </c>
      <c r="G39" s="585"/>
      <c r="H39" s="588"/>
      <c r="I39" s="588"/>
      <c r="J39" s="586"/>
      <c r="K39" s="587"/>
      <c r="L39" s="607">
        <f>F39+K39</f>
        <v>53549062</v>
      </c>
      <c r="M39" s="31"/>
      <c r="N39" s="31"/>
    </row>
    <row r="40" spans="1:256" ht="12.75">
      <c r="A40" s="128"/>
      <c r="B40" s="126" t="s">
        <v>117</v>
      </c>
      <c r="C40" s="165" t="s">
        <v>769</v>
      </c>
      <c r="D40" s="794">
        <f>3120-48</f>
        <v>3072</v>
      </c>
      <c r="E40" s="795">
        <v>570</v>
      </c>
      <c r="F40" s="796">
        <f>D40*E40</f>
        <v>1751040</v>
      </c>
      <c r="G40" s="597"/>
      <c r="H40" s="583"/>
      <c r="I40" s="598"/>
      <c r="J40" s="580"/>
      <c r="K40" s="581"/>
      <c r="L40" s="607">
        <f t="shared" si="1"/>
        <v>1751040</v>
      </c>
      <c r="M40" s="131"/>
      <c r="N40" s="177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  <c r="FL40" s="132"/>
      <c r="FM40" s="132"/>
      <c r="FN40" s="132"/>
      <c r="FO40" s="132"/>
      <c r="FP40" s="132"/>
      <c r="FQ40" s="132"/>
      <c r="FR40" s="132"/>
      <c r="FS40" s="132"/>
      <c r="FT40" s="132"/>
      <c r="FU40" s="132"/>
      <c r="FV40" s="132"/>
      <c r="FW40" s="132"/>
      <c r="FX40" s="132"/>
      <c r="FY40" s="132"/>
      <c r="FZ40" s="132"/>
      <c r="GA40" s="132"/>
      <c r="GB40" s="132"/>
      <c r="GC40" s="132"/>
      <c r="GD40" s="132"/>
      <c r="GE40" s="132"/>
      <c r="GF40" s="132"/>
      <c r="GG40" s="132"/>
      <c r="GH40" s="132"/>
      <c r="GI40" s="132"/>
      <c r="GJ40" s="132"/>
      <c r="GK40" s="132"/>
      <c r="GL40" s="132"/>
      <c r="GM40" s="132"/>
      <c r="GN40" s="132"/>
      <c r="GO40" s="132"/>
      <c r="GP40" s="132"/>
      <c r="GQ40" s="132"/>
      <c r="GR40" s="132"/>
      <c r="GS40" s="132"/>
      <c r="GT40" s="132"/>
      <c r="GU40" s="132"/>
      <c r="GV40" s="132"/>
      <c r="GW40" s="132"/>
      <c r="GX40" s="132"/>
      <c r="GY40" s="132"/>
      <c r="GZ40" s="132"/>
      <c r="HA40" s="132"/>
      <c r="HB40" s="132"/>
      <c r="HC40" s="132"/>
      <c r="HD40" s="132"/>
      <c r="HE40" s="132"/>
      <c r="HF40" s="132"/>
      <c r="HG40" s="132"/>
      <c r="HH40" s="132"/>
      <c r="HI40" s="132"/>
      <c r="HJ40" s="132"/>
      <c r="HK40" s="132"/>
      <c r="HL40" s="132"/>
      <c r="HM40" s="132"/>
      <c r="HN40" s="132"/>
      <c r="HO40" s="132"/>
      <c r="HP40" s="132"/>
      <c r="HQ40" s="132"/>
      <c r="HR40" s="132"/>
      <c r="HS40" s="132"/>
      <c r="HT40" s="132"/>
      <c r="HU40" s="132"/>
      <c r="HV40" s="132"/>
      <c r="HW40" s="132"/>
      <c r="HX40" s="132"/>
      <c r="HY40" s="132"/>
      <c r="HZ40" s="132"/>
      <c r="IA40" s="132"/>
      <c r="IB40" s="132"/>
      <c r="IC40" s="132"/>
      <c r="ID40" s="132"/>
      <c r="IE40" s="132"/>
      <c r="IF40" s="132"/>
      <c r="IG40" s="132"/>
      <c r="IH40" s="132"/>
      <c r="II40" s="132"/>
      <c r="IJ40" s="132"/>
      <c r="IK40" s="132"/>
      <c r="IL40" s="132"/>
      <c r="IM40" s="132"/>
      <c r="IN40" s="132"/>
      <c r="IO40" s="132"/>
      <c r="IP40" s="132"/>
      <c r="IQ40" s="132"/>
      <c r="IR40" s="132"/>
      <c r="IS40" s="132"/>
      <c r="IT40" s="132"/>
      <c r="IU40" s="132"/>
      <c r="IV40" s="132"/>
    </row>
    <row r="41" spans="1:256" ht="12.75">
      <c r="A41" s="128"/>
      <c r="B41" s="129" t="s">
        <v>860</v>
      </c>
      <c r="C41" s="133" t="s">
        <v>763</v>
      </c>
      <c r="D41" s="595"/>
      <c r="E41" s="596"/>
      <c r="F41" s="581"/>
      <c r="G41" s="597"/>
      <c r="H41" s="583"/>
      <c r="I41" s="598"/>
      <c r="J41" s="580"/>
      <c r="K41" s="581">
        <f>SUM(K42:K44)</f>
        <v>11351225</v>
      </c>
      <c r="L41" s="584">
        <f t="shared" si="1"/>
        <v>11351225</v>
      </c>
      <c r="M41" s="131"/>
      <c r="N41" s="177">
        <f>SUM(L42:L43)</f>
        <v>10405000</v>
      </c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  <c r="GF41" s="132"/>
      <c r="GG41" s="132"/>
      <c r="GH41" s="132"/>
      <c r="GI41" s="132"/>
      <c r="GJ41" s="132"/>
      <c r="GK41" s="132"/>
      <c r="GL41" s="132"/>
      <c r="GM41" s="132"/>
      <c r="GN41" s="132"/>
      <c r="GO41" s="132"/>
      <c r="GP41" s="132"/>
      <c r="GQ41" s="132"/>
      <c r="GR41" s="132"/>
      <c r="GS41" s="132"/>
      <c r="GT41" s="132"/>
      <c r="GU41" s="132"/>
      <c r="GV41" s="132"/>
      <c r="GW41" s="132"/>
      <c r="GX41" s="132"/>
      <c r="GY41" s="132"/>
      <c r="GZ41" s="132"/>
      <c r="HA41" s="132"/>
      <c r="HB41" s="132"/>
      <c r="HC41" s="132"/>
      <c r="HD41" s="132"/>
      <c r="HE41" s="132"/>
      <c r="HF41" s="132"/>
      <c r="HG41" s="132"/>
      <c r="HH41" s="132"/>
      <c r="HI41" s="132"/>
      <c r="HJ41" s="132"/>
      <c r="HK41" s="132"/>
      <c r="HL41" s="132"/>
      <c r="HM41" s="132"/>
      <c r="HN41" s="132"/>
      <c r="HO41" s="132"/>
      <c r="HP41" s="132"/>
      <c r="HQ41" s="132"/>
      <c r="HR41" s="132"/>
      <c r="HS41" s="132"/>
      <c r="HT41" s="132"/>
      <c r="HU41" s="132"/>
      <c r="HV41" s="132"/>
      <c r="HW41" s="132"/>
      <c r="HX41" s="132"/>
      <c r="HY41" s="132"/>
      <c r="HZ41" s="132"/>
      <c r="IA41" s="132"/>
      <c r="IB41" s="132"/>
      <c r="IC41" s="132"/>
      <c r="ID41" s="132"/>
      <c r="IE41" s="132"/>
      <c r="IF41" s="132"/>
      <c r="IG41" s="132"/>
      <c r="IH41" s="132"/>
      <c r="II41" s="132"/>
      <c r="IJ41" s="132"/>
      <c r="IK41" s="132"/>
      <c r="IL41" s="132"/>
      <c r="IM41" s="132"/>
      <c r="IN41" s="132"/>
      <c r="IO41" s="132"/>
      <c r="IP41" s="132"/>
      <c r="IQ41" s="132"/>
      <c r="IR41" s="132"/>
      <c r="IS41" s="132"/>
      <c r="IT41" s="132"/>
      <c r="IU41" s="132"/>
      <c r="IV41" s="132"/>
    </row>
    <row r="42" spans="1:14" ht="12.75">
      <c r="A42" s="30"/>
      <c r="B42" s="126" t="s">
        <v>861</v>
      </c>
      <c r="C42" s="165" t="s">
        <v>764</v>
      </c>
      <c r="D42" s="605"/>
      <c r="E42" s="586"/>
      <c r="F42" s="587"/>
      <c r="G42" s="585">
        <v>1</v>
      </c>
      <c r="H42" s="588">
        <v>4419000</v>
      </c>
      <c r="I42" s="588"/>
      <c r="J42" s="586"/>
      <c r="K42" s="587">
        <f>G42*H42</f>
        <v>4419000</v>
      </c>
      <c r="L42" s="607">
        <f t="shared" si="1"/>
        <v>4419000</v>
      </c>
      <c r="M42" s="31"/>
      <c r="N42" s="31"/>
    </row>
    <row r="43" spans="1:14" ht="25.5">
      <c r="A43" s="30"/>
      <c r="B43" s="126" t="s">
        <v>862</v>
      </c>
      <c r="C43" s="165" t="s">
        <v>765</v>
      </c>
      <c r="D43" s="605"/>
      <c r="E43" s="586"/>
      <c r="F43" s="587"/>
      <c r="G43" s="585">
        <v>2</v>
      </c>
      <c r="H43" s="588">
        <v>2993000</v>
      </c>
      <c r="I43" s="588"/>
      <c r="J43" s="586"/>
      <c r="K43" s="587">
        <f>G43*H43</f>
        <v>5986000</v>
      </c>
      <c r="L43" s="607">
        <f t="shared" si="1"/>
        <v>5986000</v>
      </c>
      <c r="M43" s="31"/>
      <c r="N43" s="31"/>
    </row>
    <row r="44" spans="1:14" ht="12.75">
      <c r="A44" s="30"/>
      <c r="B44" s="126" t="s">
        <v>863</v>
      </c>
      <c r="C44" s="165" t="s">
        <v>766</v>
      </c>
      <c r="D44" s="605"/>
      <c r="E44" s="586"/>
      <c r="F44" s="587"/>
      <c r="G44" s="585"/>
      <c r="H44" s="588"/>
      <c r="I44" s="588"/>
      <c r="J44" s="586"/>
      <c r="K44" s="799">
        <f>1139000-192775</f>
        <v>946225</v>
      </c>
      <c r="L44" s="607">
        <f t="shared" si="1"/>
        <v>946225</v>
      </c>
      <c r="M44" s="31"/>
      <c r="N44" s="31">
        <f>SUM(L44)</f>
        <v>946225</v>
      </c>
    </row>
    <row r="45" spans="1:256" ht="12.75">
      <c r="A45" s="137" t="s">
        <v>490</v>
      </c>
      <c r="B45" s="145"/>
      <c r="C45" s="139" t="s">
        <v>475</v>
      </c>
      <c r="D45" s="140"/>
      <c r="E45" s="141"/>
      <c r="F45" s="142">
        <f>SUM(F47:F48)</f>
        <v>11725952</v>
      </c>
      <c r="G45" s="601"/>
      <c r="H45" s="143"/>
      <c r="I45" s="602"/>
      <c r="J45" s="141"/>
      <c r="K45" s="142"/>
      <c r="L45" s="160">
        <f t="shared" si="1"/>
        <v>11725952</v>
      </c>
      <c r="M45" s="131"/>
      <c r="N45" s="161">
        <f>SUM(L47+L48)</f>
        <v>11725952</v>
      </c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Q45" s="132"/>
      <c r="ER45" s="132"/>
      <c r="ES45" s="132"/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  <c r="FL45" s="132"/>
      <c r="FM45" s="132"/>
      <c r="FN45" s="132"/>
      <c r="FO45" s="132"/>
      <c r="FP45" s="132"/>
      <c r="FQ45" s="132"/>
      <c r="FR45" s="132"/>
      <c r="FS45" s="132"/>
      <c r="FT45" s="132"/>
      <c r="FU45" s="132"/>
      <c r="FV45" s="132"/>
      <c r="FW45" s="132"/>
      <c r="FX45" s="132"/>
      <c r="FY45" s="132"/>
      <c r="FZ45" s="132"/>
      <c r="GA45" s="132"/>
      <c r="GB45" s="132"/>
      <c r="GC45" s="132"/>
      <c r="GD45" s="132"/>
      <c r="GE45" s="132"/>
      <c r="GF45" s="132"/>
      <c r="GG45" s="132"/>
      <c r="GH45" s="132"/>
      <c r="GI45" s="132"/>
      <c r="GJ45" s="132"/>
      <c r="GK45" s="132"/>
      <c r="GL45" s="132"/>
      <c r="GM45" s="132"/>
      <c r="GN45" s="132"/>
      <c r="GO45" s="132"/>
      <c r="GP45" s="132"/>
      <c r="GQ45" s="132"/>
      <c r="GR45" s="132"/>
      <c r="GS45" s="132"/>
      <c r="GT45" s="132"/>
      <c r="GU45" s="132"/>
      <c r="GV45" s="132"/>
      <c r="GW45" s="132"/>
      <c r="GX45" s="132"/>
      <c r="GY45" s="132"/>
      <c r="GZ45" s="132"/>
      <c r="HA45" s="132"/>
      <c r="HB45" s="132"/>
      <c r="HC45" s="132"/>
      <c r="HD45" s="132"/>
      <c r="HE45" s="132"/>
      <c r="HF45" s="132"/>
      <c r="HG45" s="132"/>
      <c r="HH45" s="132"/>
      <c r="HI45" s="132"/>
      <c r="HJ45" s="132"/>
      <c r="HK45" s="132"/>
      <c r="HL45" s="132"/>
      <c r="HM45" s="132"/>
      <c r="HN45" s="132"/>
      <c r="HO45" s="132"/>
      <c r="HP45" s="132"/>
      <c r="HQ45" s="132"/>
      <c r="HR45" s="132"/>
      <c r="HS45" s="132"/>
      <c r="HT45" s="132"/>
      <c r="HU45" s="132"/>
      <c r="HV45" s="132"/>
      <c r="HW45" s="132"/>
      <c r="HX45" s="132"/>
      <c r="HY45" s="132"/>
      <c r="HZ45" s="132"/>
      <c r="IA45" s="132"/>
      <c r="IB45" s="132"/>
      <c r="IC45" s="132"/>
      <c r="ID45" s="132"/>
      <c r="IE45" s="132"/>
      <c r="IF45" s="132"/>
      <c r="IG45" s="132"/>
      <c r="IH45" s="132"/>
      <c r="II45" s="132"/>
      <c r="IJ45" s="132"/>
      <c r="IK45" s="132"/>
      <c r="IL45" s="132"/>
      <c r="IM45" s="132"/>
      <c r="IN45" s="132"/>
      <c r="IO45" s="132"/>
      <c r="IP45" s="132"/>
      <c r="IQ45" s="132"/>
      <c r="IR45" s="132"/>
      <c r="IS45" s="132"/>
      <c r="IT45" s="132"/>
      <c r="IU45" s="132"/>
      <c r="IV45" s="132"/>
    </row>
    <row r="46" spans="1:256" ht="12.75">
      <c r="A46" s="128"/>
      <c r="B46" s="129" t="s">
        <v>543</v>
      </c>
      <c r="C46" s="133" t="s">
        <v>544</v>
      </c>
      <c r="D46" s="595"/>
      <c r="E46" s="596"/>
      <c r="F46" s="581"/>
      <c r="G46" s="597"/>
      <c r="H46" s="583"/>
      <c r="I46" s="598"/>
      <c r="J46" s="580"/>
      <c r="K46" s="581"/>
      <c r="L46" s="584"/>
      <c r="M46" s="131"/>
      <c r="N46" s="177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2"/>
      <c r="EF46" s="132"/>
      <c r="EG46" s="132"/>
      <c r="EH46" s="132"/>
      <c r="EI46" s="132"/>
      <c r="EJ46" s="132"/>
      <c r="EK46" s="132"/>
      <c r="EL46" s="132"/>
      <c r="EM46" s="132"/>
      <c r="EN46" s="132"/>
      <c r="EO46" s="132"/>
      <c r="EP46" s="132"/>
      <c r="EQ46" s="132"/>
      <c r="ER46" s="132"/>
      <c r="ES46" s="132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2"/>
      <c r="FF46" s="132"/>
      <c r="FG46" s="132"/>
      <c r="FH46" s="132"/>
      <c r="FI46" s="132"/>
      <c r="FJ46" s="132"/>
      <c r="FK46" s="132"/>
      <c r="FL46" s="132"/>
      <c r="FM46" s="132"/>
      <c r="FN46" s="132"/>
      <c r="FO46" s="132"/>
      <c r="FP46" s="132"/>
      <c r="FQ46" s="132"/>
      <c r="FR46" s="132"/>
      <c r="FS46" s="132"/>
      <c r="FT46" s="132"/>
      <c r="FU46" s="132"/>
      <c r="FV46" s="132"/>
      <c r="FW46" s="132"/>
      <c r="FX46" s="132"/>
      <c r="FY46" s="132"/>
      <c r="FZ46" s="132"/>
      <c r="GA46" s="132"/>
      <c r="GB46" s="132"/>
      <c r="GC46" s="132"/>
      <c r="GD46" s="132"/>
      <c r="GE46" s="132"/>
      <c r="GF46" s="132"/>
      <c r="GG46" s="132"/>
      <c r="GH46" s="132"/>
      <c r="GI46" s="132"/>
      <c r="GJ46" s="132"/>
      <c r="GK46" s="132"/>
      <c r="GL46" s="132"/>
      <c r="GM46" s="132"/>
      <c r="GN46" s="132"/>
      <c r="GO46" s="132"/>
      <c r="GP46" s="132"/>
      <c r="GQ46" s="132"/>
      <c r="GR46" s="132"/>
      <c r="GS46" s="132"/>
      <c r="GT46" s="132"/>
      <c r="GU46" s="132"/>
      <c r="GV46" s="132"/>
      <c r="GW46" s="132"/>
      <c r="GX46" s="132"/>
      <c r="GY46" s="132"/>
      <c r="GZ46" s="132"/>
      <c r="HA46" s="132"/>
      <c r="HB46" s="132"/>
      <c r="HC46" s="132"/>
      <c r="HD46" s="132"/>
      <c r="HE46" s="132"/>
      <c r="HF46" s="132"/>
      <c r="HG46" s="132"/>
      <c r="HH46" s="132"/>
      <c r="HI46" s="132"/>
      <c r="HJ46" s="132"/>
      <c r="HK46" s="132"/>
      <c r="HL46" s="132"/>
      <c r="HM46" s="132"/>
      <c r="HN46" s="132"/>
      <c r="HO46" s="132"/>
      <c r="HP46" s="132"/>
      <c r="HQ46" s="132"/>
      <c r="HR46" s="132"/>
      <c r="HS46" s="132"/>
      <c r="HT46" s="132"/>
      <c r="HU46" s="132"/>
      <c r="HV46" s="132"/>
      <c r="HW46" s="132"/>
      <c r="HX46" s="132"/>
      <c r="HY46" s="132"/>
      <c r="HZ46" s="132"/>
      <c r="IA46" s="132"/>
      <c r="IB46" s="132"/>
      <c r="IC46" s="132"/>
      <c r="ID46" s="132"/>
      <c r="IE46" s="132"/>
      <c r="IF46" s="132"/>
      <c r="IG46" s="132"/>
      <c r="IH46" s="132"/>
      <c r="II46" s="132"/>
      <c r="IJ46" s="132"/>
      <c r="IK46" s="132"/>
      <c r="IL46" s="132"/>
      <c r="IM46" s="132"/>
      <c r="IN46" s="132"/>
      <c r="IO46" s="132"/>
      <c r="IP46" s="132"/>
      <c r="IQ46" s="132"/>
      <c r="IR46" s="132"/>
      <c r="IS46" s="132"/>
      <c r="IT46" s="132"/>
      <c r="IU46" s="132"/>
      <c r="IV46" s="132"/>
    </row>
    <row r="47" spans="1:14" ht="25.5">
      <c r="A47" s="30"/>
      <c r="B47" s="126" t="s">
        <v>542</v>
      </c>
      <c r="C47" s="165" t="s">
        <v>119</v>
      </c>
      <c r="D47" s="585">
        <v>8684</v>
      </c>
      <c r="E47" s="586">
        <v>1210</v>
      </c>
      <c r="F47" s="587">
        <f>D47*E47+356000</f>
        <v>10863640</v>
      </c>
      <c r="G47" s="608"/>
      <c r="H47" s="609"/>
      <c r="I47" s="604"/>
      <c r="J47" s="606"/>
      <c r="K47" s="587"/>
      <c r="L47" s="589">
        <f t="shared" si="1"/>
        <v>10863640</v>
      </c>
      <c r="M47" s="31"/>
      <c r="N47" s="31"/>
    </row>
    <row r="48" spans="1:256" ht="12.75">
      <c r="A48" s="128"/>
      <c r="B48" s="129" t="s">
        <v>864</v>
      </c>
      <c r="C48" s="133" t="s">
        <v>865</v>
      </c>
      <c r="D48" s="595"/>
      <c r="E48" s="596"/>
      <c r="F48" s="796">
        <v>862312</v>
      </c>
      <c r="G48" s="597"/>
      <c r="H48" s="583"/>
      <c r="I48" s="598"/>
      <c r="J48" s="580"/>
      <c r="K48" s="581"/>
      <c r="L48" s="584">
        <f>SUM(K48+F48)</f>
        <v>862312</v>
      </c>
      <c r="M48" s="131"/>
      <c r="N48" s="177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2"/>
      <c r="EC48" s="132"/>
      <c r="ED48" s="132"/>
      <c r="EE48" s="132"/>
      <c r="EF48" s="132"/>
      <c r="EG48" s="132"/>
      <c r="EH48" s="132"/>
      <c r="EI48" s="132"/>
      <c r="EJ48" s="132"/>
      <c r="EK48" s="132"/>
      <c r="EL48" s="132"/>
      <c r="EM48" s="132"/>
      <c r="EN48" s="132"/>
      <c r="EO48" s="132"/>
      <c r="EP48" s="132"/>
      <c r="EQ48" s="132"/>
      <c r="ER48" s="132"/>
      <c r="ES48" s="132"/>
      <c r="ET48" s="132"/>
      <c r="EU48" s="132"/>
      <c r="EV48" s="132"/>
      <c r="EW48" s="132"/>
      <c r="EX48" s="132"/>
      <c r="EY48" s="132"/>
      <c r="EZ48" s="132"/>
      <c r="FA48" s="132"/>
      <c r="FB48" s="132"/>
      <c r="FC48" s="132"/>
      <c r="FD48" s="132"/>
      <c r="FE48" s="132"/>
      <c r="FF48" s="132"/>
      <c r="FG48" s="132"/>
      <c r="FH48" s="132"/>
      <c r="FI48" s="132"/>
      <c r="FJ48" s="132"/>
      <c r="FK48" s="132"/>
      <c r="FL48" s="132"/>
      <c r="FM48" s="132"/>
      <c r="FN48" s="132"/>
      <c r="FO48" s="132"/>
      <c r="FP48" s="132"/>
      <c r="FQ48" s="132"/>
      <c r="FR48" s="132"/>
      <c r="FS48" s="132"/>
      <c r="FT48" s="132"/>
      <c r="FU48" s="132"/>
      <c r="FV48" s="132"/>
      <c r="FW48" s="132"/>
      <c r="FX48" s="132"/>
      <c r="FY48" s="132"/>
      <c r="FZ48" s="132"/>
      <c r="GA48" s="132"/>
      <c r="GB48" s="132"/>
      <c r="GC48" s="132"/>
      <c r="GD48" s="132"/>
      <c r="GE48" s="132"/>
      <c r="GF48" s="132"/>
      <c r="GG48" s="132"/>
      <c r="GH48" s="132"/>
      <c r="GI48" s="132"/>
      <c r="GJ48" s="132"/>
      <c r="GK48" s="132"/>
      <c r="GL48" s="132"/>
      <c r="GM48" s="132"/>
      <c r="GN48" s="132"/>
      <c r="GO48" s="132"/>
      <c r="GP48" s="132"/>
      <c r="GQ48" s="132"/>
      <c r="GR48" s="132"/>
      <c r="GS48" s="132"/>
      <c r="GT48" s="132"/>
      <c r="GU48" s="132"/>
      <c r="GV48" s="132"/>
      <c r="GW48" s="132"/>
      <c r="GX48" s="132"/>
      <c r="GY48" s="132"/>
      <c r="GZ48" s="132"/>
      <c r="HA48" s="132"/>
      <c r="HB48" s="132"/>
      <c r="HC48" s="132"/>
      <c r="HD48" s="132"/>
      <c r="HE48" s="132"/>
      <c r="HF48" s="132"/>
      <c r="HG48" s="132"/>
      <c r="HH48" s="132"/>
      <c r="HI48" s="132"/>
      <c r="HJ48" s="132"/>
      <c r="HK48" s="132"/>
      <c r="HL48" s="132"/>
      <c r="HM48" s="132"/>
      <c r="HN48" s="132"/>
      <c r="HO48" s="132"/>
      <c r="HP48" s="132"/>
      <c r="HQ48" s="132"/>
      <c r="HR48" s="132"/>
      <c r="HS48" s="132"/>
      <c r="HT48" s="132"/>
      <c r="HU48" s="132"/>
      <c r="HV48" s="132"/>
      <c r="HW48" s="132"/>
      <c r="HX48" s="132"/>
      <c r="HY48" s="132"/>
      <c r="HZ48" s="132"/>
      <c r="IA48" s="132"/>
      <c r="IB48" s="132"/>
      <c r="IC48" s="132"/>
      <c r="ID48" s="132"/>
      <c r="IE48" s="132"/>
      <c r="IF48" s="132"/>
      <c r="IG48" s="132"/>
      <c r="IH48" s="132"/>
      <c r="II48" s="132"/>
      <c r="IJ48" s="132"/>
      <c r="IK48" s="132"/>
      <c r="IL48" s="132"/>
      <c r="IM48" s="132"/>
      <c r="IN48" s="132"/>
      <c r="IO48" s="132"/>
      <c r="IP48" s="132"/>
      <c r="IQ48" s="132"/>
      <c r="IR48" s="132"/>
      <c r="IS48" s="132"/>
      <c r="IT48" s="132"/>
      <c r="IU48" s="132"/>
      <c r="IV48" s="132"/>
    </row>
    <row r="49" spans="1:256" ht="15">
      <c r="A49" s="1322" t="s">
        <v>493</v>
      </c>
      <c r="B49" s="1322"/>
      <c r="C49" s="1323"/>
      <c r="D49" s="610" t="s">
        <v>467</v>
      </c>
      <c r="E49" s="611" t="s">
        <v>467</v>
      </c>
      <c r="F49" s="612">
        <f>SUM(F45,F30,F19,F8)</f>
        <v>328581327</v>
      </c>
      <c r="G49" s="610" t="s">
        <v>467</v>
      </c>
      <c r="H49" s="613" t="s">
        <v>467</v>
      </c>
      <c r="I49" s="613" t="s">
        <v>467</v>
      </c>
      <c r="J49" s="611" t="s">
        <v>467</v>
      </c>
      <c r="K49" s="612">
        <f>SUM(K45,K30,K19,K8)</f>
        <v>169137643.3333333</v>
      </c>
      <c r="L49" s="614">
        <f>SUM(L45,L30,L19,L8)</f>
        <v>497718970.3333333</v>
      </c>
      <c r="M49" s="33"/>
      <c r="N49" s="34">
        <f>SUM(N45,N30,N19,N8)</f>
        <v>497718970.3333334</v>
      </c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</row>
    <row r="50" spans="1:256" ht="12.75">
      <c r="A50" s="128" t="s">
        <v>479</v>
      </c>
      <c r="B50" s="129" t="s">
        <v>1051</v>
      </c>
      <c r="C50" s="133" t="s">
        <v>1052</v>
      </c>
      <c r="D50" s="595"/>
      <c r="E50" s="596"/>
      <c r="F50" s="581">
        <v>10464000</v>
      </c>
      <c r="G50" s="597"/>
      <c r="H50" s="583"/>
      <c r="I50" s="598"/>
      <c r="J50" s="580"/>
      <c r="K50" s="581"/>
      <c r="L50" s="584">
        <f>SUM(K50+F50)</f>
        <v>10464000</v>
      </c>
      <c r="M50" s="131"/>
      <c r="N50" s="177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32"/>
      <c r="EF50" s="132"/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2"/>
      <c r="ER50" s="132"/>
      <c r="ES50" s="132"/>
      <c r="ET50" s="132"/>
      <c r="EU50" s="132"/>
      <c r="EV50" s="132"/>
      <c r="EW50" s="132"/>
      <c r="EX50" s="132"/>
      <c r="EY50" s="132"/>
      <c r="EZ50" s="132"/>
      <c r="FA50" s="132"/>
      <c r="FB50" s="132"/>
      <c r="FC50" s="132"/>
      <c r="FD50" s="132"/>
      <c r="FE50" s="132"/>
      <c r="FF50" s="132"/>
      <c r="FG50" s="132"/>
      <c r="FH50" s="132"/>
      <c r="FI50" s="132"/>
      <c r="FJ50" s="132"/>
      <c r="FK50" s="132"/>
      <c r="FL50" s="132"/>
      <c r="FM50" s="132"/>
      <c r="FN50" s="132"/>
      <c r="FO50" s="132"/>
      <c r="FP50" s="132"/>
      <c r="FQ50" s="132"/>
      <c r="FR50" s="132"/>
      <c r="FS50" s="132"/>
      <c r="FT50" s="132"/>
      <c r="FU50" s="132"/>
      <c r="FV50" s="132"/>
      <c r="FW50" s="132"/>
      <c r="FX50" s="132"/>
      <c r="FY50" s="132"/>
      <c r="FZ50" s="132"/>
      <c r="GA50" s="132"/>
      <c r="GB50" s="132"/>
      <c r="GC50" s="132"/>
      <c r="GD50" s="132"/>
      <c r="GE50" s="132"/>
      <c r="GF50" s="132"/>
      <c r="GG50" s="132"/>
      <c r="GH50" s="132"/>
      <c r="GI50" s="132"/>
      <c r="GJ50" s="132"/>
      <c r="GK50" s="132"/>
      <c r="GL50" s="132"/>
      <c r="GM50" s="132"/>
      <c r="GN50" s="132"/>
      <c r="GO50" s="132"/>
      <c r="GP50" s="132"/>
      <c r="GQ50" s="132"/>
      <c r="GR50" s="132"/>
      <c r="GS50" s="132"/>
      <c r="GT50" s="132"/>
      <c r="GU50" s="132"/>
      <c r="GV50" s="132"/>
      <c r="GW50" s="132"/>
      <c r="GX50" s="132"/>
      <c r="GY50" s="132"/>
      <c r="GZ50" s="132"/>
      <c r="HA50" s="132"/>
      <c r="HB50" s="132"/>
      <c r="HC50" s="132"/>
      <c r="HD50" s="132"/>
      <c r="HE50" s="132"/>
      <c r="HF50" s="132"/>
      <c r="HG50" s="132"/>
      <c r="HH50" s="132"/>
      <c r="HI50" s="132"/>
      <c r="HJ50" s="132"/>
      <c r="HK50" s="132"/>
      <c r="HL50" s="132"/>
      <c r="HM50" s="132"/>
      <c r="HN50" s="132"/>
      <c r="HO50" s="132"/>
      <c r="HP50" s="132"/>
      <c r="HQ50" s="132"/>
      <c r="HR50" s="132"/>
      <c r="HS50" s="132"/>
      <c r="HT50" s="132"/>
      <c r="HU50" s="132"/>
      <c r="HV50" s="132"/>
      <c r="HW50" s="132"/>
      <c r="HX50" s="132"/>
      <c r="HY50" s="132"/>
      <c r="HZ50" s="132"/>
      <c r="IA50" s="132"/>
      <c r="IB50" s="132"/>
      <c r="IC50" s="132"/>
      <c r="ID50" s="132"/>
      <c r="IE50" s="132"/>
      <c r="IF50" s="132"/>
      <c r="IG50" s="132"/>
      <c r="IH50" s="132"/>
      <c r="II50" s="132"/>
      <c r="IJ50" s="132"/>
      <c r="IK50" s="132"/>
      <c r="IL50" s="132"/>
      <c r="IM50" s="132"/>
      <c r="IN50" s="132"/>
      <c r="IO50" s="132"/>
      <c r="IP50" s="132"/>
      <c r="IQ50" s="132"/>
      <c r="IR50" s="132"/>
      <c r="IS50" s="132"/>
      <c r="IT50" s="132"/>
      <c r="IU50" s="132"/>
      <c r="IV50" s="132"/>
    </row>
    <row r="51" spans="1:256" ht="25.5">
      <c r="A51" s="128" t="s">
        <v>479</v>
      </c>
      <c r="B51" s="129" t="s">
        <v>1082</v>
      </c>
      <c r="C51" s="130" t="s">
        <v>1083</v>
      </c>
      <c r="D51" s="595"/>
      <c r="E51" s="596"/>
      <c r="F51" s="581">
        <v>10858846</v>
      </c>
      <c r="G51" s="597"/>
      <c r="H51" s="583"/>
      <c r="I51" s="598"/>
      <c r="J51" s="580"/>
      <c r="K51" s="581"/>
      <c r="L51" s="584">
        <f>SUM(K51+F51)</f>
        <v>10858846</v>
      </c>
      <c r="M51" s="131"/>
      <c r="N51" s="177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2"/>
      <c r="EF51" s="132"/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2"/>
      <c r="ES51" s="132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  <c r="FF51" s="132"/>
      <c r="FG51" s="132"/>
      <c r="FH51" s="132"/>
      <c r="FI51" s="132"/>
      <c r="FJ51" s="132"/>
      <c r="FK51" s="132"/>
      <c r="FL51" s="132"/>
      <c r="FM51" s="132"/>
      <c r="FN51" s="132"/>
      <c r="FO51" s="132"/>
      <c r="FP51" s="132"/>
      <c r="FQ51" s="132"/>
      <c r="FR51" s="132"/>
      <c r="FS51" s="132"/>
      <c r="FT51" s="132"/>
      <c r="FU51" s="132"/>
      <c r="FV51" s="132"/>
      <c r="FW51" s="132"/>
      <c r="FX51" s="132"/>
      <c r="FY51" s="132"/>
      <c r="FZ51" s="132"/>
      <c r="GA51" s="132"/>
      <c r="GB51" s="132"/>
      <c r="GC51" s="132"/>
      <c r="GD51" s="132"/>
      <c r="GE51" s="132"/>
      <c r="GF51" s="132"/>
      <c r="GG51" s="132"/>
      <c r="GH51" s="132"/>
      <c r="GI51" s="132"/>
      <c r="GJ51" s="132"/>
      <c r="GK51" s="132"/>
      <c r="GL51" s="132"/>
      <c r="GM51" s="132"/>
      <c r="GN51" s="132"/>
      <c r="GO51" s="132"/>
      <c r="GP51" s="132"/>
      <c r="GQ51" s="132"/>
      <c r="GR51" s="132"/>
      <c r="GS51" s="132"/>
      <c r="GT51" s="132"/>
      <c r="GU51" s="132"/>
      <c r="GV51" s="132"/>
      <c r="GW51" s="132"/>
      <c r="GX51" s="132"/>
      <c r="GY51" s="132"/>
      <c r="GZ51" s="132"/>
      <c r="HA51" s="132"/>
      <c r="HB51" s="132"/>
      <c r="HC51" s="132"/>
      <c r="HD51" s="132"/>
      <c r="HE51" s="132"/>
      <c r="HF51" s="132"/>
      <c r="HG51" s="132"/>
      <c r="HH51" s="132"/>
      <c r="HI51" s="132"/>
      <c r="HJ51" s="132"/>
      <c r="HK51" s="132"/>
      <c r="HL51" s="132"/>
      <c r="HM51" s="132"/>
      <c r="HN51" s="132"/>
      <c r="HO51" s="132"/>
      <c r="HP51" s="132"/>
      <c r="HQ51" s="132"/>
      <c r="HR51" s="132"/>
      <c r="HS51" s="132"/>
      <c r="HT51" s="132"/>
      <c r="HU51" s="132"/>
      <c r="HV51" s="132"/>
      <c r="HW51" s="132"/>
      <c r="HX51" s="132"/>
      <c r="HY51" s="132"/>
      <c r="HZ51" s="132"/>
      <c r="IA51" s="132"/>
      <c r="IB51" s="132"/>
      <c r="IC51" s="132"/>
      <c r="ID51" s="132"/>
      <c r="IE51" s="132"/>
      <c r="IF51" s="132"/>
      <c r="IG51" s="132"/>
      <c r="IH51" s="132"/>
      <c r="II51" s="132"/>
      <c r="IJ51" s="132"/>
      <c r="IK51" s="132"/>
      <c r="IL51" s="132"/>
      <c r="IM51" s="132"/>
      <c r="IN51" s="132"/>
      <c r="IO51" s="132"/>
      <c r="IP51" s="132"/>
      <c r="IQ51" s="132"/>
      <c r="IR51" s="132"/>
      <c r="IS51" s="132"/>
      <c r="IT51" s="132"/>
      <c r="IU51" s="132"/>
      <c r="IV51" s="132"/>
    </row>
    <row r="52" spans="1:256" ht="12.75">
      <c r="A52" s="128" t="s">
        <v>478</v>
      </c>
      <c r="B52" s="129" t="s">
        <v>1089</v>
      </c>
      <c r="C52" s="133" t="s">
        <v>1090</v>
      </c>
      <c r="D52" s="595"/>
      <c r="E52" s="596"/>
      <c r="F52" s="581">
        <v>29999998</v>
      </c>
      <c r="G52" s="597"/>
      <c r="H52" s="583"/>
      <c r="I52" s="598"/>
      <c r="J52" s="580"/>
      <c r="K52" s="581"/>
      <c r="L52" s="584">
        <f>SUM(K52+F52)</f>
        <v>29999998</v>
      </c>
      <c r="M52" s="131"/>
      <c r="N52" s="177">
        <f>SUM(L52)</f>
        <v>29999998</v>
      </c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/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2"/>
      <c r="ER52" s="132"/>
      <c r="ES52" s="132"/>
      <c r="ET52" s="132"/>
      <c r="EU52" s="132"/>
      <c r="EV52" s="132"/>
      <c r="EW52" s="132"/>
      <c r="EX52" s="132"/>
      <c r="EY52" s="132"/>
      <c r="EZ52" s="132"/>
      <c r="FA52" s="132"/>
      <c r="FB52" s="132"/>
      <c r="FC52" s="132"/>
      <c r="FD52" s="132"/>
      <c r="FE52" s="132"/>
      <c r="FF52" s="132"/>
      <c r="FG52" s="132"/>
      <c r="FH52" s="132"/>
      <c r="FI52" s="132"/>
      <c r="FJ52" s="132"/>
      <c r="FK52" s="132"/>
      <c r="FL52" s="132"/>
      <c r="FM52" s="132"/>
      <c r="FN52" s="132"/>
      <c r="FO52" s="132"/>
      <c r="FP52" s="132"/>
      <c r="FQ52" s="132"/>
      <c r="FR52" s="132"/>
      <c r="FS52" s="132"/>
      <c r="FT52" s="132"/>
      <c r="FU52" s="132"/>
      <c r="FV52" s="132"/>
      <c r="FW52" s="132"/>
      <c r="FX52" s="132"/>
      <c r="FY52" s="132"/>
      <c r="FZ52" s="132"/>
      <c r="GA52" s="132"/>
      <c r="GB52" s="132"/>
      <c r="GC52" s="132"/>
      <c r="GD52" s="132"/>
      <c r="GE52" s="132"/>
      <c r="GF52" s="132"/>
      <c r="GG52" s="132"/>
      <c r="GH52" s="132"/>
      <c r="GI52" s="132"/>
      <c r="GJ52" s="132"/>
      <c r="GK52" s="132"/>
      <c r="GL52" s="132"/>
      <c r="GM52" s="132"/>
      <c r="GN52" s="132"/>
      <c r="GO52" s="132"/>
      <c r="GP52" s="132"/>
      <c r="GQ52" s="132"/>
      <c r="GR52" s="132"/>
      <c r="GS52" s="132"/>
      <c r="GT52" s="132"/>
      <c r="GU52" s="132"/>
      <c r="GV52" s="132"/>
      <c r="GW52" s="132"/>
      <c r="GX52" s="132"/>
      <c r="GY52" s="132"/>
      <c r="GZ52" s="132"/>
      <c r="HA52" s="132"/>
      <c r="HB52" s="132"/>
      <c r="HC52" s="132"/>
      <c r="HD52" s="132"/>
      <c r="HE52" s="132"/>
      <c r="HF52" s="132"/>
      <c r="HG52" s="132"/>
      <c r="HH52" s="132"/>
      <c r="HI52" s="132"/>
      <c r="HJ52" s="132"/>
      <c r="HK52" s="132"/>
      <c r="HL52" s="132"/>
      <c r="HM52" s="132"/>
      <c r="HN52" s="132"/>
      <c r="HO52" s="132"/>
      <c r="HP52" s="132"/>
      <c r="HQ52" s="132"/>
      <c r="HR52" s="132"/>
      <c r="HS52" s="132"/>
      <c r="HT52" s="132"/>
      <c r="HU52" s="132"/>
      <c r="HV52" s="132"/>
      <c r="HW52" s="132"/>
      <c r="HX52" s="132"/>
      <c r="HY52" s="132"/>
      <c r="HZ52" s="132"/>
      <c r="IA52" s="132"/>
      <c r="IB52" s="132"/>
      <c r="IC52" s="132"/>
      <c r="ID52" s="132"/>
      <c r="IE52" s="132"/>
      <c r="IF52" s="132"/>
      <c r="IG52" s="132"/>
      <c r="IH52" s="132"/>
      <c r="II52" s="132"/>
      <c r="IJ52" s="132"/>
      <c r="IK52" s="132"/>
      <c r="IL52" s="132"/>
      <c r="IM52" s="132"/>
      <c r="IN52" s="132"/>
      <c r="IO52" s="132"/>
      <c r="IP52" s="132"/>
      <c r="IQ52" s="132"/>
      <c r="IR52" s="132"/>
      <c r="IS52" s="132"/>
      <c r="IT52" s="132"/>
      <c r="IU52" s="132"/>
      <c r="IV52" s="132"/>
    </row>
    <row r="53" spans="1:256" ht="15">
      <c r="A53" s="1322" t="s">
        <v>1050</v>
      </c>
      <c r="B53" s="1322"/>
      <c r="C53" s="1323"/>
      <c r="D53" s="610" t="s">
        <v>467</v>
      </c>
      <c r="E53" s="611" t="s">
        <v>467</v>
      </c>
      <c r="F53" s="612">
        <f>SUM(F50:F52)</f>
        <v>51322844</v>
      </c>
      <c r="G53" s="610" t="s">
        <v>467</v>
      </c>
      <c r="H53" s="613" t="s">
        <v>467</v>
      </c>
      <c r="I53" s="613" t="s">
        <v>467</v>
      </c>
      <c r="J53" s="611" t="s">
        <v>467</v>
      </c>
      <c r="K53" s="612"/>
      <c r="L53" s="614">
        <f>SUM(L50:L52)</f>
        <v>51322844</v>
      </c>
      <c r="M53" s="33"/>
      <c r="N53" s="34">
        <f>SUM(L50:L52)</f>
        <v>51322844</v>
      </c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</row>
    <row r="54" spans="1:256" ht="16.5">
      <c r="A54" s="1324" t="s">
        <v>120</v>
      </c>
      <c r="B54" s="1324"/>
      <c r="C54" s="1325"/>
      <c r="D54" s="615" t="s">
        <v>467</v>
      </c>
      <c r="E54" s="616" t="s">
        <v>467</v>
      </c>
      <c r="F54" s="617">
        <f>SUM(F49+F53)</f>
        <v>379904171</v>
      </c>
      <c r="G54" s="615" t="s">
        <v>467</v>
      </c>
      <c r="H54" s="618" t="s">
        <v>467</v>
      </c>
      <c r="I54" s="618" t="s">
        <v>467</v>
      </c>
      <c r="J54" s="616" t="s">
        <v>467</v>
      </c>
      <c r="K54" s="617">
        <f>SUM(K49+K53)</f>
        <v>169137643.3333333</v>
      </c>
      <c r="L54" s="617">
        <f>SUM(L49+L53)</f>
        <v>549041814.3333333</v>
      </c>
      <c r="M54" s="33"/>
      <c r="N54" s="34">
        <f>SUM(N49+N53)</f>
        <v>549041814.3333334</v>
      </c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</row>
  </sheetData>
  <sheetProtection/>
  <mergeCells count="11">
    <mergeCell ref="A53:C53"/>
    <mergeCell ref="A49:C49"/>
    <mergeCell ref="A54:C54"/>
    <mergeCell ref="L5:L6"/>
    <mergeCell ref="A6:B6"/>
    <mergeCell ref="A7:B7"/>
    <mergeCell ref="A2:K2"/>
    <mergeCell ref="A3:K3"/>
    <mergeCell ref="A5:C5"/>
    <mergeCell ref="D5:F5"/>
    <mergeCell ref="G5:K5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L213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4.625" style="684" customWidth="1"/>
    <col min="2" max="2" width="39.625" style="187" customWidth="1"/>
    <col min="3" max="3" width="15.00390625" style="187" customWidth="1"/>
    <col min="4" max="4" width="11.125" style="187" bestFit="1" customWidth="1"/>
    <col min="5" max="5" width="11.875" style="187" customWidth="1"/>
    <col min="6" max="6" width="11.75390625" style="187" customWidth="1"/>
    <col min="7" max="8" width="11.25390625" style="187" customWidth="1"/>
    <col min="9" max="9" width="11.75390625" style="187" customWidth="1"/>
    <col min="10" max="11" width="15.375" style="187" customWidth="1"/>
    <col min="12" max="12" width="16.625" style="187" customWidth="1"/>
  </cols>
  <sheetData>
    <row r="1" spans="2:12" ht="15">
      <c r="B1" s="1353" t="s">
        <v>1163</v>
      </c>
      <c r="C1" s="1353"/>
      <c r="D1" s="1353"/>
      <c r="E1" s="1353"/>
      <c r="F1" s="1353"/>
      <c r="G1" s="1353"/>
      <c r="H1" s="1353"/>
      <c r="I1" s="1353"/>
      <c r="J1" s="1353"/>
      <c r="K1" s="1353"/>
      <c r="L1" s="1353"/>
    </row>
    <row r="4" spans="2:12" ht="41.25" customHeight="1">
      <c r="B4" s="1354" t="s">
        <v>956</v>
      </c>
      <c r="C4" s="1354"/>
      <c r="D4" s="1354"/>
      <c r="E4" s="1354"/>
      <c r="F4" s="1354"/>
      <c r="G4" s="1354"/>
      <c r="H4" s="1354"/>
      <c r="I4" s="1354"/>
      <c r="J4" s="1354"/>
      <c r="K4" s="1354"/>
      <c r="L4" s="1354"/>
    </row>
    <row r="7" ht="13.5" thickBot="1"/>
    <row r="8" spans="1:12" ht="12.75" customHeight="1">
      <c r="A8" s="1355" t="s">
        <v>446</v>
      </c>
      <c r="B8" s="1358" t="s">
        <v>367</v>
      </c>
      <c r="C8" s="1361" t="s">
        <v>820</v>
      </c>
      <c r="D8" s="1362"/>
      <c r="E8" s="1362"/>
      <c r="F8" s="1362"/>
      <c r="G8" s="1362"/>
      <c r="H8" s="1363"/>
      <c r="I8" s="1363"/>
      <c r="J8" s="1364" t="s">
        <v>970</v>
      </c>
      <c r="K8" s="1364" t="s">
        <v>971</v>
      </c>
      <c r="L8" s="1364" t="s">
        <v>972</v>
      </c>
    </row>
    <row r="9" spans="1:12" ht="12.75">
      <c r="A9" s="1356"/>
      <c r="B9" s="1359"/>
      <c r="C9" s="1367" t="s">
        <v>435</v>
      </c>
      <c r="D9" s="1368" t="s">
        <v>821</v>
      </c>
      <c r="E9" s="1369"/>
      <c r="F9" s="1369"/>
      <c r="G9" s="1369"/>
      <c r="H9" s="1370"/>
      <c r="I9" s="1370"/>
      <c r="J9" s="1365"/>
      <c r="K9" s="1365"/>
      <c r="L9" s="1365"/>
    </row>
    <row r="10" spans="1:12" ht="42" customHeight="1">
      <c r="A10" s="1357"/>
      <c r="B10" s="1360"/>
      <c r="C10" s="1367"/>
      <c r="D10" s="686" t="s">
        <v>454</v>
      </c>
      <c r="E10" s="686" t="s">
        <v>455</v>
      </c>
      <c r="F10" s="686" t="s">
        <v>456</v>
      </c>
      <c r="G10" s="686" t="s">
        <v>457</v>
      </c>
      <c r="H10" s="687" t="s">
        <v>458</v>
      </c>
      <c r="I10" s="687" t="s">
        <v>459</v>
      </c>
      <c r="J10" s="1366"/>
      <c r="K10" s="1366"/>
      <c r="L10" s="1366"/>
    </row>
    <row r="11" spans="1:12" ht="13.5" thickBot="1">
      <c r="A11" s="685" t="s">
        <v>440</v>
      </c>
      <c r="B11" s="688" t="s">
        <v>441</v>
      </c>
      <c r="C11" s="689" t="s">
        <v>442</v>
      </c>
      <c r="D11" s="690" t="s">
        <v>443</v>
      </c>
      <c r="E11" s="691" t="s">
        <v>444</v>
      </c>
      <c r="F11" s="691" t="s">
        <v>445</v>
      </c>
      <c r="G11" s="691" t="s">
        <v>447</v>
      </c>
      <c r="H11" s="691" t="s">
        <v>448</v>
      </c>
      <c r="I11" s="691" t="s">
        <v>398</v>
      </c>
      <c r="J11" s="692" t="s">
        <v>399</v>
      </c>
      <c r="K11" s="692" t="s">
        <v>399</v>
      </c>
      <c r="L11" s="693" t="s">
        <v>400</v>
      </c>
    </row>
    <row r="12" spans="1:12" ht="19.5" thickBot="1" thickTop="1">
      <c r="A12" s="824">
        <v>1</v>
      </c>
      <c r="B12" s="1372" t="s">
        <v>87</v>
      </c>
      <c r="C12" s="1373"/>
      <c r="D12" s="1373"/>
      <c r="E12" s="1373"/>
      <c r="F12" s="1373"/>
      <c r="G12" s="1373"/>
      <c r="H12" s="1373"/>
      <c r="I12" s="1373"/>
      <c r="J12" s="1373"/>
      <c r="K12" s="1373"/>
      <c r="L12" s="1374"/>
    </row>
    <row r="13" spans="1:12" ht="16.5" thickBot="1" thickTop="1">
      <c r="A13" s="825">
        <v>2</v>
      </c>
      <c r="B13" s="1350" t="s">
        <v>957</v>
      </c>
      <c r="C13" s="1351"/>
      <c r="D13" s="1351"/>
      <c r="E13" s="1351"/>
      <c r="F13" s="1351"/>
      <c r="G13" s="1351"/>
      <c r="H13" s="1351"/>
      <c r="I13" s="1351"/>
      <c r="J13" s="1352"/>
      <c r="K13" s="1352"/>
      <c r="L13" s="826"/>
    </row>
    <row r="14" spans="1:12" ht="12.75">
      <c r="A14" s="694">
        <v>3</v>
      </c>
      <c r="B14" s="697" t="s">
        <v>822</v>
      </c>
      <c r="C14" s="698">
        <f>SUM(I14+G14+F14+E14+D14)</f>
        <v>0</v>
      </c>
      <c r="D14" s="699">
        <v>0</v>
      </c>
      <c r="E14" s="699">
        <v>0</v>
      </c>
      <c r="F14" s="699">
        <v>0</v>
      </c>
      <c r="G14" s="700"/>
      <c r="H14" s="700"/>
      <c r="I14" s="700"/>
      <c r="J14" s="701">
        <v>0</v>
      </c>
      <c r="K14" s="701">
        <v>0</v>
      </c>
      <c r="L14" s="1347"/>
    </row>
    <row r="15" spans="1:12" ht="13.5" thickBot="1">
      <c r="A15" s="696">
        <v>4</v>
      </c>
      <c r="B15" s="702" t="s">
        <v>823</v>
      </c>
      <c r="C15" s="703">
        <v>7000000</v>
      </c>
      <c r="D15" s="704">
        <v>7000000</v>
      </c>
      <c r="E15" s="705">
        <v>0</v>
      </c>
      <c r="F15" s="705">
        <v>0</v>
      </c>
      <c r="G15" s="706"/>
      <c r="H15" s="706"/>
      <c r="I15" s="706"/>
      <c r="J15" s="707">
        <v>257950</v>
      </c>
      <c r="K15" s="707">
        <v>0</v>
      </c>
      <c r="L15" s="1348"/>
    </row>
    <row r="16" spans="1:12" ht="13.5" thickBot="1">
      <c r="A16" s="696">
        <v>5</v>
      </c>
      <c r="B16" s="708" t="s">
        <v>824</v>
      </c>
      <c r="C16" s="709">
        <f>SUM(I16+G16+F16+E16+D16)</f>
        <v>7000000</v>
      </c>
      <c r="D16" s="710">
        <f>SUM(D14+D15)</f>
        <v>7000000</v>
      </c>
      <c r="E16" s="710">
        <f>SUM(E14+E15)</f>
        <v>0</v>
      </c>
      <c r="F16" s="710">
        <f>SUM(F14+F15)</f>
        <v>0</v>
      </c>
      <c r="G16" s="711"/>
      <c r="H16" s="712"/>
      <c r="I16" s="713"/>
      <c r="J16" s="714">
        <f>SUM(J14+J15)</f>
        <v>257950</v>
      </c>
      <c r="K16" s="714">
        <f>SUM(K14+K15)</f>
        <v>0</v>
      </c>
      <c r="L16" s="1349"/>
    </row>
    <row r="17" spans="1:12" ht="13.5" thickBot="1">
      <c r="A17" s="696"/>
      <c r="B17" s="1375"/>
      <c r="C17" s="1376"/>
      <c r="D17" s="1377"/>
      <c r="E17" s="1377"/>
      <c r="F17" s="1377"/>
      <c r="G17" s="1377"/>
      <c r="H17" s="1377"/>
      <c r="I17" s="1377"/>
      <c r="J17" s="1378"/>
      <c r="K17" s="1379"/>
      <c r="L17" s="695"/>
    </row>
    <row r="18" spans="1:12" ht="12.75">
      <c r="A18" s="715">
        <v>6</v>
      </c>
      <c r="B18" s="716" t="s">
        <v>825</v>
      </c>
      <c r="C18" s="717">
        <v>3150000</v>
      </c>
      <c r="D18" s="699">
        <v>3150000</v>
      </c>
      <c r="E18" s="718">
        <v>0</v>
      </c>
      <c r="F18" s="718">
        <v>0</v>
      </c>
      <c r="G18" s="700"/>
      <c r="H18" s="700"/>
      <c r="I18" s="700"/>
      <c r="J18" s="1347"/>
      <c r="K18" s="1347"/>
      <c r="L18" s="701">
        <v>0</v>
      </c>
    </row>
    <row r="19" spans="1:12" ht="13.5" thickBot="1">
      <c r="A19" s="715">
        <v>7</v>
      </c>
      <c r="B19" s="719" t="s">
        <v>826</v>
      </c>
      <c r="C19" s="720">
        <v>3850000</v>
      </c>
      <c r="D19" s="704">
        <f>3850000-257950</f>
        <v>3592050</v>
      </c>
      <c r="E19" s="704">
        <v>0</v>
      </c>
      <c r="F19" s="704">
        <v>257950</v>
      </c>
      <c r="G19" s="706"/>
      <c r="H19" s="706"/>
      <c r="I19" s="706"/>
      <c r="J19" s="1348"/>
      <c r="K19" s="1348"/>
      <c r="L19" s="707">
        <v>257950</v>
      </c>
    </row>
    <row r="20" spans="1:12" ht="13.5" thickBot="1">
      <c r="A20" s="721">
        <v>8</v>
      </c>
      <c r="B20" s="722" t="s">
        <v>376</v>
      </c>
      <c r="C20" s="723">
        <f>SUM(C18:C19)</f>
        <v>7000000</v>
      </c>
      <c r="D20" s="724">
        <f>SUM(D18:D19)</f>
        <v>6742050</v>
      </c>
      <c r="E20" s="724">
        <f>SUM(E18:E19)</f>
        <v>0</v>
      </c>
      <c r="F20" s="724">
        <f>SUM(F18:F19)</f>
        <v>257950</v>
      </c>
      <c r="G20" s="711"/>
      <c r="H20" s="712"/>
      <c r="I20" s="713"/>
      <c r="J20" s="1349"/>
      <c r="K20" s="1349"/>
      <c r="L20" s="725">
        <f>SUM(L18:L19)</f>
        <v>257950</v>
      </c>
    </row>
    <row r="21" spans="1:12" ht="14.25" thickBot="1" thickTop="1">
      <c r="A21" s="726"/>
      <c r="B21" s="1341"/>
      <c r="C21" s="1342"/>
      <c r="D21" s="1342"/>
      <c r="E21" s="1342"/>
      <c r="F21" s="1342"/>
      <c r="G21" s="1342"/>
      <c r="H21" s="1342"/>
      <c r="I21" s="1342"/>
      <c r="J21" s="1342"/>
      <c r="K21" s="1342"/>
      <c r="L21" s="1343"/>
    </row>
    <row r="22" spans="1:12" ht="30" customHeight="1" thickBot="1" thickTop="1">
      <c r="A22" s="825">
        <v>9</v>
      </c>
      <c r="B22" s="1380" t="s">
        <v>958</v>
      </c>
      <c r="C22" s="1381"/>
      <c r="D22" s="1381"/>
      <c r="E22" s="1381"/>
      <c r="F22" s="1381"/>
      <c r="G22" s="1381"/>
      <c r="H22" s="1381"/>
      <c r="I22" s="1381"/>
      <c r="J22" s="1382"/>
      <c r="K22" s="1382"/>
      <c r="L22" s="827"/>
    </row>
    <row r="23" spans="1:12" ht="12.75">
      <c r="A23" s="694">
        <v>10</v>
      </c>
      <c r="B23" s="697" t="s">
        <v>827</v>
      </c>
      <c r="C23" s="727">
        <v>0</v>
      </c>
      <c r="D23" s="728">
        <v>0</v>
      </c>
      <c r="E23" s="728">
        <v>0</v>
      </c>
      <c r="F23" s="728">
        <v>0</v>
      </c>
      <c r="G23" s="728">
        <v>0</v>
      </c>
      <c r="H23" s="728">
        <v>0</v>
      </c>
      <c r="I23" s="728">
        <v>0</v>
      </c>
      <c r="J23" s="701">
        <v>0</v>
      </c>
      <c r="K23" s="701">
        <v>0</v>
      </c>
      <c r="L23" s="1347"/>
    </row>
    <row r="24" spans="1:12" ht="13.5" thickBot="1">
      <c r="A24" s="729">
        <v>11</v>
      </c>
      <c r="B24" s="702" t="s">
        <v>823</v>
      </c>
      <c r="C24" s="730">
        <f>SUM(D24:I24)</f>
        <v>250634800</v>
      </c>
      <c r="D24" s="731">
        <v>0</v>
      </c>
      <c r="E24" s="705">
        <v>59135000</v>
      </c>
      <c r="F24" s="705">
        <v>52411853</v>
      </c>
      <c r="G24" s="705">
        <v>46362649</v>
      </c>
      <c r="H24" s="705">
        <v>46362649</v>
      </c>
      <c r="I24" s="705">
        <v>46362649</v>
      </c>
      <c r="J24" s="707">
        <f>5816143+11411381</f>
        <v>17227524</v>
      </c>
      <c r="K24" s="707">
        <v>52411853</v>
      </c>
      <c r="L24" s="1348"/>
    </row>
    <row r="25" spans="1:12" ht="13.5" thickBot="1">
      <c r="A25" s="696">
        <v>12</v>
      </c>
      <c r="B25" s="708" t="s">
        <v>824</v>
      </c>
      <c r="C25" s="709">
        <f aca="true" t="shared" si="0" ref="C25:K25">SUM(C23:C24)</f>
        <v>250634800</v>
      </c>
      <c r="D25" s="710">
        <f t="shared" si="0"/>
        <v>0</v>
      </c>
      <c r="E25" s="710">
        <f t="shared" si="0"/>
        <v>59135000</v>
      </c>
      <c r="F25" s="710">
        <f t="shared" si="0"/>
        <v>52411853</v>
      </c>
      <c r="G25" s="710">
        <f t="shared" si="0"/>
        <v>46362649</v>
      </c>
      <c r="H25" s="710">
        <f t="shared" si="0"/>
        <v>46362649</v>
      </c>
      <c r="I25" s="710">
        <f t="shared" si="0"/>
        <v>46362649</v>
      </c>
      <c r="J25" s="714">
        <f>SUM(J23:J24)</f>
        <v>17227524</v>
      </c>
      <c r="K25" s="714">
        <f t="shared" si="0"/>
        <v>52411853</v>
      </c>
      <c r="L25" s="1349"/>
    </row>
    <row r="26" spans="1:12" ht="13.5" thickBot="1">
      <c r="A26" s="696"/>
      <c r="B26" s="1344"/>
      <c r="C26" s="1345"/>
      <c r="D26" s="1345"/>
      <c r="E26" s="1345"/>
      <c r="F26" s="1345"/>
      <c r="G26" s="1345"/>
      <c r="H26" s="1345"/>
      <c r="I26" s="1345"/>
      <c r="J26" s="1345"/>
      <c r="K26" s="1346"/>
      <c r="L26" s="695"/>
    </row>
    <row r="27" spans="1:12" ht="12.75">
      <c r="A27" s="732">
        <v>13</v>
      </c>
      <c r="B27" s="920" t="s">
        <v>828</v>
      </c>
      <c r="C27" s="717">
        <f>SUM(D27:I27)</f>
        <v>146331566</v>
      </c>
      <c r="D27" s="850">
        <v>2681560</v>
      </c>
      <c r="E27" s="974">
        <v>20997974</v>
      </c>
      <c r="F27" s="974">
        <f>41039699-403910</f>
        <v>40635789</v>
      </c>
      <c r="G27" s="974">
        <v>27338748</v>
      </c>
      <c r="H27" s="974">
        <v>27338748</v>
      </c>
      <c r="I27" s="975">
        <v>27338747</v>
      </c>
      <c r="J27" s="1347"/>
      <c r="K27" s="1347"/>
      <c r="L27" s="701">
        <f>41039699-403910</f>
        <v>40635789</v>
      </c>
    </row>
    <row r="28" spans="1:12" s="938" customFormat="1" ht="25.5">
      <c r="A28" s="943">
        <v>14</v>
      </c>
      <c r="B28" s="970" t="s">
        <v>976</v>
      </c>
      <c r="C28" s="954">
        <f>SUM(D28:I28)</f>
        <v>403910</v>
      </c>
      <c r="D28" s="945">
        <v>0</v>
      </c>
      <c r="E28" s="944">
        <v>0</v>
      </c>
      <c r="F28" s="945">
        <v>403910</v>
      </c>
      <c r="G28" s="945">
        <v>0</v>
      </c>
      <c r="H28" s="945">
        <v>0</v>
      </c>
      <c r="I28" s="945">
        <v>0</v>
      </c>
      <c r="J28" s="1348"/>
      <c r="K28" s="1348"/>
      <c r="L28" s="946">
        <v>403910</v>
      </c>
    </row>
    <row r="29" spans="1:12" ht="12.75">
      <c r="A29" s="715">
        <v>15</v>
      </c>
      <c r="B29" s="835" t="s">
        <v>826</v>
      </c>
      <c r="C29" s="720">
        <f>SUM(D29:I29)</f>
        <v>88344324</v>
      </c>
      <c r="D29" s="870">
        <v>0</v>
      </c>
      <c r="E29" s="870">
        <v>14084323</v>
      </c>
      <c r="F29" s="870">
        <v>17188297</v>
      </c>
      <c r="G29" s="870">
        <v>19023901</v>
      </c>
      <c r="H29" s="870">
        <v>19023901</v>
      </c>
      <c r="I29" s="870">
        <v>19023902</v>
      </c>
      <c r="J29" s="1348"/>
      <c r="K29" s="1348"/>
      <c r="L29" s="707">
        <v>17188297</v>
      </c>
    </row>
    <row r="30" spans="1:12" ht="13.5" thickBot="1">
      <c r="A30" s="715">
        <v>16</v>
      </c>
      <c r="B30" s="716" t="s">
        <v>825</v>
      </c>
      <c r="C30" s="745">
        <f>SUM(D30:I30)</f>
        <v>15555000</v>
      </c>
      <c r="D30" s="871">
        <v>0</v>
      </c>
      <c r="E30" s="871">
        <f>2893619+1250000</f>
        <v>4143619</v>
      </c>
      <c r="F30" s="871">
        <v>11411381</v>
      </c>
      <c r="G30" s="871">
        <v>0</v>
      </c>
      <c r="H30" s="871">
        <v>0</v>
      </c>
      <c r="I30" s="871">
        <v>0</v>
      </c>
      <c r="J30" s="1348"/>
      <c r="K30" s="1348"/>
      <c r="L30" s="828">
        <v>11411381</v>
      </c>
    </row>
    <row r="31" spans="1:12" ht="13.5" thickBot="1">
      <c r="A31" s="734">
        <v>17</v>
      </c>
      <c r="B31" s="735" t="s">
        <v>376</v>
      </c>
      <c r="C31" s="723">
        <f aca="true" t="shared" si="1" ref="C31:I31">SUM(C27:C30)</f>
        <v>250634800</v>
      </c>
      <c r="D31" s="736">
        <f t="shared" si="1"/>
        <v>2681560</v>
      </c>
      <c r="E31" s="736">
        <f t="shared" si="1"/>
        <v>39225916</v>
      </c>
      <c r="F31" s="736">
        <f t="shared" si="1"/>
        <v>69639377</v>
      </c>
      <c r="G31" s="736">
        <f t="shared" si="1"/>
        <v>46362649</v>
      </c>
      <c r="H31" s="736">
        <f t="shared" si="1"/>
        <v>46362649</v>
      </c>
      <c r="I31" s="736">
        <f t="shared" si="1"/>
        <v>46362649</v>
      </c>
      <c r="J31" s="1371"/>
      <c r="K31" s="1371"/>
      <c r="L31" s="725">
        <f>SUM(L27:L30)</f>
        <v>69639377</v>
      </c>
    </row>
    <row r="32" spans="1:12" ht="14.25" thickBot="1" thickTop="1">
      <c r="A32" s="829"/>
      <c r="B32" s="1341"/>
      <c r="C32" s="1342"/>
      <c r="D32" s="1342"/>
      <c r="E32" s="1342"/>
      <c r="F32" s="1342"/>
      <c r="G32" s="1342"/>
      <c r="H32" s="1342"/>
      <c r="I32" s="1342"/>
      <c r="J32" s="1342"/>
      <c r="K32" s="1342"/>
      <c r="L32" s="1343"/>
    </row>
    <row r="33" spans="1:12" ht="16.5" thickBot="1" thickTop="1">
      <c r="A33" s="825">
        <v>18</v>
      </c>
      <c r="B33" s="1350" t="s">
        <v>829</v>
      </c>
      <c r="C33" s="1351"/>
      <c r="D33" s="1351"/>
      <c r="E33" s="1351"/>
      <c r="F33" s="1351"/>
      <c r="G33" s="1351"/>
      <c r="H33" s="1351"/>
      <c r="I33" s="1351"/>
      <c r="J33" s="1352"/>
      <c r="K33" s="1352"/>
      <c r="L33" s="827"/>
    </row>
    <row r="34" spans="1:12" ht="12.75">
      <c r="A34" s="694">
        <v>19</v>
      </c>
      <c r="B34" s="752" t="s">
        <v>827</v>
      </c>
      <c r="C34" s="720">
        <f>SUM(D34:F34)</f>
        <v>22542700</v>
      </c>
      <c r="D34" s="738">
        <v>0</v>
      </c>
      <c r="E34" s="738">
        <v>151044</v>
      </c>
      <c r="F34" s="738">
        <v>22391656</v>
      </c>
      <c r="G34" s="739"/>
      <c r="H34" s="739"/>
      <c r="I34" s="739"/>
      <c r="J34" s="701"/>
      <c r="K34" s="701">
        <v>22391656</v>
      </c>
      <c r="L34" s="1347"/>
    </row>
    <row r="35" spans="1:12" ht="13.5" thickBot="1">
      <c r="A35" s="696">
        <v>20</v>
      </c>
      <c r="B35" s="702" t="s">
        <v>823</v>
      </c>
      <c r="C35" s="720">
        <f>SUM(D35:F35)</f>
        <v>242560000</v>
      </c>
      <c r="D35" s="731">
        <v>242560000</v>
      </c>
      <c r="E35" s="705">
        <v>0</v>
      </c>
      <c r="F35" s="705">
        <v>0</v>
      </c>
      <c r="G35" s="740"/>
      <c r="H35" s="740"/>
      <c r="I35" s="741"/>
      <c r="J35" s="707">
        <v>230043575</v>
      </c>
      <c r="K35" s="707">
        <v>0</v>
      </c>
      <c r="L35" s="1348"/>
    </row>
    <row r="36" spans="1:12" ht="13.5" thickBot="1">
      <c r="A36" s="696">
        <v>21</v>
      </c>
      <c r="B36" s="708" t="s">
        <v>824</v>
      </c>
      <c r="C36" s="709">
        <f aca="true" t="shared" si="2" ref="C36:K36">SUM(C34:C35)</f>
        <v>265102700</v>
      </c>
      <c r="D36" s="710">
        <f t="shared" si="2"/>
        <v>242560000</v>
      </c>
      <c r="E36" s="710">
        <f t="shared" si="2"/>
        <v>151044</v>
      </c>
      <c r="F36" s="710">
        <f t="shared" si="2"/>
        <v>22391656</v>
      </c>
      <c r="G36" s="746"/>
      <c r="H36" s="746"/>
      <c r="I36" s="747"/>
      <c r="J36" s="714">
        <f>SUM(J34:J35)</f>
        <v>230043575</v>
      </c>
      <c r="K36" s="714">
        <f t="shared" si="2"/>
        <v>22391656</v>
      </c>
      <c r="L36" s="1349"/>
    </row>
    <row r="37" spans="1:12" ht="13.5" thickBot="1">
      <c r="A37" s="696"/>
      <c r="B37" s="1344"/>
      <c r="C37" s="1345"/>
      <c r="D37" s="1345"/>
      <c r="E37" s="1345"/>
      <c r="F37" s="1345"/>
      <c r="G37" s="1345"/>
      <c r="H37" s="1345"/>
      <c r="I37" s="1345"/>
      <c r="J37" s="1345"/>
      <c r="K37" s="1346"/>
      <c r="L37" s="695"/>
    </row>
    <row r="38" spans="1:12" ht="12.75">
      <c r="A38" s="715">
        <v>22</v>
      </c>
      <c r="B38" s="733" t="s">
        <v>825</v>
      </c>
      <c r="C38" s="842">
        <f>SUM(D38:F38)</f>
        <v>242560000</v>
      </c>
      <c r="D38" s="699">
        <v>392025</v>
      </c>
      <c r="E38" s="699">
        <v>12124400</v>
      </c>
      <c r="F38" s="699">
        <v>230043575</v>
      </c>
      <c r="G38" s="739"/>
      <c r="H38" s="739"/>
      <c r="I38" s="739"/>
      <c r="J38" s="1347"/>
      <c r="K38" s="1347"/>
      <c r="L38" s="701">
        <f>230043575-23410448</f>
        <v>206633127</v>
      </c>
    </row>
    <row r="39" spans="1:12" ht="12.75">
      <c r="A39" s="715">
        <v>23</v>
      </c>
      <c r="B39" s="742" t="s">
        <v>830</v>
      </c>
      <c r="C39" s="933">
        <f>SUM(D39:F39)</f>
        <v>22542700</v>
      </c>
      <c r="D39" s="743">
        <v>0</v>
      </c>
      <c r="E39" s="743">
        <v>151044</v>
      </c>
      <c r="F39" s="743">
        <v>22391656</v>
      </c>
      <c r="G39" s="931"/>
      <c r="H39" s="931"/>
      <c r="I39" s="932"/>
      <c r="J39" s="1348"/>
      <c r="K39" s="1348"/>
      <c r="L39" s="707">
        <v>22391656</v>
      </c>
    </row>
    <row r="40" spans="1:12" ht="13.5" thickBot="1">
      <c r="A40" s="715">
        <v>24</v>
      </c>
      <c r="B40" s="835" t="s">
        <v>1087</v>
      </c>
      <c r="C40" s="745">
        <f>SUM(D40:I40)</f>
        <v>0</v>
      </c>
      <c r="D40" s="927">
        <v>0</v>
      </c>
      <c r="E40" s="927">
        <v>0</v>
      </c>
      <c r="F40" s="927">
        <v>0</v>
      </c>
      <c r="G40" s="740"/>
      <c r="H40" s="740"/>
      <c r="I40" s="741"/>
      <c r="J40" s="1348"/>
      <c r="K40" s="1348"/>
      <c r="L40" s="828">
        <v>23410448</v>
      </c>
    </row>
    <row r="41" spans="1:12" ht="13.5" thickBot="1">
      <c r="A41" s="734">
        <v>25</v>
      </c>
      <c r="B41" s="735" t="s">
        <v>376</v>
      </c>
      <c r="C41" s="723">
        <f>SUM(C38:C39)</f>
        <v>265102700</v>
      </c>
      <c r="D41" s="736">
        <f>SUM(D38:D39)</f>
        <v>392025</v>
      </c>
      <c r="E41" s="736">
        <f>SUM(E38:E39)</f>
        <v>12275444</v>
      </c>
      <c r="F41" s="736">
        <f>SUM(F38:F39)</f>
        <v>252435231</v>
      </c>
      <c r="G41" s="700"/>
      <c r="H41" s="700"/>
      <c r="I41" s="700"/>
      <c r="J41" s="1371"/>
      <c r="K41" s="1371"/>
      <c r="L41" s="725">
        <f>SUM(L38:L40)</f>
        <v>252435231</v>
      </c>
    </row>
    <row r="42" spans="1:12" ht="14.25" thickBot="1" thickTop="1">
      <c r="A42" s="829"/>
      <c r="B42" s="1341"/>
      <c r="C42" s="1342"/>
      <c r="D42" s="1342"/>
      <c r="E42" s="1342"/>
      <c r="F42" s="1342"/>
      <c r="G42" s="1342"/>
      <c r="H42" s="1342"/>
      <c r="I42" s="1342"/>
      <c r="J42" s="1342"/>
      <c r="K42" s="1342"/>
      <c r="L42" s="1343"/>
    </row>
    <row r="43" spans="1:12" ht="16.5" thickBot="1" thickTop="1">
      <c r="A43" s="825">
        <v>26</v>
      </c>
      <c r="B43" s="1350" t="s">
        <v>974</v>
      </c>
      <c r="C43" s="1351"/>
      <c r="D43" s="1351"/>
      <c r="E43" s="1351"/>
      <c r="F43" s="1351"/>
      <c r="G43" s="1351"/>
      <c r="H43" s="1351"/>
      <c r="I43" s="1351"/>
      <c r="J43" s="1352"/>
      <c r="K43" s="1352"/>
      <c r="L43" s="827"/>
    </row>
    <row r="44" spans="1:12" ht="12.75">
      <c r="A44" s="694">
        <v>27</v>
      </c>
      <c r="B44" s="744" t="s">
        <v>827</v>
      </c>
      <c r="C44" s="717">
        <v>3350900</v>
      </c>
      <c r="D44" s="738">
        <v>2500000</v>
      </c>
      <c r="E44" s="738">
        <v>850900</v>
      </c>
      <c r="F44" s="738">
        <v>0</v>
      </c>
      <c r="G44" s="739"/>
      <c r="H44" s="739"/>
      <c r="I44" s="739"/>
      <c r="J44" s="707">
        <v>0</v>
      </c>
      <c r="K44" s="707">
        <v>0</v>
      </c>
      <c r="L44" s="1347"/>
    </row>
    <row r="45" spans="1:12" ht="13.5" thickBot="1">
      <c r="A45" s="696">
        <v>28</v>
      </c>
      <c r="B45" s="702" t="s">
        <v>823</v>
      </c>
      <c r="C45" s="745">
        <v>19779919</v>
      </c>
      <c r="D45" s="731">
        <v>9889959</v>
      </c>
      <c r="E45" s="731">
        <v>0</v>
      </c>
      <c r="F45" s="731">
        <v>9889960</v>
      </c>
      <c r="G45" s="740"/>
      <c r="H45" s="740"/>
      <c r="I45" s="741"/>
      <c r="J45" s="707">
        <v>0</v>
      </c>
      <c r="K45" s="707">
        <v>9889960</v>
      </c>
      <c r="L45" s="1348"/>
    </row>
    <row r="46" spans="1:12" ht="13.5" thickBot="1">
      <c r="A46" s="696">
        <v>29</v>
      </c>
      <c r="B46" s="708" t="s">
        <v>824</v>
      </c>
      <c r="C46" s="709">
        <f>SUM(C44:C45)</f>
        <v>23130819</v>
      </c>
      <c r="D46" s="710">
        <f>SUM(D44:D45)</f>
        <v>12389959</v>
      </c>
      <c r="E46" s="710">
        <f>SUM(E44:E45)</f>
        <v>850900</v>
      </c>
      <c r="F46" s="710">
        <f>SUM(F44:F45)</f>
        <v>9889960</v>
      </c>
      <c r="G46" s="746"/>
      <c r="H46" s="746"/>
      <c r="I46" s="747"/>
      <c r="J46" s="714">
        <f>SUM(J44+J45)</f>
        <v>0</v>
      </c>
      <c r="K46" s="714">
        <f>SUM(K44+K45)</f>
        <v>9889960</v>
      </c>
      <c r="L46" s="1349"/>
    </row>
    <row r="47" spans="1:12" ht="13.5" thickBot="1">
      <c r="A47" s="696"/>
      <c r="B47" s="1344"/>
      <c r="C47" s="1345"/>
      <c r="D47" s="1345"/>
      <c r="E47" s="1345"/>
      <c r="F47" s="1345"/>
      <c r="G47" s="1345"/>
      <c r="H47" s="1345"/>
      <c r="I47" s="1345"/>
      <c r="J47" s="1345"/>
      <c r="K47" s="1346"/>
      <c r="L47" s="695"/>
    </row>
    <row r="48" spans="1:12" ht="12.75">
      <c r="A48" s="715">
        <v>30</v>
      </c>
      <c r="B48" s="733" t="s">
        <v>831</v>
      </c>
      <c r="C48" s="717">
        <v>20820975</v>
      </c>
      <c r="D48" s="738">
        <v>0</v>
      </c>
      <c r="E48" s="738">
        <v>14245643</v>
      </c>
      <c r="F48" s="738">
        <v>6575332</v>
      </c>
      <c r="G48" s="739"/>
      <c r="H48" s="739"/>
      <c r="I48" s="739"/>
      <c r="J48" s="1347"/>
      <c r="K48" s="1347"/>
      <c r="L48" s="701">
        <v>6575332</v>
      </c>
    </row>
    <row r="49" spans="1:12" ht="13.5" thickBot="1">
      <c r="A49" s="715">
        <v>31</v>
      </c>
      <c r="B49" s="742" t="s">
        <v>832</v>
      </c>
      <c r="C49" s="720">
        <v>2309844</v>
      </c>
      <c r="D49" s="731">
        <v>1250000</v>
      </c>
      <c r="E49" s="731">
        <v>1059844</v>
      </c>
      <c r="F49" s="731">
        <v>0</v>
      </c>
      <c r="G49" s="740"/>
      <c r="H49" s="740"/>
      <c r="I49" s="741"/>
      <c r="J49" s="1348"/>
      <c r="K49" s="1348"/>
      <c r="L49" s="707">
        <v>0</v>
      </c>
    </row>
    <row r="50" spans="1:12" ht="13.5" thickBot="1">
      <c r="A50" s="734">
        <v>32</v>
      </c>
      <c r="B50" s="735" t="s">
        <v>376</v>
      </c>
      <c r="C50" s="723">
        <f>SUM(C48:C49)</f>
        <v>23130819</v>
      </c>
      <c r="D50" s="736">
        <f>SUM(D48:D49)</f>
        <v>1250000</v>
      </c>
      <c r="E50" s="736">
        <f>SUM(E48:E49)</f>
        <v>15305487</v>
      </c>
      <c r="F50" s="736">
        <f>SUM(F48:F49)</f>
        <v>6575332</v>
      </c>
      <c r="G50" s="748"/>
      <c r="H50" s="748"/>
      <c r="I50" s="749"/>
      <c r="J50" s="1349"/>
      <c r="K50" s="1349"/>
      <c r="L50" s="725">
        <f>SUM(L47:L49)</f>
        <v>6575332</v>
      </c>
    </row>
    <row r="51" spans="1:12" ht="14.25" thickBot="1" thickTop="1">
      <c r="A51" s="829"/>
      <c r="B51" s="1341"/>
      <c r="C51" s="1342"/>
      <c r="D51" s="1342"/>
      <c r="E51" s="1342"/>
      <c r="F51" s="1342"/>
      <c r="G51" s="1342"/>
      <c r="H51" s="1342"/>
      <c r="I51" s="1342"/>
      <c r="J51" s="1342"/>
      <c r="K51" s="1342"/>
      <c r="L51" s="1343"/>
    </row>
    <row r="52" spans="1:12" ht="16.5" thickBot="1" thickTop="1">
      <c r="A52" s="825">
        <v>33</v>
      </c>
      <c r="B52" s="1350" t="s">
        <v>1086</v>
      </c>
      <c r="C52" s="1351"/>
      <c r="D52" s="1351"/>
      <c r="E52" s="1351"/>
      <c r="F52" s="1351"/>
      <c r="G52" s="1351"/>
      <c r="H52" s="1351"/>
      <c r="I52" s="1351"/>
      <c r="J52" s="1352"/>
      <c r="K52" s="1352"/>
      <c r="L52" s="827"/>
    </row>
    <row r="53" spans="1:12" ht="12.75">
      <c r="A53" s="694">
        <v>34</v>
      </c>
      <c r="B53" s="744" t="s">
        <v>827</v>
      </c>
      <c r="C53" s="717">
        <v>78901</v>
      </c>
      <c r="D53" s="739"/>
      <c r="E53" s="739"/>
      <c r="F53" s="738">
        <v>78901</v>
      </c>
      <c r="G53" s="739"/>
      <c r="H53" s="739"/>
      <c r="I53" s="739"/>
      <c r="J53" s="707">
        <v>0</v>
      </c>
      <c r="K53" s="707">
        <v>78901</v>
      </c>
      <c r="L53" s="1347"/>
    </row>
    <row r="54" spans="1:12" ht="13.5" thickBot="1">
      <c r="A54" s="696">
        <v>35</v>
      </c>
      <c r="B54" s="702" t="s">
        <v>823</v>
      </c>
      <c r="C54" s="745">
        <v>1499099</v>
      </c>
      <c r="D54" s="740"/>
      <c r="E54" s="740"/>
      <c r="F54" s="731">
        <v>1499099</v>
      </c>
      <c r="G54" s="740"/>
      <c r="H54" s="740"/>
      <c r="I54" s="741"/>
      <c r="J54" s="707">
        <v>0</v>
      </c>
      <c r="K54" s="707">
        <v>1499099</v>
      </c>
      <c r="L54" s="1348"/>
    </row>
    <row r="55" spans="1:12" ht="13.5" thickBot="1">
      <c r="A55" s="696">
        <v>36</v>
      </c>
      <c r="B55" s="708" t="s">
        <v>824</v>
      </c>
      <c r="C55" s="709">
        <f>SUM(C53:C54)</f>
        <v>1578000</v>
      </c>
      <c r="D55" s="746"/>
      <c r="E55" s="746"/>
      <c r="F55" s="710">
        <f>SUM(F53:F54)</f>
        <v>1578000</v>
      </c>
      <c r="G55" s="746"/>
      <c r="H55" s="746"/>
      <c r="I55" s="747"/>
      <c r="J55" s="714">
        <f>SUM(J53+J54)</f>
        <v>0</v>
      </c>
      <c r="K55" s="714">
        <f>SUM(K53+K54)</f>
        <v>1578000</v>
      </c>
      <c r="L55" s="1349"/>
    </row>
    <row r="56" spans="1:12" ht="13.5" thickBot="1">
      <c r="A56" s="696"/>
      <c r="B56" s="1344"/>
      <c r="C56" s="1345"/>
      <c r="D56" s="1345"/>
      <c r="E56" s="1345"/>
      <c r="F56" s="1345"/>
      <c r="G56" s="1345"/>
      <c r="H56" s="1345"/>
      <c r="I56" s="1345"/>
      <c r="J56" s="1345"/>
      <c r="K56" s="1346"/>
      <c r="L56" s="695"/>
    </row>
    <row r="57" spans="1:12" ht="12.75">
      <c r="A57" s="715">
        <v>37</v>
      </c>
      <c r="B57" s="733" t="s">
        <v>825</v>
      </c>
      <c r="C57" s="717">
        <v>1578000</v>
      </c>
      <c r="D57" s="739"/>
      <c r="E57" s="739"/>
      <c r="F57" s="738">
        <v>1578000</v>
      </c>
      <c r="G57" s="739"/>
      <c r="H57" s="739"/>
      <c r="I57" s="739"/>
      <c r="J57" s="1347"/>
      <c r="K57" s="1347"/>
      <c r="L57" s="701">
        <v>1578000</v>
      </c>
    </row>
    <row r="58" spans="1:12" ht="13.5" thickBot="1">
      <c r="A58" s="715">
        <v>38</v>
      </c>
      <c r="B58" s="742" t="s">
        <v>830</v>
      </c>
      <c r="C58" s="720">
        <v>0</v>
      </c>
      <c r="D58" s="740"/>
      <c r="E58" s="740"/>
      <c r="F58" s="731">
        <v>0</v>
      </c>
      <c r="G58" s="740"/>
      <c r="H58" s="740"/>
      <c r="I58" s="741"/>
      <c r="J58" s="1348"/>
      <c r="K58" s="1348"/>
      <c r="L58" s="707">
        <v>0</v>
      </c>
    </row>
    <row r="59" spans="1:12" ht="13.5" thickBot="1">
      <c r="A59" s="734">
        <v>39</v>
      </c>
      <c r="B59" s="735" t="s">
        <v>376</v>
      </c>
      <c r="C59" s="723">
        <f>SUM(C57:C58)</f>
        <v>1578000</v>
      </c>
      <c r="D59" s="748"/>
      <c r="E59" s="748"/>
      <c r="F59" s="736">
        <f>SUM(F57:F58)</f>
        <v>1578000</v>
      </c>
      <c r="G59" s="748"/>
      <c r="H59" s="748"/>
      <c r="I59" s="749"/>
      <c r="J59" s="1349"/>
      <c r="K59" s="1349"/>
      <c r="L59" s="725">
        <f>SUM(L56:L58)</f>
        <v>1578000</v>
      </c>
    </row>
    <row r="60" spans="1:12" ht="14.25" thickBot="1" thickTop="1">
      <c r="A60" s="829"/>
      <c r="B60" s="1341"/>
      <c r="C60" s="1342"/>
      <c r="D60" s="1342"/>
      <c r="E60" s="1342"/>
      <c r="F60" s="1342"/>
      <c r="G60" s="1342"/>
      <c r="H60" s="1342"/>
      <c r="I60" s="1342"/>
      <c r="J60" s="1342"/>
      <c r="K60" s="1342"/>
      <c r="L60" s="1343"/>
    </row>
    <row r="61" spans="1:12" ht="16.5" thickBot="1" thickTop="1">
      <c r="A61" s="825">
        <v>40</v>
      </c>
      <c r="B61" s="1350" t="s">
        <v>973</v>
      </c>
      <c r="C61" s="1351"/>
      <c r="D61" s="1351"/>
      <c r="E61" s="1351"/>
      <c r="F61" s="1351"/>
      <c r="G61" s="1351"/>
      <c r="H61" s="1351"/>
      <c r="I61" s="1351"/>
      <c r="J61" s="1352"/>
      <c r="K61" s="1352"/>
      <c r="L61" s="827"/>
    </row>
    <row r="62" spans="1:12" ht="12.75">
      <c r="A62" s="694">
        <v>41</v>
      </c>
      <c r="B62" s="744" t="s">
        <v>827</v>
      </c>
      <c r="C62" s="717">
        <v>10986749</v>
      </c>
      <c r="D62" s="738">
        <v>0</v>
      </c>
      <c r="E62" s="738">
        <v>10986749</v>
      </c>
      <c r="F62" s="738">
        <v>0</v>
      </c>
      <c r="G62" s="700"/>
      <c r="H62" s="700"/>
      <c r="I62" s="967"/>
      <c r="J62" s="707">
        <v>0</v>
      </c>
      <c r="K62" s="707">
        <v>0</v>
      </c>
      <c r="L62" s="1347"/>
    </row>
    <row r="63" spans="1:12" s="938" customFormat="1" ht="25.5">
      <c r="A63" s="948">
        <v>42</v>
      </c>
      <c r="B63" s="949" t="s">
        <v>1006</v>
      </c>
      <c r="C63" s="950">
        <v>1000000</v>
      </c>
      <c r="D63" s="945">
        <v>0</v>
      </c>
      <c r="E63" s="945">
        <v>0</v>
      </c>
      <c r="F63" s="945">
        <v>1000000</v>
      </c>
      <c r="G63" s="951"/>
      <c r="H63" s="951"/>
      <c r="I63" s="952"/>
      <c r="J63" s="953">
        <v>0</v>
      </c>
      <c r="K63" s="953">
        <v>0</v>
      </c>
      <c r="L63" s="1348"/>
    </row>
    <row r="64" spans="1:12" ht="13.5" thickBot="1">
      <c r="A64" s="696">
        <v>43</v>
      </c>
      <c r="B64" s="702" t="s">
        <v>823</v>
      </c>
      <c r="C64" s="745">
        <v>19999984</v>
      </c>
      <c r="D64" s="731">
        <v>0</v>
      </c>
      <c r="E64" s="731">
        <v>9999992</v>
      </c>
      <c r="F64" s="731">
        <v>9999992</v>
      </c>
      <c r="G64" s="740"/>
      <c r="H64" s="740"/>
      <c r="I64" s="741"/>
      <c r="J64" s="707">
        <v>0</v>
      </c>
      <c r="K64" s="707">
        <v>9999992</v>
      </c>
      <c r="L64" s="1348"/>
    </row>
    <row r="65" spans="1:12" ht="13.5" thickBot="1">
      <c r="A65" s="696">
        <v>44</v>
      </c>
      <c r="B65" s="708" t="s">
        <v>824</v>
      </c>
      <c r="C65" s="709">
        <f>SUM(C62:C64)</f>
        <v>31986733</v>
      </c>
      <c r="D65" s="710">
        <f>SUM(D62:D64)</f>
        <v>0</v>
      </c>
      <c r="E65" s="710">
        <f>SUM(E62:E64)</f>
        <v>20986741</v>
      </c>
      <c r="F65" s="710">
        <f>SUM(F62:F64)</f>
        <v>10999992</v>
      </c>
      <c r="G65" s="746"/>
      <c r="H65" s="746"/>
      <c r="I65" s="747"/>
      <c r="J65" s="714">
        <f>SUM(J62+J64)</f>
        <v>0</v>
      </c>
      <c r="K65" s="714">
        <f>SUM(K62+K64)</f>
        <v>9999992</v>
      </c>
      <c r="L65" s="1349"/>
    </row>
    <row r="66" spans="1:12" ht="13.5" thickBot="1">
      <c r="A66" s="696"/>
      <c r="B66" s="1344"/>
      <c r="C66" s="1345"/>
      <c r="D66" s="1345"/>
      <c r="E66" s="1345"/>
      <c r="F66" s="1345"/>
      <c r="G66" s="1345"/>
      <c r="H66" s="1345"/>
      <c r="I66" s="1345"/>
      <c r="J66" s="1345"/>
      <c r="K66" s="1346"/>
      <c r="L66" s="695"/>
    </row>
    <row r="67" spans="1:12" ht="12.75">
      <c r="A67" s="715">
        <v>45</v>
      </c>
      <c r="B67" s="733" t="s">
        <v>825</v>
      </c>
      <c r="C67" s="717">
        <v>21052620</v>
      </c>
      <c r="D67" s="738">
        <v>0</v>
      </c>
      <c r="E67" s="738">
        <v>21052620</v>
      </c>
      <c r="F67" s="738">
        <v>0</v>
      </c>
      <c r="G67" s="739"/>
      <c r="H67" s="739"/>
      <c r="I67" s="739"/>
      <c r="J67" s="1347"/>
      <c r="K67" s="1347"/>
      <c r="L67" s="701">
        <v>0</v>
      </c>
    </row>
    <row r="68" spans="1:12" ht="13.5" thickBot="1">
      <c r="A68" s="715">
        <v>46</v>
      </c>
      <c r="B68" s="742" t="s">
        <v>830</v>
      </c>
      <c r="C68" s="720">
        <f>9934113+1000000</f>
        <v>10934113</v>
      </c>
      <c r="D68" s="731">
        <v>0</v>
      </c>
      <c r="E68" s="731">
        <v>3533565</v>
      </c>
      <c r="F68" s="731">
        <f>6400548+1000000</f>
        <v>7400548</v>
      </c>
      <c r="G68" s="740"/>
      <c r="H68" s="740"/>
      <c r="I68" s="741"/>
      <c r="J68" s="1348"/>
      <c r="K68" s="1348"/>
      <c r="L68" s="707">
        <f>6400548+1000000</f>
        <v>7400548</v>
      </c>
    </row>
    <row r="69" spans="1:12" ht="13.5" thickBot="1">
      <c r="A69" s="734">
        <v>47</v>
      </c>
      <c r="B69" s="735" t="s">
        <v>376</v>
      </c>
      <c r="C69" s="723">
        <f>SUM(C67:C68)</f>
        <v>31986733</v>
      </c>
      <c r="D69" s="736">
        <f>SUM(D67:D68)</f>
        <v>0</v>
      </c>
      <c r="E69" s="736">
        <f>SUM(E67:E68)</f>
        <v>24586185</v>
      </c>
      <c r="F69" s="736">
        <f>SUM(F67:F68)</f>
        <v>7400548</v>
      </c>
      <c r="G69" s="748"/>
      <c r="H69" s="748"/>
      <c r="I69" s="749"/>
      <c r="J69" s="1349"/>
      <c r="K69" s="1349"/>
      <c r="L69" s="725">
        <f>SUM(L66:L68)</f>
        <v>7400548</v>
      </c>
    </row>
    <row r="70" spans="1:12" ht="14.25" thickBot="1" thickTop="1">
      <c r="A70" s="829"/>
      <c r="B70" s="1341"/>
      <c r="C70" s="1342"/>
      <c r="D70" s="1342"/>
      <c r="E70" s="1342"/>
      <c r="F70" s="1342"/>
      <c r="G70" s="1342"/>
      <c r="H70" s="1342"/>
      <c r="I70" s="1342"/>
      <c r="J70" s="1342"/>
      <c r="K70" s="1342"/>
      <c r="L70" s="1343"/>
    </row>
    <row r="71" spans="1:12" ht="16.5" thickBot="1" thickTop="1">
      <c r="A71" s="825">
        <v>48</v>
      </c>
      <c r="B71" s="1350" t="s">
        <v>975</v>
      </c>
      <c r="C71" s="1351"/>
      <c r="D71" s="1351"/>
      <c r="E71" s="1351"/>
      <c r="F71" s="1351"/>
      <c r="G71" s="1351"/>
      <c r="H71" s="1351"/>
      <c r="I71" s="1351"/>
      <c r="J71" s="1352"/>
      <c r="K71" s="1352"/>
      <c r="L71" s="827"/>
    </row>
    <row r="72" spans="1:12" ht="12.75">
      <c r="A72" s="694">
        <v>49</v>
      </c>
      <c r="B72" s="744" t="s">
        <v>827</v>
      </c>
      <c r="C72" s="717">
        <v>396853</v>
      </c>
      <c r="D72" s="738">
        <v>8868</v>
      </c>
      <c r="E72" s="738">
        <v>387985</v>
      </c>
      <c r="F72" s="738">
        <v>0</v>
      </c>
      <c r="G72" s="739"/>
      <c r="H72" s="739"/>
      <c r="I72" s="739"/>
      <c r="J72" s="707">
        <v>0</v>
      </c>
      <c r="K72" s="707">
        <v>0</v>
      </c>
      <c r="L72" s="1347"/>
    </row>
    <row r="73" spans="1:12" ht="13.5" thickBot="1">
      <c r="A73" s="696">
        <v>50</v>
      </c>
      <c r="B73" s="702" t="s">
        <v>823</v>
      </c>
      <c r="C73" s="745">
        <v>9980698</v>
      </c>
      <c r="D73" s="731">
        <v>0</v>
      </c>
      <c r="E73" s="731">
        <v>4990349</v>
      </c>
      <c r="F73" s="731">
        <v>4990349</v>
      </c>
      <c r="G73" s="740"/>
      <c r="H73" s="740"/>
      <c r="I73" s="741"/>
      <c r="J73" s="707">
        <v>0</v>
      </c>
      <c r="K73" s="707">
        <v>4990349</v>
      </c>
      <c r="L73" s="1348"/>
    </row>
    <row r="74" spans="1:12" ht="13.5" thickBot="1">
      <c r="A74" s="696">
        <v>51</v>
      </c>
      <c r="B74" s="708" t="s">
        <v>824</v>
      </c>
      <c r="C74" s="709">
        <f>SUM(C72:C73)</f>
        <v>10377551</v>
      </c>
      <c r="D74" s="710">
        <f>SUM(D72:D73)</f>
        <v>8868</v>
      </c>
      <c r="E74" s="710">
        <f>SUM(E72:E73)</f>
        <v>5378334</v>
      </c>
      <c r="F74" s="710">
        <f>SUM(F72:F73)</f>
        <v>4990349</v>
      </c>
      <c r="G74" s="746"/>
      <c r="H74" s="746"/>
      <c r="I74" s="747"/>
      <c r="J74" s="714">
        <f>SUM(J72+J73)</f>
        <v>0</v>
      </c>
      <c r="K74" s="714">
        <f>SUM(K72+K73)</f>
        <v>4990349</v>
      </c>
      <c r="L74" s="1349"/>
    </row>
    <row r="75" spans="1:12" ht="13.5" thickBot="1">
      <c r="A75" s="696"/>
      <c r="B75" s="1344"/>
      <c r="C75" s="1345"/>
      <c r="D75" s="1345"/>
      <c r="E75" s="1345"/>
      <c r="F75" s="1345"/>
      <c r="G75" s="1345"/>
      <c r="H75" s="1345"/>
      <c r="I75" s="1345"/>
      <c r="J75" s="1345"/>
      <c r="K75" s="1346"/>
      <c r="L75" s="695"/>
    </row>
    <row r="76" spans="1:12" ht="12.75">
      <c r="A76" s="715">
        <v>52</v>
      </c>
      <c r="B76" s="733" t="s">
        <v>825</v>
      </c>
      <c r="C76" s="717">
        <v>9989566</v>
      </c>
      <c r="D76" s="738">
        <v>0</v>
      </c>
      <c r="E76" s="738">
        <f>9989566-516434</f>
        <v>9473132</v>
      </c>
      <c r="F76" s="738">
        <v>0</v>
      </c>
      <c r="G76" s="739"/>
      <c r="H76" s="739"/>
      <c r="I76" s="739"/>
      <c r="J76" s="1347"/>
      <c r="K76" s="1347"/>
      <c r="L76" s="701">
        <v>0</v>
      </c>
    </row>
    <row r="77" spans="1:12" ht="12.75">
      <c r="A77" s="715">
        <v>53</v>
      </c>
      <c r="B77" s="742" t="s">
        <v>830</v>
      </c>
      <c r="C77" s="720">
        <v>387985</v>
      </c>
      <c r="D77" s="731">
        <v>0</v>
      </c>
      <c r="E77" s="731">
        <v>387985</v>
      </c>
      <c r="F77" s="731">
        <v>0</v>
      </c>
      <c r="G77" s="706"/>
      <c r="H77" s="706"/>
      <c r="I77" s="925"/>
      <c r="J77" s="1348"/>
      <c r="K77" s="1348"/>
      <c r="L77" s="707">
        <v>0</v>
      </c>
    </row>
    <row r="78" spans="1:12" ht="13.5" thickBot="1">
      <c r="A78" s="715">
        <v>54</v>
      </c>
      <c r="B78" s="838" t="s">
        <v>826</v>
      </c>
      <c r="C78" s="922">
        <v>0</v>
      </c>
      <c r="D78" s="704">
        <v>0</v>
      </c>
      <c r="E78" s="923">
        <v>516434</v>
      </c>
      <c r="F78" s="923">
        <v>0</v>
      </c>
      <c r="G78" s="876"/>
      <c r="H78" s="876"/>
      <c r="I78" s="924"/>
      <c r="J78" s="1348"/>
      <c r="K78" s="1348"/>
      <c r="L78" s="828">
        <v>516434</v>
      </c>
    </row>
    <row r="79" spans="1:12" ht="13.5" thickBot="1">
      <c r="A79" s="734">
        <v>55</v>
      </c>
      <c r="B79" s="735" t="s">
        <v>376</v>
      </c>
      <c r="C79" s="723">
        <f>SUM(C76:C78)</f>
        <v>10377551</v>
      </c>
      <c r="D79" s="736">
        <f>SUM(D76:D78)</f>
        <v>0</v>
      </c>
      <c r="E79" s="736">
        <f>SUM(E76:E78)</f>
        <v>10377551</v>
      </c>
      <c r="F79" s="736">
        <f>SUM(F76:F78)</f>
        <v>0</v>
      </c>
      <c r="G79" s="748"/>
      <c r="H79" s="748"/>
      <c r="I79" s="749"/>
      <c r="J79" s="1349"/>
      <c r="K79" s="1349"/>
      <c r="L79" s="725">
        <f>SUM(L75:L78)</f>
        <v>516434</v>
      </c>
    </row>
    <row r="80" spans="1:12" ht="14.25" thickBot="1" thickTop="1">
      <c r="A80" s="726"/>
      <c r="B80" s="1341"/>
      <c r="C80" s="1342"/>
      <c r="D80" s="1342"/>
      <c r="E80" s="1342"/>
      <c r="F80" s="1342"/>
      <c r="G80" s="1342"/>
      <c r="H80" s="1342"/>
      <c r="I80" s="1342"/>
      <c r="J80" s="1342"/>
      <c r="K80" s="1342"/>
      <c r="L80" s="1343"/>
    </row>
    <row r="81" spans="1:12" ht="16.5" thickBot="1" thickTop="1">
      <c r="A81" s="825">
        <v>56</v>
      </c>
      <c r="B81" s="1380" t="s">
        <v>959</v>
      </c>
      <c r="C81" s="1381"/>
      <c r="D81" s="1381"/>
      <c r="E81" s="1381"/>
      <c r="F81" s="1381"/>
      <c r="G81" s="1381"/>
      <c r="H81" s="1381"/>
      <c r="I81" s="1381"/>
      <c r="J81" s="1382"/>
      <c r="K81" s="1382"/>
      <c r="L81" s="827"/>
    </row>
    <row r="82" spans="1:12" ht="12.75">
      <c r="A82" s="694">
        <v>57</v>
      </c>
      <c r="B82" s="697" t="s">
        <v>827</v>
      </c>
      <c r="C82" s="727">
        <v>0</v>
      </c>
      <c r="D82" s="830"/>
      <c r="E82" s="728">
        <v>0</v>
      </c>
      <c r="F82" s="728">
        <v>0</v>
      </c>
      <c r="G82" s="728">
        <v>0</v>
      </c>
      <c r="H82" s="830"/>
      <c r="I82" s="830"/>
      <c r="J82" s="701">
        <v>0</v>
      </c>
      <c r="K82" s="701">
        <v>0</v>
      </c>
      <c r="L82" s="1347"/>
    </row>
    <row r="83" spans="1:12" ht="13.5" thickBot="1">
      <c r="A83" s="729">
        <v>58</v>
      </c>
      <c r="B83" s="702" t="s">
        <v>823</v>
      </c>
      <c r="C83" s="730">
        <v>202321812</v>
      </c>
      <c r="D83" s="831"/>
      <c r="E83" s="705">
        <f>104483115+10976885</f>
        <v>115460000</v>
      </c>
      <c r="F83" s="705">
        <v>75330433</v>
      </c>
      <c r="G83" s="705">
        <v>11531379</v>
      </c>
      <c r="H83" s="831"/>
      <c r="I83" s="831"/>
      <c r="J83" s="707">
        <f>79738385+8508586</f>
        <v>88246971</v>
      </c>
      <c r="K83" s="707">
        <v>0</v>
      </c>
      <c r="L83" s="1348"/>
    </row>
    <row r="84" spans="1:12" ht="13.5" thickBot="1">
      <c r="A84" s="696">
        <v>59</v>
      </c>
      <c r="B84" s="708" t="s">
        <v>824</v>
      </c>
      <c r="C84" s="709">
        <f aca="true" t="shared" si="3" ref="C84:K84">SUM(C82:C83)</f>
        <v>202321812</v>
      </c>
      <c r="D84" s="711"/>
      <c r="E84" s="710">
        <f t="shared" si="3"/>
        <v>115460000</v>
      </c>
      <c r="F84" s="710">
        <f t="shared" si="3"/>
        <v>75330433</v>
      </c>
      <c r="G84" s="710">
        <f t="shared" si="3"/>
        <v>11531379</v>
      </c>
      <c r="H84" s="711"/>
      <c r="I84" s="711"/>
      <c r="J84" s="714">
        <f>SUM(J82:J83)</f>
        <v>88246971</v>
      </c>
      <c r="K84" s="714">
        <f t="shared" si="3"/>
        <v>0</v>
      </c>
      <c r="L84" s="1349"/>
    </row>
    <row r="85" spans="1:12" ht="13.5" thickBot="1">
      <c r="A85" s="696"/>
      <c r="B85" s="1344"/>
      <c r="C85" s="1345"/>
      <c r="D85" s="1345"/>
      <c r="E85" s="1345"/>
      <c r="F85" s="1345"/>
      <c r="G85" s="1345"/>
      <c r="H85" s="1345"/>
      <c r="I85" s="1345"/>
      <c r="J85" s="1345"/>
      <c r="K85" s="1346"/>
      <c r="L85" s="695"/>
    </row>
    <row r="86" spans="1:12" ht="12.75">
      <c r="A86" s="732">
        <v>60</v>
      </c>
      <c r="B86" s="733" t="s">
        <v>828</v>
      </c>
      <c r="C86" s="1390">
        <v>89908666</v>
      </c>
      <c r="D86" s="832"/>
      <c r="E86" s="699">
        <f>8545743+1</f>
        <v>8545744</v>
      </c>
      <c r="F86" s="738">
        <v>63219192</v>
      </c>
      <c r="G86" s="738">
        <v>9109530</v>
      </c>
      <c r="H86" s="832"/>
      <c r="I86" s="832"/>
      <c r="J86" s="1347"/>
      <c r="K86" s="1347"/>
      <c r="L86" s="701">
        <f>17304194+24000000+4680000</f>
        <v>45984194</v>
      </c>
    </row>
    <row r="87" spans="1:12" s="938" customFormat="1" ht="27" customHeight="1">
      <c r="A87" s="943">
        <v>61</v>
      </c>
      <c r="B87" s="947" t="s">
        <v>977</v>
      </c>
      <c r="C87" s="1391"/>
      <c r="D87" s="868"/>
      <c r="E87" s="944">
        <v>860400</v>
      </c>
      <c r="F87" s="945">
        <v>6883200</v>
      </c>
      <c r="G87" s="945">
        <v>1290600</v>
      </c>
      <c r="H87" s="868"/>
      <c r="I87" s="868"/>
      <c r="J87" s="1348"/>
      <c r="K87" s="1348"/>
      <c r="L87" s="946">
        <v>6883200</v>
      </c>
    </row>
    <row r="88" spans="1:12" ht="12.75">
      <c r="A88" s="715">
        <v>62</v>
      </c>
      <c r="B88" s="719" t="s">
        <v>826</v>
      </c>
      <c r="C88" s="833">
        <v>88083888</v>
      </c>
      <c r="D88" s="834"/>
      <c r="E88" s="705">
        <v>4803780</v>
      </c>
      <c r="F88" s="731">
        <v>82148859</v>
      </c>
      <c r="G88" s="731">
        <v>1131249</v>
      </c>
      <c r="H88" s="834"/>
      <c r="I88" s="834"/>
      <c r="J88" s="1348"/>
      <c r="K88" s="1348"/>
      <c r="L88" s="707">
        <f>58739847-28680000</f>
        <v>30059847</v>
      </c>
    </row>
    <row r="89" spans="1:12" ht="12.75">
      <c r="A89" s="715">
        <v>63</v>
      </c>
      <c r="B89" s="835" t="s">
        <v>825</v>
      </c>
      <c r="C89" s="836">
        <v>17800696</v>
      </c>
      <c r="D89" s="837"/>
      <c r="E89" s="705">
        <v>13003105</v>
      </c>
      <c r="F89" s="731">
        <v>4797591</v>
      </c>
      <c r="G89" s="731">
        <v>0</v>
      </c>
      <c r="H89" s="837"/>
      <c r="I89" s="837"/>
      <c r="J89" s="1348"/>
      <c r="K89" s="1348"/>
      <c r="L89" s="707">
        <v>4797591</v>
      </c>
    </row>
    <row r="90" spans="1:12" ht="13.5" thickBot="1">
      <c r="A90" s="715">
        <v>64</v>
      </c>
      <c r="B90" s="838" t="s">
        <v>831</v>
      </c>
      <c r="C90" s="833">
        <v>6528562</v>
      </c>
      <c r="D90" s="839"/>
      <c r="E90" s="704">
        <v>0</v>
      </c>
      <c r="F90" s="840">
        <v>6528562</v>
      </c>
      <c r="G90" s="840">
        <v>0</v>
      </c>
      <c r="H90" s="839"/>
      <c r="I90" s="839"/>
      <c r="J90" s="1348"/>
      <c r="K90" s="1348"/>
      <c r="L90" s="841">
        <v>522139</v>
      </c>
    </row>
    <row r="91" spans="1:12" ht="13.5" thickBot="1">
      <c r="A91" s="734">
        <v>65</v>
      </c>
      <c r="B91" s="735" t="s">
        <v>376</v>
      </c>
      <c r="C91" s="723">
        <f>SUM(C86:C90)</f>
        <v>202321812</v>
      </c>
      <c r="D91" s="748"/>
      <c r="E91" s="736">
        <f>SUM(E86:E90)</f>
        <v>27213029</v>
      </c>
      <c r="F91" s="736">
        <f>SUM(F86:F90)</f>
        <v>163577404</v>
      </c>
      <c r="G91" s="736">
        <f>SUM(G86:G90)</f>
        <v>11531379</v>
      </c>
      <c r="H91" s="748"/>
      <c r="I91" s="748"/>
      <c r="J91" s="1371"/>
      <c r="K91" s="1371"/>
      <c r="L91" s="725">
        <f>SUM(L86:L90)</f>
        <v>88246971</v>
      </c>
    </row>
    <row r="92" spans="1:12" ht="14.25" thickBot="1" thickTop="1">
      <c r="A92" s="726"/>
      <c r="B92" s="1341"/>
      <c r="C92" s="1342"/>
      <c r="D92" s="1342"/>
      <c r="E92" s="1342"/>
      <c r="F92" s="1342"/>
      <c r="G92" s="1342"/>
      <c r="H92" s="1342"/>
      <c r="I92" s="1342"/>
      <c r="J92" s="1342"/>
      <c r="K92" s="1342"/>
      <c r="L92" s="1343"/>
    </row>
    <row r="93" spans="1:12" ht="16.5" thickBot="1" thickTop="1">
      <c r="A93" s="825">
        <v>66</v>
      </c>
      <c r="B93" s="1380" t="s">
        <v>960</v>
      </c>
      <c r="C93" s="1381"/>
      <c r="D93" s="1381"/>
      <c r="E93" s="1381"/>
      <c r="F93" s="1381"/>
      <c r="G93" s="1381"/>
      <c r="H93" s="1381"/>
      <c r="I93" s="1381"/>
      <c r="J93" s="1382"/>
      <c r="K93" s="1382"/>
      <c r="L93" s="827"/>
    </row>
    <row r="94" spans="1:12" ht="12.75">
      <c r="A94" s="694">
        <v>67</v>
      </c>
      <c r="B94" s="697" t="s">
        <v>827</v>
      </c>
      <c r="C94" s="727">
        <v>0</v>
      </c>
      <c r="D94" s="830"/>
      <c r="E94" s="728">
        <v>0</v>
      </c>
      <c r="F94" s="728">
        <v>0</v>
      </c>
      <c r="G94" s="728">
        <v>0</v>
      </c>
      <c r="H94" s="728"/>
      <c r="I94" s="830"/>
      <c r="J94" s="701">
        <v>0</v>
      </c>
      <c r="K94" s="701">
        <v>0</v>
      </c>
      <c r="L94" s="1347"/>
    </row>
    <row r="95" spans="1:12" ht="13.5" thickBot="1">
      <c r="A95" s="729">
        <v>68</v>
      </c>
      <c r="B95" s="702" t="s">
        <v>823</v>
      </c>
      <c r="C95" s="730">
        <v>62107135</v>
      </c>
      <c r="D95" s="831"/>
      <c r="E95" s="705">
        <v>32379432</v>
      </c>
      <c r="F95" s="705">
        <v>8244379</v>
      </c>
      <c r="G95" s="705">
        <v>20495112</v>
      </c>
      <c r="H95" s="705">
        <v>988212</v>
      </c>
      <c r="I95" s="831"/>
      <c r="J95" s="707">
        <f>16987125</f>
        <v>16987125</v>
      </c>
      <c r="K95" s="707">
        <v>0</v>
      </c>
      <c r="L95" s="1348"/>
    </row>
    <row r="96" spans="1:12" ht="13.5" thickBot="1">
      <c r="A96" s="696">
        <v>69</v>
      </c>
      <c r="B96" s="708" t="s">
        <v>824</v>
      </c>
      <c r="C96" s="709">
        <f>SUM(C94:C95)</f>
        <v>62107135</v>
      </c>
      <c r="D96" s="711"/>
      <c r="E96" s="710">
        <f>SUM(E94:E95)</f>
        <v>32379432</v>
      </c>
      <c r="F96" s="710">
        <f>SUM(F94:F95)</f>
        <v>8244379</v>
      </c>
      <c r="G96" s="710">
        <f>SUM(G94:G95)</f>
        <v>20495112</v>
      </c>
      <c r="H96" s="710">
        <f>SUM(H94:H95)</f>
        <v>988212</v>
      </c>
      <c r="I96" s="711"/>
      <c r="J96" s="714">
        <f>SUM(J94:J95)</f>
        <v>16987125</v>
      </c>
      <c r="K96" s="714">
        <f>SUM(K94:K95)</f>
        <v>0</v>
      </c>
      <c r="L96" s="1349"/>
    </row>
    <row r="97" spans="1:12" ht="13.5" thickBot="1">
      <c r="A97" s="696"/>
      <c r="B97" s="1344"/>
      <c r="C97" s="1345"/>
      <c r="D97" s="1345"/>
      <c r="E97" s="1345"/>
      <c r="F97" s="1345"/>
      <c r="G97" s="1345"/>
      <c r="H97" s="1345"/>
      <c r="I97" s="1345"/>
      <c r="J97" s="1345"/>
      <c r="K97" s="1346"/>
      <c r="L97" s="695"/>
    </row>
    <row r="98" spans="1:12" s="938" customFormat="1" ht="18" customHeight="1">
      <c r="A98" s="971">
        <v>70</v>
      </c>
      <c r="B98" s="972" t="s">
        <v>828</v>
      </c>
      <c r="C98" s="1390">
        <v>30232800</v>
      </c>
      <c r="D98" s="832"/>
      <c r="E98" s="958">
        <v>1493750</v>
      </c>
      <c r="F98" s="959">
        <v>10460450</v>
      </c>
      <c r="G98" s="959">
        <v>6062400</v>
      </c>
      <c r="H98" s="959">
        <v>505200</v>
      </c>
      <c r="I98" s="832"/>
      <c r="J98" s="1347"/>
      <c r="K98" s="1347"/>
      <c r="L98" s="961">
        <v>7143232</v>
      </c>
    </row>
    <row r="99" spans="1:12" s="938" customFormat="1" ht="25.5">
      <c r="A99" s="943">
        <v>71</v>
      </c>
      <c r="B99" s="970" t="s">
        <v>976</v>
      </c>
      <c r="C99" s="1391"/>
      <c r="D99" s="868"/>
      <c r="E99" s="944">
        <v>3346000</v>
      </c>
      <c r="F99" s="945">
        <v>4015200</v>
      </c>
      <c r="G99" s="945">
        <v>4015200</v>
      </c>
      <c r="H99" s="945">
        <v>334600</v>
      </c>
      <c r="I99" s="868"/>
      <c r="J99" s="1348"/>
      <c r="K99" s="1348"/>
      <c r="L99" s="946">
        <v>4015200</v>
      </c>
    </row>
    <row r="100" spans="1:12" ht="12.75">
      <c r="A100" s="715">
        <v>72</v>
      </c>
      <c r="B100" s="719" t="s">
        <v>826</v>
      </c>
      <c r="C100" s="720">
        <v>28874335</v>
      </c>
      <c r="D100" s="834"/>
      <c r="E100" s="705">
        <v>10552557</v>
      </c>
      <c r="F100" s="731">
        <v>8855854</v>
      </c>
      <c r="G100" s="731">
        <v>9417512</v>
      </c>
      <c r="H100" s="731">
        <v>48412</v>
      </c>
      <c r="I100" s="834"/>
      <c r="J100" s="1348"/>
      <c r="K100" s="1348"/>
      <c r="L100" s="707">
        <v>4264649</v>
      </c>
    </row>
    <row r="101" spans="1:12" ht="13.5" thickBot="1">
      <c r="A101" s="715">
        <v>73</v>
      </c>
      <c r="B101" s="835" t="s">
        <v>961</v>
      </c>
      <c r="C101" s="843">
        <v>3000000</v>
      </c>
      <c r="D101" s="837"/>
      <c r="E101" s="705">
        <v>0</v>
      </c>
      <c r="F101" s="731">
        <v>1900000</v>
      </c>
      <c r="G101" s="731">
        <v>1000000</v>
      </c>
      <c r="H101" s="731">
        <v>100000</v>
      </c>
      <c r="I101" s="837"/>
      <c r="J101" s="1348"/>
      <c r="K101" s="1348"/>
      <c r="L101" s="707">
        <v>1564044</v>
      </c>
    </row>
    <row r="102" spans="1:12" ht="13.5" thickBot="1">
      <c r="A102" s="734">
        <v>74</v>
      </c>
      <c r="B102" s="735" t="s">
        <v>376</v>
      </c>
      <c r="C102" s="723">
        <f>SUM(C98:C101)</f>
        <v>62107135</v>
      </c>
      <c r="D102" s="748"/>
      <c r="E102" s="736">
        <f>SUM(E98:E101)</f>
        <v>15392307</v>
      </c>
      <c r="F102" s="736">
        <f>SUM(F98:F101)</f>
        <v>25231504</v>
      </c>
      <c r="G102" s="736">
        <f>SUM(G98:G101)</f>
        <v>20495112</v>
      </c>
      <c r="H102" s="736">
        <f>SUM(H98:H101)</f>
        <v>988212</v>
      </c>
      <c r="I102" s="749"/>
      <c r="J102" s="1371"/>
      <c r="K102" s="1371"/>
      <c r="L102" s="725">
        <f>SUM(L98:L101)</f>
        <v>16987125</v>
      </c>
    </row>
    <row r="103" spans="1:11" s="973" customFormat="1" ht="13.5" thickTop="1">
      <c r="A103" s="768"/>
      <c r="B103" s="1345"/>
      <c r="C103" s="1345"/>
      <c r="D103" s="1345"/>
      <c r="E103" s="1345"/>
      <c r="F103" s="1345"/>
      <c r="G103" s="1345"/>
      <c r="H103" s="1345"/>
      <c r="I103" s="1345"/>
      <c r="J103" s="1345"/>
      <c r="K103" s="1345"/>
    </row>
    <row r="104" spans="1:12" ht="15.75" thickBot="1">
      <c r="A104" s="976">
        <v>75</v>
      </c>
      <c r="B104" s="1383" t="s">
        <v>963</v>
      </c>
      <c r="C104" s="1384"/>
      <c r="D104" s="1384"/>
      <c r="E104" s="1384"/>
      <c r="F104" s="1384"/>
      <c r="G104" s="1384"/>
      <c r="H104" s="1384"/>
      <c r="I104" s="1384"/>
      <c r="J104" s="1385"/>
      <c r="K104" s="1385"/>
      <c r="L104" s="826"/>
    </row>
    <row r="105" spans="1:12" s="938" customFormat="1" ht="25.5">
      <c r="A105" s="948">
        <v>76</v>
      </c>
      <c r="B105" s="955" t="s">
        <v>1006</v>
      </c>
      <c r="C105" s="956">
        <v>0</v>
      </c>
      <c r="D105" s="957"/>
      <c r="E105" s="958">
        <v>0</v>
      </c>
      <c r="F105" s="959">
        <v>0</v>
      </c>
      <c r="G105" s="960"/>
      <c r="H105" s="960"/>
      <c r="I105" s="960"/>
      <c r="J105" s="961">
        <v>0</v>
      </c>
      <c r="K105" s="961">
        <v>40000</v>
      </c>
      <c r="L105" s="1347"/>
    </row>
    <row r="106" spans="1:12" ht="12.75">
      <c r="A106" s="694">
        <v>77</v>
      </c>
      <c r="B106" s="930" t="s">
        <v>827</v>
      </c>
      <c r="C106" s="843">
        <v>0</v>
      </c>
      <c r="D106" s="929"/>
      <c r="E106" s="867">
        <v>0</v>
      </c>
      <c r="F106" s="869">
        <v>0</v>
      </c>
      <c r="G106" s="869">
        <v>0</v>
      </c>
      <c r="H106" s="876"/>
      <c r="I106" s="876"/>
      <c r="J106" s="866">
        <v>0</v>
      </c>
      <c r="K106" s="866">
        <v>0</v>
      </c>
      <c r="L106" s="1348"/>
    </row>
    <row r="107" spans="1:12" ht="13.5" thickBot="1">
      <c r="A107" s="696">
        <v>78</v>
      </c>
      <c r="B107" s="702" t="s">
        <v>823</v>
      </c>
      <c r="C107" s="720">
        <v>196302400</v>
      </c>
      <c r="D107" s="837"/>
      <c r="E107" s="705">
        <v>196302400</v>
      </c>
      <c r="F107" s="705">
        <v>0</v>
      </c>
      <c r="G107" s="705">
        <v>0</v>
      </c>
      <c r="H107" s="740"/>
      <c r="I107" s="741"/>
      <c r="J107" s="707">
        <v>196302400</v>
      </c>
      <c r="K107" s="707">
        <v>0</v>
      </c>
      <c r="L107" s="1348"/>
    </row>
    <row r="108" spans="1:12" ht="13.5" thickBot="1">
      <c r="A108" s="696">
        <v>79</v>
      </c>
      <c r="B108" s="708" t="s">
        <v>824</v>
      </c>
      <c r="C108" s="709">
        <f>SUM(C106:C107)</f>
        <v>196302400</v>
      </c>
      <c r="D108" s="746"/>
      <c r="E108" s="710">
        <f>SUM(E106:E107)</f>
        <v>196302400</v>
      </c>
      <c r="F108" s="710">
        <f>SUM(F106:F107)</f>
        <v>0</v>
      </c>
      <c r="G108" s="710">
        <f>SUM(G106:G107)</f>
        <v>0</v>
      </c>
      <c r="H108" s="746"/>
      <c r="I108" s="747"/>
      <c r="J108" s="714">
        <f>SUM(J106:J107)</f>
        <v>196302400</v>
      </c>
      <c r="K108" s="714">
        <f>SUM(K105:K107)</f>
        <v>40000</v>
      </c>
      <c r="L108" s="1349"/>
    </row>
    <row r="109" spans="1:12" ht="13.5" thickBot="1">
      <c r="A109" s="696"/>
      <c r="B109" s="1344"/>
      <c r="C109" s="1345"/>
      <c r="D109" s="1345"/>
      <c r="E109" s="1345"/>
      <c r="F109" s="1345"/>
      <c r="G109" s="1345"/>
      <c r="H109" s="1345"/>
      <c r="I109" s="1345"/>
      <c r="J109" s="1345"/>
      <c r="K109" s="1346"/>
      <c r="L109" s="695"/>
    </row>
    <row r="110" spans="1:12" ht="12.75">
      <c r="A110" s="715">
        <v>80</v>
      </c>
      <c r="B110" s="733" t="s">
        <v>825</v>
      </c>
      <c r="C110" s="717">
        <f>SUM(E110:G110)</f>
        <v>196302400</v>
      </c>
      <c r="D110" s="917"/>
      <c r="E110" s="699">
        <v>0</v>
      </c>
      <c r="F110" s="699">
        <v>96822314</v>
      </c>
      <c r="G110" s="699">
        <v>99480086</v>
      </c>
      <c r="H110" s="739"/>
      <c r="I110" s="739"/>
      <c r="J110" s="1347"/>
      <c r="K110" s="1347"/>
      <c r="L110" s="701">
        <v>196302400</v>
      </c>
    </row>
    <row r="111" spans="1:12" ht="12.75">
      <c r="A111" s="715">
        <v>81</v>
      </c>
      <c r="B111" s="742" t="s">
        <v>830</v>
      </c>
      <c r="C111" s="720">
        <v>0</v>
      </c>
      <c r="D111" s="837"/>
      <c r="E111" s="743">
        <v>0</v>
      </c>
      <c r="F111" s="743">
        <v>0</v>
      </c>
      <c r="G111" s="743">
        <v>0</v>
      </c>
      <c r="H111" s="706"/>
      <c r="I111" s="925"/>
      <c r="J111" s="1348"/>
      <c r="K111" s="1348"/>
      <c r="L111" s="707">
        <v>0</v>
      </c>
    </row>
    <row r="112" spans="1:12" ht="13.5" thickBot="1">
      <c r="A112" s="715">
        <v>82</v>
      </c>
      <c r="B112" s="921" t="s">
        <v>1085</v>
      </c>
      <c r="C112" s="922">
        <v>0</v>
      </c>
      <c r="D112" s="926"/>
      <c r="E112" s="927">
        <v>0</v>
      </c>
      <c r="F112" s="927">
        <v>0</v>
      </c>
      <c r="G112" s="927">
        <v>0</v>
      </c>
      <c r="H112" s="876"/>
      <c r="I112" s="877"/>
      <c r="J112" s="1348"/>
      <c r="K112" s="1348"/>
      <c r="L112" s="828">
        <v>40000</v>
      </c>
    </row>
    <row r="113" spans="1:12" ht="13.5" thickBot="1">
      <c r="A113" s="734">
        <v>83</v>
      </c>
      <c r="B113" s="735" t="s">
        <v>376</v>
      </c>
      <c r="C113" s="723">
        <f>SUM(C110:C111)</f>
        <v>196302400</v>
      </c>
      <c r="D113" s="748"/>
      <c r="E113" s="736">
        <f>SUM(E110:E111)</f>
        <v>0</v>
      </c>
      <c r="F113" s="736">
        <f>SUM(F110:F111)</f>
        <v>96822314</v>
      </c>
      <c r="G113" s="736">
        <f>SUM(G110:G111)</f>
        <v>99480086</v>
      </c>
      <c r="H113" s="748"/>
      <c r="I113" s="748"/>
      <c r="J113" s="1371"/>
      <c r="K113" s="1371"/>
      <c r="L113" s="725">
        <f>SUM(L110:L112)</f>
        <v>196342400</v>
      </c>
    </row>
    <row r="114" spans="1:12" ht="14.25" thickBot="1" thickTop="1">
      <c r="A114" s="696"/>
      <c r="B114" s="1344"/>
      <c r="C114" s="1345"/>
      <c r="D114" s="1345"/>
      <c r="E114" s="1345"/>
      <c r="F114" s="1345"/>
      <c r="G114" s="1345"/>
      <c r="H114" s="1345"/>
      <c r="I114" s="1345"/>
      <c r="J114" s="1345"/>
      <c r="K114" s="1346"/>
      <c r="L114" s="695"/>
    </row>
    <row r="115" spans="1:12" ht="16.5" thickBot="1" thickTop="1">
      <c r="A115" s="825">
        <v>84</v>
      </c>
      <c r="B115" s="1350" t="s">
        <v>964</v>
      </c>
      <c r="C115" s="1351"/>
      <c r="D115" s="1351"/>
      <c r="E115" s="1351"/>
      <c r="F115" s="1351"/>
      <c r="G115" s="1351"/>
      <c r="H115" s="1351"/>
      <c r="I115" s="1351"/>
      <c r="J115" s="1352"/>
      <c r="K115" s="1352"/>
      <c r="L115" s="827"/>
    </row>
    <row r="116" spans="1:12" s="938" customFormat="1" ht="25.5">
      <c r="A116" s="948">
        <v>85</v>
      </c>
      <c r="B116" s="955" t="s">
        <v>1006</v>
      </c>
      <c r="C116" s="956">
        <v>0</v>
      </c>
      <c r="D116" s="957"/>
      <c r="E116" s="958">
        <v>0</v>
      </c>
      <c r="F116" s="959">
        <v>0</v>
      </c>
      <c r="G116" s="960"/>
      <c r="H116" s="960"/>
      <c r="I116" s="960"/>
      <c r="J116" s="961">
        <v>0</v>
      </c>
      <c r="K116" s="961">
        <v>40000</v>
      </c>
      <c r="L116" s="1347"/>
    </row>
    <row r="117" spans="1:12" ht="12.75">
      <c r="A117" s="694">
        <v>86</v>
      </c>
      <c r="B117" s="930" t="s">
        <v>827</v>
      </c>
      <c r="C117" s="843">
        <v>0</v>
      </c>
      <c r="D117" s="929"/>
      <c r="E117" s="867">
        <v>0</v>
      </c>
      <c r="F117" s="869">
        <v>0</v>
      </c>
      <c r="G117" s="876"/>
      <c r="H117" s="876"/>
      <c r="I117" s="876"/>
      <c r="J117" s="866">
        <v>0</v>
      </c>
      <c r="K117" s="866">
        <v>0</v>
      </c>
      <c r="L117" s="1348"/>
    </row>
    <row r="118" spans="1:12" ht="13.5" thickBot="1">
      <c r="A118" s="696">
        <v>87</v>
      </c>
      <c r="B118" s="702" t="s">
        <v>823</v>
      </c>
      <c r="C118" s="720">
        <v>437625000</v>
      </c>
      <c r="D118" s="837"/>
      <c r="E118" s="705">
        <v>437625000</v>
      </c>
      <c r="F118" s="705">
        <v>0</v>
      </c>
      <c r="G118" s="740"/>
      <c r="H118" s="740"/>
      <c r="I118" s="741"/>
      <c r="J118" s="707">
        <f>7875000+429750000</f>
        <v>437625000</v>
      </c>
      <c r="K118" s="707">
        <v>0</v>
      </c>
      <c r="L118" s="1348"/>
    </row>
    <row r="119" spans="1:12" ht="13.5" thickBot="1">
      <c r="A119" s="696">
        <v>88</v>
      </c>
      <c r="B119" s="708" t="s">
        <v>824</v>
      </c>
      <c r="C119" s="709">
        <f>SUM(C117:C118)</f>
        <v>437625000</v>
      </c>
      <c r="D119" s="746"/>
      <c r="E119" s="710">
        <f>SUM(E117:E118)</f>
        <v>437625000</v>
      </c>
      <c r="F119" s="710">
        <f>SUM(F117:F118)</f>
        <v>0</v>
      </c>
      <c r="G119" s="746"/>
      <c r="H119" s="746"/>
      <c r="I119" s="747"/>
      <c r="J119" s="714">
        <f>SUM(J117:J118)</f>
        <v>437625000</v>
      </c>
      <c r="K119" s="714">
        <f>SUM(K116:K118)</f>
        <v>40000</v>
      </c>
      <c r="L119" s="1349"/>
    </row>
    <row r="120" spans="1:12" ht="13.5" thickBot="1">
      <c r="A120" s="696"/>
      <c r="B120" s="1344"/>
      <c r="C120" s="1345"/>
      <c r="D120" s="1345"/>
      <c r="E120" s="1345"/>
      <c r="F120" s="1345"/>
      <c r="G120" s="1345"/>
      <c r="H120" s="1345"/>
      <c r="I120" s="1345"/>
      <c r="J120" s="1345"/>
      <c r="K120" s="1346"/>
      <c r="L120" s="695"/>
    </row>
    <row r="121" spans="1:12" ht="12.75">
      <c r="A121" s="715">
        <v>89</v>
      </c>
      <c r="B121" s="733" t="s">
        <v>825</v>
      </c>
      <c r="C121" s="717">
        <v>429750000</v>
      </c>
      <c r="D121" s="917"/>
      <c r="E121" s="699">
        <v>0</v>
      </c>
      <c r="F121" s="699">
        <v>429750000</v>
      </c>
      <c r="G121" s="739"/>
      <c r="H121" s="739"/>
      <c r="I121" s="739"/>
      <c r="J121" s="1347"/>
      <c r="K121" s="1347"/>
      <c r="L121" s="701">
        <v>429750000</v>
      </c>
    </row>
    <row r="122" spans="1:12" ht="12.75">
      <c r="A122" s="715">
        <v>90</v>
      </c>
      <c r="B122" s="742" t="s">
        <v>826</v>
      </c>
      <c r="C122" s="720">
        <v>7875000</v>
      </c>
      <c r="D122" s="837"/>
      <c r="E122" s="743">
        <v>0</v>
      </c>
      <c r="F122" s="969">
        <v>7875000</v>
      </c>
      <c r="G122" s="931"/>
      <c r="H122" s="931"/>
      <c r="I122" s="932"/>
      <c r="J122" s="1348"/>
      <c r="K122" s="1348"/>
      <c r="L122" s="707">
        <v>7875000</v>
      </c>
    </row>
    <row r="123" spans="1:12" ht="13.5" thickBot="1">
      <c r="A123" s="715">
        <v>91</v>
      </c>
      <c r="B123" s="742" t="s">
        <v>1085</v>
      </c>
      <c r="C123" s="720">
        <v>0</v>
      </c>
      <c r="D123" s="837"/>
      <c r="E123" s="743">
        <v>0</v>
      </c>
      <c r="F123" s="704">
        <v>0</v>
      </c>
      <c r="G123" s="740"/>
      <c r="H123" s="740"/>
      <c r="I123" s="741"/>
      <c r="J123" s="1348"/>
      <c r="K123" s="1348"/>
      <c r="L123" s="707">
        <v>40000</v>
      </c>
    </row>
    <row r="124" spans="1:12" ht="13.5" thickBot="1">
      <c r="A124" s="734">
        <v>92</v>
      </c>
      <c r="B124" s="735" t="s">
        <v>376</v>
      </c>
      <c r="C124" s="723">
        <f>SUM(C121:C123)</f>
        <v>437625000</v>
      </c>
      <c r="D124" s="748"/>
      <c r="E124" s="736">
        <f>SUM(E121:E123)</f>
        <v>0</v>
      </c>
      <c r="F124" s="736">
        <f>SUM(F121:F123)</f>
        <v>437625000</v>
      </c>
      <c r="G124" s="748"/>
      <c r="H124" s="748"/>
      <c r="I124" s="748"/>
      <c r="J124" s="1371"/>
      <c r="K124" s="1371"/>
      <c r="L124" s="725">
        <f>SUM(L121:L123)</f>
        <v>437665000</v>
      </c>
    </row>
    <row r="125" spans="1:12" ht="14.25" thickBot="1" thickTop="1">
      <c r="A125" s="696"/>
      <c r="B125" s="1344"/>
      <c r="C125" s="1345"/>
      <c r="D125" s="1345"/>
      <c r="E125" s="1345"/>
      <c r="F125" s="1345"/>
      <c r="G125" s="1345"/>
      <c r="H125" s="1345"/>
      <c r="I125" s="1345"/>
      <c r="J125" s="1345"/>
      <c r="K125" s="1346"/>
      <c r="L125" s="695"/>
    </row>
    <row r="126" spans="1:12" ht="16.5" thickBot="1" thickTop="1">
      <c r="A126" s="825">
        <v>93</v>
      </c>
      <c r="B126" s="1350" t="s">
        <v>965</v>
      </c>
      <c r="C126" s="1351"/>
      <c r="D126" s="1351"/>
      <c r="E126" s="1351"/>
      <c r="F126" s="1351"/>
      <c r="G126" s="1351"/>
      <c r="H126" s="1351"/>
      <c r="I126" s="1351"/>
      <c r="J126" s="1352"/>
      <c r="K126" s="1352"/>
      <c r="L126" s="827"/>
    </row>
    <row r="127" spans="1:12" s="938" customFormat="1" ht="25.5">
      <c r="A127" s="948">
        <v>94</v>
      </c>
      <c r="B127" s="962" t="s">
        <v>1006</v>
      </c>
      <c r="C127" s="956">
        <v>0</v>
      </c>
      <c r="D127" s="957"/>
      <c r="E127" s="958">
        <v>0</v>
      </c>
      <c r="F127" s="959">
        <v>0</v>
      </c>
      <c r="G127" s="959">
        <v>0</v>
      </c>
      <c r="H127" s="960"/>
      <c r="I127" s="960"/>
      <c r="J127" s="961">
        <v>0</v>
      </c>
      <c r="K127" s="961">
        <v>40000</v>
      </c>
      <c r="L127" s="1347"/>
    </row>
    <row r="128" spans="1:12" ht="12.75">
      <c r="A128" s="694">
        <v>95</v>
      </c>
      <c r="B128" s="930" t="s">
        <v>827</v>
      </c>
      <c r="C128" s="843">
        <v>0</v>
      </c>
      <c r="D128" s="929"/>
      <c r="E128" s="867">
        <v>0</v>
      </c>
      <c r="F128" s="869">
        <v>0</v>
      </c>
      <c r="G128" s="869">
        <v>0</v>
      </c>
      <c r="H128" s="876"/>
      <c r="I128" s="876"/>
      <c r="J128" s="866">
        <v>0</v>
      </c>
      <c r="K128" s="866">
        <v>0</v>
      </c>
      <c r="L128" s="1348"/>
    </row>
    <row r="129" spans="1:12" ht="13.5" thickBot="1">
      <c r="A129" s="696">
        <v>96</v>
      </c>
      <c r="B129" s="702" t="s">
        <v>823</v>
      </c>
      <c r="C129" s="720">
        <v>100000000</v>
      </c>
      <c r="D129" s="837"/>
      <c r="E129" s="705">
        <v>100000000</v>
      </c>
      <c r="F129" s="705">
        <v>0</v>
      </c>
      <c r="G129" s="705">
        <v>0</v>
      </c>
      <c r="H129" s="740"/>
      <c r="I129" s="741"/>
      <c r="J129" s="707">
        <v>97606050</v>
      </c>
      <c r="K129" s="707">
        <v>0</v>
      </c>
      <c r="L129" s="1348"/>
    </row>
    <row r="130" spans="1:12" ht="13.5" thickBot="1">
      <c r="A130" s="696">
        <v>97</v>
      </c>
      <c r="B130" s="708" t="s">
        <v>824</v>
      </c>
      <c r="C130" s="709">
        <f>SUM(C128:C129)</f>
        <v>100000000</v>
      </c>
      <c r="D130" s="746"/>
      <c r="E130" s="710">
        <f>SUM(E128:E129)</f>
        <v>100000000</v>
      </c>
      <c r="F130" s="710">
        <f>SUM(F128:F129)</f>
        <v>0</v>
      </c>
      <c r="G130" s="710">
        <f>SUM(G128:G129)</f>
        <v>0</v>
      </c>
      <c r="H130" s="746"/>
      <c r="I130" s="747"/>
      <c r="J130" s="714">
        <f>SUM(J128:J129)</f>
        <v>97606050</v>
      </c>
      <c r="K130" s="714">
        <f>SUM(K127:K129)</f>
        <v>40000</v>
      </c>
      <c r="L130" s="1349"/>
    </row>
    <row r="131" spans="1:12" ht="13.5" thickBot="1">
      <c r="A131" s="696"/>
      <c r="B131" s="1344"/>
      <c r="C131" s="1345"/>
      <c r="D131" s="1345"/>
      <c r="E131" s="1345"/>
      <c r="F131" s="1345"/>
      <c r="G131" s="1345"/>
      <c r="H131" s="1345"/>
      <c r="I131" s="1345"/>
      <c r="J131" s="1345"/>
      <c r="K131" s="1346"/>
      <c r="L131" s="695"/>
    </row>
    <row r="132" spans="1:12" ht="12.75">
      <c r="A132" s="715">
        <v>98</v>
      </c>
      <c r="B132" s="733" t="s">
        <v>831</v>
      </c>
      <c r="C132" s="717">
        <f>SUM(E132:G132)</f>
        <v>100000000</v>
      </c>
      <c r="D132" s="700"/>
      <c r="E132" s="699">
        <v>2393950</v>
      </c>
      <c r="F132" s="699">
        <v>85795050</v>
      </c>
      <c r="G132" s="699">
        <v>11811000</v>
      </c>
      <c r="H132" s="739"/>
      <c r="I132" s="739"/>
      <c r="J132" s="1347"/>
      <c r="K132" s="1347"/>
      <c r="L132" s="701">
        <v>97606050</v>
      </c>
    </row>
    <row r="133" spans="1:12" ht="12.75">
      <c r="A133" s="715">
        <v>99</v>
      </c>
      <c r="B133" s="835" t="s">
        <v>832</v>
      </c>
      <c r="C133" s="720">
        <v>0</v>
      </c>
      <c r="D133" s="837"/>
      <c r="E133" s="743">
        <v>0</v>
      </c>
      <c r="F133" s="743">
        <v>0</v>
      </c>
      <c r="G133" s="743">
        <v>0</v>
      </c>
      <c r="H133" s="931"/>
      <c r="I133" s="932"/>
      <c r="J133" s="1348"/>
      <c r="K133" s="1348"/>
      <c r="L133" s="707">
        <v>0</v>
      </c>
    </row>
    <row r="134" spans="1:12" ht="13.5" thickBot="1">
      <c r="A134" s="715">
        <v>100</v>
      </c>
      <c r="B134" s="742" t="s">
        <v>1085</v>
      </c>
      <c r="C134" s="720">
        <v>0</v>
      </c>
      <c r="D134" s="837"/>
      <c r="E134" s="743">
        <v>0</v>
      </c>
      <c r="F134" s="704">
        <v>0</v>
      </c>
      <c r="G134" s="704">
        <v>0</v>
      </c>
      <c r="H134" s="740"/>
      <c r="I134" s="741"/>
      <c r="J134" s="1348"/>
      <c r="K134" s="1348"/>
      <c r="L134" s="707">
        <v>40000</v>
      </c>
    </row>
    <row r="135" spans="1:12" ht="13.5" thickBot="1">
      <c r="A135" s="734">
        <v>101</v>
      </c>
      <c r="B135" s="735" t="s">
        <v>376</v>
      </c>
      <c r="C135" s="723">
        <f>SUM(C132:C133)</f>
        <v>100000000</v>
      </c>
      <c r="D135" s="748"/>
      <c r="E135" s="736">
        <f>SUM(E132:E133)</f>
        <v>2393950</v>
      </c>
      <c r="F135" s="736">
        <f>SUM(F132:F133)</f>
        <v>85795050</v>
      </c>
      <c r="G135" s="736">
        <f>SUM(G132:G133)</f>
        <v>11811000</v>
      </c>
      <c r="H135" s="748"/>
      <c r="I135" s="748"/>
      <c r="J135" s="1371"/>
      <c r="K135" s="1371"/>
      <c r="L135" s="725">
        <f>SUM(L132:L134)</f>
        <v>97646050</v>
      </c>
    </row>
    <row r="136" spans="1:12" ht="14.25" thickBot="1" thickTop="1">
      <c r="A136" s="696"/>
      <c r="B136" s="1344"/>
      <c r="C136" s="1345"/>
      <c r="D136" s="1345"/>
      <c r="E136" s="1345"/>
      <c r="F136" s="1345"/>
      <c r="G136" s="1345"/>
      <c r="H136" s="1345"/>
      <c r="I136" s="1345"/>
      <c r="J136" s="1345"/>
      <c r="K136" s="1346"/>
      <c r="L136" s="695"/>
    </row>
    <row r="137" spans="1:12" ht="16.5" thickBot="1" thickTop="1">
      <c r="A137" s="825">
        <v>102</v>
      </c>
      <c r="B137" s="1350" t="s">
        <v>966</v>
      </c>
      <c r="C137" s="1351"/>
      <c r="D137" s="1351"/>
      <c r="E137" s="1351"/>
      <c r="F137" s="1351"/>
      <c r="G137" s="1351"/>
      <c r="H137" s="1351"/>
      <c r="I137" s="1351"/>
      <c r="J137" s="1352"/>
      <c r="K137" s="1352"/>
      <c r="L137" s="827"/>
    </row>
    <row r="138" spans="1:12" ht="25.5">
      <c r="A138" s="694">
        <v>103</v>
      </c>
      <c r="B138" s="878" t="s">
        <v>1116</v>
      </c>
      <c r="C138" s="954">
        <v>0</v>
      </c>
      <c r="D138" s="964"/>
      <c r="E138" s="944">
        <v>0</v>
      </c>
      <c r="F138" s="945">
        <v>0</v>
      </c>
      <c r="G138" s="960"/>
      <c r="H138" s="960"/>
      <c r="I138" s="968"/>
      <c r="J138" s="946">
        <v>0</v>
      </c>
      <c r="K138" s="946">
        <f>40000+1208400+1077031+254000</f>
        <v>2579431</v>
      </c>
      <c r="L138" s="1347"/>
    </row>
    <row r="139" spans="1:12" ht="12.75">
      <c r="A139" s="694">
        <v>104</v>
      </c>
      <c r="B139" s="928" t="s">
        <v>827</v>
      </c>
      <c r="C139" s="843">
        <v>0</v>
      </c>
      <c r="D139" s="837"/>
      <c r="E139" s="867">
        <v>0</v>
      </c>
      <c r="F139" s="869">
        <v>0</v>
      </c>
      <c r="G139" s="876"/>
      <c r="H139" s="876"/>
      <c r="I139" s="877"/>
      <c r="J139" s="866">
        <v>0</v>
      </c>
      <c r="K139" s="866">
        <v>0</v>
      </c>
      <c r="L139" s="1348"/>
    </row>
    <row r="140" spans="1:12" ht="13.5" thickBot="1">
      <c r="A140" s="696">
        <v>105</v>
      </c>
      <c r="B140" s="702" t="s">
        <v>823</v>
      </c>
      <c r="C140" s="720">
        <v>118000000</v>
      </c>
      <c r="D140" s="837"/>
      <c r="E140" s="705">
        <v>112219000</v>
      </c>
      <c r="F140" s="705">
        <v>5781000</v>
      </c>
      <c r="G140" s="740"/>
      <c r="H140" s="740"/>
      <c r="I140" s="741"/>
      <c r="J140" s="707">
        <v>106361800</v>
      </c>
      <c r="K140" s="707">
        <v>0</v>
      </c>
      <c r="L140" s="1348"/>
    </row>
    <row r="141" spans="1:12" ht="13.5" thickBot="1">
      <c r="A141" s="696">
        <v>106</v>
      </c>
      <c r="B141" s="708" t="s">
        <v>824</v>
      </c>
      <c r="C141" s="709">
        <f>SUM(C138:C140)</f>
        <v>118000000</v>
      </c>
      <c r="D141" s="746"/>
      <c r="E141" s="710">
        <f>SUM(E138:E140)</f>
        <v>112219000</v>
      </c>
      <c r="F141" s="710">
        <f>SUM(F138:F140)</f>
        <v>5781000</v>
      </c>
      <c r="G141" s="746"/>
      <c r="H141" s="746"/>
      <c r="I141" s="747"/>
      <c r="J141" s="714">
        <f>SUM(J138:J140)</f>
        <v>106361800</v>
      </c>
      <c r="K141" s="714">
        <f>SUM(K138:K140)</f>
        <v>2579431</v>
      </c>
      <c r="L141" s="1349"/>
    </row>
    <row r="142" spans="1:12" ht="13.5" thickBot="1">
      <c r="A142" s="696"/>
      <c r="B142" s="1344"/>
      <c r="C142" s="1345"/>
      <c r="D142" s="1345"/>
      <c r="E142" s="1345"/>
      <c r="F142" s="1345"/>
      <c r="G142" s="1345"/>
      <c r="H142" s="1345"/>
      <c r="I142" s="1345"/>
      <c r="J142" s="1345"/>
      <c r="K142" s="1346"/>
      <c r="L142" s="695"/>
    </row>
    <row r="143" spans="1:12" ht="12.75">
      <c r="A143" s="715">
        <v>107</v>
      </c>
      <c r="B143" s="920" t="s">
        <v>1085</v>
      </c>
      <c r="C143" s="717">
        <v>0</v>
      </c>
      <c r="D143" s="917"/>
      <c r="E143" s="699">
        <v>0</v>
      </c>
      <c r="F143" s="699">
        <v>0</v>
      </c>
      <c r="G143" s="700"/>
      <c r="H143" s="700"/>
      <c r="I143" s="700"/>
      <c r="J143" s="1347"/>
      <c r="K143" s="1347"/>
      <c r="L143" s="701">
        <f>40000+1208400+254000</f>
        <v>1502400</v>
      </c>
    </row>
    <row r="144" spans="1:12" ht="12.75">
      <c r="A144" s="715">
        <v>108</v>
      </c>
      <c r="B144" s="716" t="s">
        <v>825</v>
      </c>
      <c r="C144" s="720">
        <f>SUM(E144:G144)</f>
        <v>118000000</v>
      </c>
      <c r="D144" s="837"/>
      <c r="E144" s="705">
        <v>5857200</v>
      </c>
      <c r="F144" s="705">
        <v>112142800</v>
      </c>
      <c r="G144" s="876"/>
      <c r="H144" s="876"/>
      <c r="I144" s="876"/>
      <c r="J144" s="1348"/>
      <c r="K144" s="1348"/>
      <c r="L144" s="866">
        <f>106361800+1077031</f>
        <v>107438831</v>
      </c>
    </row>
    <row r="145" spans="1:12" ht="13.5" thickBot="1">
      <c r="A145" s="715">
        <v>109</v>
      </c>
      <c r="B145" s="742" t="s">
        <v>830</v>
      </c>
      <c r="C145" s="745">
        <v>0</v>
      </c>
      <c r="D145" s="837"/>
      <c r="E145" s="918">
        <v>0</v>
      </c>
      <c r="F145" s="919">
        <v>0</v>
      </c>
      <c r="G145" s="740"/>
      <c r="H145" s="740"/>
      <c r="I145" s="741"/>
      <c r="J145" s="1348"/>
      <c r="K145" s="1348"/>
      <c r="L145" s="707">
        <v>0</v>
      </c>
    </row>
    <row r="146" spans="1:12" ht="13.5" thickBot="1">
      <c r="A146" s="734">
        <v>110</v>
      </c>
      <c r="B146" s="735" t="s">
        <v>376</v>
      </c>
      <c r="C146" s="723">
        <f>SUM(C144:C145)</f>
        <v>118000000</v>
      </c>
      <c r="D146" s="748"/>
      <c r="E146" s="736">
        <f>SUM(E144:E145)</f>
        <v>5857200</v>
      </c>
      <c r="F146" s="736">
        <f>SUM(F144:F145)</f>
        <v>112142800</v>
      </c>
      <c r="G146" s="748"/>
      <c r="H146" s="748"/>
      <c r="I146" s="748"/>
      <c r="J146" s="1371"/>
      <c r="K146" s="1371"/>
      <c r="L146" s="725">
        <f>SUM(L143:L145)</f>
        <v>108941231</v>
      </c>
    </row>
    <row r="147" spans="1:12" ht="14.25" thickBot="1" thickTop="1">
      <c r="A147" s="737"/>
      <c r="B147" s="844"/>
      <c r="C147" s="845"/>
      <c r="D147" s="846"/>
      <c r="E147" s="847"/>
      <c r="F147" s="847"/>
      <c r="G147" s="846"/>
      <c r="H147" s="846"/>
      <c r="I147" s="846"/>
      <c r="J147" s="848"/>
      <c r="K147" s="848"/>
      <c r="L147" s="849"/>
    </row>
    <row r="148" spans="1:12" ht="16.5" thickBot="1" thickTop="1">
      <c r="A148" s="825">
        <v>111</v>
      </c>
      <c r="B148" s="1350" t="s">
        <v>967</v>
      </c>
      <c r="C148" s="1351"/>
      <c r="D148" s="1351"/>
      <c r="E148" s="1351"/>
      <c r="F148" s="1351"/>
      <c r="G148" s="1351"/>
      <c r="H148" s="1351"/>
      <c r="I148" s="1351"/>
      <c r="J148" s="1352"/>
      <c r="K148" s="1352"/>
      <c r="L148" s="827"/>
    </row>
    <row r="149" spans="1:12" s="938" customFormat="1" ht="25.5">
      <c r="A149" s="948">
        <v>112</v>
      </c>
      <c r="B149" s="963" t="s">
        <v>1006</v>
      </c>
      <c r="C149" s="956">
        <v>0</v>
      </c>
      <c r="D149" s="964"/>
      <c r="E149" s="958">
        <v>0</v>
      </c>
      <c r="F149" s="959">
        <v>0</v>
      </c>
      <c r="G149" s="960"/>
      <c r="H149" s="960"/>
      <c r="I149" s="968"/>
      <c r="J149" s="961">
        <v>0</v>
      </c>
      <c r="K149" s="961">
        <f>40000+829010</f>
        <v>869010</v>
      </c>
      <c r="L149" s="1347"/>
    </row>
    <row r="150" spans="1:12" ht="12.75">
      <c r="A150" s="694">
        <v>113</v>
      </c>
      <c r="B150" s="928" t="s">
        <v>827</v>
      </c>
      <c r="C150" s="843">
        <v>0</v>
      </c>
      <c r="D150" s="837"/>
      <c r="E150" s="867">
        <v>0</v>
      </c>
      <c r="F150" s="869">
        <v>0</v>
      </c>
      <c r="G150" s="876"/>
      <c r="H150" s="876"/>
      <c r="I150" s="877"/>
      <c r="J150" s="866">
        <v>0</v>
      </c>
      <c r="K150" s="866">
        <v>0</v>
      </c>
      <c r="L150" s="1348"/>
    </row>
    <row r="151" spans="1:12" ht="13.5" thickBot="1">
      <c r="A151" s="696">
        <v>114</v>
      </c>
      <c r="B151" s="702" t="s">
        <v>823</v>
      </c>
      <c r="C151" s="720">
        <v>50000000</v>
      </c>
      <c r="D151" s="837"/>
      <c r="E151" s="705">
        <v>50000000</v>
      </c>
      <c r="F151" s="705">
        <v>0</v>
      </c>
      <c r="G151" s="740"/>
      <c r="H151" s="740"/>
      <c r="I151" s="741"/>
      <c r="J151" s="707">
        <v>47550000</v>
      </c>
      <c r="K151" s="707">
        <v>0</v>
      </c>
      <c r="L151" s="1348"/>
    </row>
    <row r="152" spans="1:12" ht="13.5" thickBot="1">
      <c r="A152" s="696">
        <v>115</v>
      </c>
      <c r="B152" s="708" t="s">
        <v>824</v>
      </c>
      <c r="C152" s="709">
        <f>SUM(C149:C151)</f>
        <v>50000000</v>
      </c>
      <c r="D152" s="746"/>
      <c r="E152" s="710">
        <f>SUM(E149:E151)</f>
        <v>50000000</v>
      </c>
      <c r="F152" s="710">
        <f>SUM(F149:F151)</f>
        <v>0</v>
      </c>
      <c r="G152" s="746"/>
      <c r="H152" s="746"/>
      <c r="I152" s="747"/>
      <c r="J152" s="714">
        <f>SUM(J149:J151)</f>
        <v>47550000</v>
      </c>
      <c r="K152" s="714">
        <f>SUM(K149:K151)</f>
        <v>869010</v>
      </c>
      <c r="L152" s="1349"/>
    </row>
    <row r="153" spans="1:12" ht="13.5" thickBot="1">
      <c r="A153" s="696"/>
      <c r="B153" s="1344"/>
      <c r="C153" s="1345"/>
      <c r="D153" s="1345"/>
      <c r="E153" s="1345"/>
      <c r="F153" s="1345"/>
      <c r="G153" s="1345"/>
      <c r="H153" s="1345"/>
      <c r="I153" s="1345"/>
      <c r="J153" s="1345"/>
      <c r="K153" s="1346"/>
      <c r="L153" s="695"/>
    </row>
    <row r="154" spans="1:12" ht="12.75">
      <c r="A154" s="715">
        <v>116</v>
      </c>
      <c r="B154" s="733" t="s">
        <v>831</v>
      </c>
      <c r="C154" s="717">
        <v>50000000</v>
      </c>
      <c r="D154" s="700"/>
      <c r="E154" s="850">
        <v>2450000</v>
      </c>
      <c r="F154" s="850">
        <v>47550000</v>
      </c>
      <c r="G154" s="739"/>
      <c r="H154" s="739"/>
      <c r="I154" s="739"/>
      <c r="J154" s="1347"/>
      <c r="K154" s="1347"/>
      <c r="L154" s="701">
        <v>47550000</v>
      </c>
    </row>
    <row r="155" spans="1:12" ht="12.75">
      <c r="A155" s="715">
        <v>117</v>
      </c>
      <c r="B155" s="742" t="s">
        <v>832</v>
      </c>
      <c r="C155" s="720">
        <v>0</v>
      </c>
      <c r="D155" s="837"/>
      <c r="E155" s="743">
        <v>0</v>
      </c>
      <c r="F155" s="743">
        <v>0</v>
      </c>
      <c r="G155" s="706"/>
      <c r="H155" s="706"/>
      <c r="I155" s="925"/>
      <c r="J155" s="1348"/>
      <c r="K155" s="1348"/>
      <c r="L155" s="707">
        <v>829010</v>
      </c>
    </row>
    <row r="156" spans="1:12" ht="13.5" thickBot="1">
      <c r="A156" s="715">
        <v>118</v>
      </c>
      <c r="B156" s="742" t="s">
        <v>1085</v>
      </c>
      <c r="C156" s="720">
        <v>0</v>
      </c>
      <c r="D156" s="837"/>
      <c r="E156" s="743">
        <v>0</v>
      </c>
      <c r="F156" s="743">
        <v>0</v>
      </c>
      <c r="G156" s="965"/>
      <c r="H156" s="965"/>
      <c r="I156" s="966"/>
      <c r="J156" s="1348"/>
      <c r="K156" s="1348"/>
      <c r="L156" s="707">
        <v>40000</v>
      </c>
    </row>
    <row r="157" spans="1:12" ht="13.5" thickBot="1">
      <c r="A157" s="734">
        <v>119</v>
      </c>
      <c r="B157" s="735" t="s">
        <v>376</v>
      </c>
      <c r="C157" s="723">
        <f>SUM(C154:C155)</f>
        <v>50000000</v>
      </c>
      <c r="D157" s="748"/>
      <c r="E157" s="736">
        <f>SUM(E154:E155)</f>
        <v>2450000</v>
      </c>
      <c r="F157" s="736">
        <f>SUM(F154:F155)</f>
        <v>47550000</v>
      </c>
      <c r="G157" s="748"/>
      <c r="H157" s="748"/>
      <c r="I157" s="748"/>
      <c r="J157" s="1371"/>
      <c r="K157" s="1371"/>
      <c r="L157" s="725">
        <f>SUM(L154:L155)</f>
        <v>48379010</v>
      </c>
    </row>
    <row r="158" spans="1:12" ht="14.25" thickBot="1" thickTop="1">
      <c r="A158" s="715"/>
      <c r="B158" s="851"/>
      <c r="C158" s="852"/>
      <c r="D158" s="853"/>
      <c r="E158" s="852"/>
      <c r="F158" s="852"/>
      <c r="G158" s="853"/>
      <c r="H158" s="853"/>
      <c r="I158" s="853"/>
      <c r="J158" s="854"/>
      <c r="K158" s="854"/>
      <c r="L158" s="855"/>
    </row>
    <row r="159" spans="1:12" ht="16.5" thickBot="1" thickTop="1">
      <c r="A159" s="825">
        <v>120</v>
      </c>
      <c r="B159" s="1350" t="s">
        <v>968</v>
      </c>
      <c r="C159" s="1351"/>
      <c r="D159" s="1351"/>
      <c r="E159" s="1351"/>
      <c r="F159" s="1351"/>
      <c r="G159" s="1351"/>
      <c r="H159" s="1351"/>
      <c r="I159" s="1351"/>
      <c r="J159" s="1352"/>
      <c r="K159" s="1352"/>
      <c r="L159" s="827"/>
    </row>
    <row r="160" spans="1:12" ht="12.75">
      <c r="A160" s="694">
        <v>121</v>
      </c>
      <c r="B160" s="752" t="s">
        <v>827</v>
      </c>
      <c r="C160" s="717">
        <v>0</v>
      </c>
      <c r="D160" s="837"/>
      <c r="E160" s="699">
        <v>0</v>
      </c>
      <c r="F160" s="738">
        <v>0</v>
      </c>
      <c r="G160" s="856">
        <v>0</v>
      </c>
      <c r="H160" s="856">
        <v>0</v>
      </c>
      <c r="I160" s="856">
        <v>0</v>
      </c>
      <c r="J160" s="701">
        <v>0</v>
      </c>
      <c r="K160" s="701">
        <v>0</v>
      </c>
      <c r="L160" s="1347"/>
    </row>
    <row r="161" spans="1:12" ht="13.5" thickBot="1">
      <c r="A161" s="696">
        <v>122</v>
      </c>
      <c r="B161" s="702" t="s">
        <v>823</v>
      </c>
      <c r="C161" s="720">
        <v>21635062</v>
      </c>
      <c r="D161" s="837"/>
      <c r="E161" s="705">
        <v>21635062</v>
      </c>
      <c r="F161" s="705">
        <v>0</v>
      </c>
      <c r="G161" s="857">
        <v>0</v>
      </c>
      <c r="H161" s="857">
        <v>0</v>
      </c>
      <c r="I161" s="858">
        <v>0</v>
      </c>
      <c r="J161" s="707">
        <f>19772715+55</f>
        <v>19772770</v>
      </c>
      <c r="K161" s="707"/>
      <c r="L161" s="1348"/>
    </row>
    <row r="162" spans="1:12" ht="13.5" thickBot="1">
      <c r="A162" s="696">
        <v>123</v>
      </c>
      <c r="B162" s="708" t="s">
        <v>824</v>
      </c>
      <c r="C162" s="709">
        <f>SUM(C160:C161)</f>
        <v>21635062</v>
      </c>
      <c r="D162" s="746"/>
      <c r="E162" s="710">
        <f aca="true" t="shared" si="4" ref="E162:K162">SUM(E160:E161)</f>
        <v>21635062</v>
      </c>
      <c r="F162" s="710">
        <f t="shared" si="4"/>
        <v>0</v>
      </c>
      <c r="G162" s="710">
        <f t="shared" si="4"/>
        <v>0</v>
      </c>
      <c r="H162" s="710">
        <f t="shared" si="4"/>
        <v>0</v>
      </c>
      <c r="I162" s="710">
        <f t="shared" si="4"/>
        <v>0</v>
      </c>
      <c r="J162" s="714">
        <f t="shared" si="4"/>
        <v>19772770</v>
      </c>
      <c r="K162" s="714">
        <f t="shared" si="4"/>
        <v>0</v>
      </c>
      <c r="L162" s="1349"/>
    </row>
    <row r="163" spans="1:12" ht="13.5" thickBot="1">
      <c r="A163" s="696"/>
      <c r="B163" s="1344"/>
      <c r="C163" s="1345"/>
      <c r="D163" s="1345"/>
      <c r="E163" s="1345"/>
      <c r="F163" s="1345"/>
      <c r="G163" s="1345"/>
      <c r="H163" s="1345"/>
      <c r="I163" s="1345"/>
      <c r="J163" s="1345"/>
      <c r="K163" s="1346"/>
      <c r="L163" s="695"/>
    </row>
    <row r="164" spans="1:12" ht="12.75">
      <c r="A164" s="715">
        <v>124</v>
      </c>
      <c r="B164" s="733" t="s">
        <v>828</v>
      </c>
      <c r="C164" s="717">
        <v>10295000</v>
      </c>
      <c r="D164" s="700"/>
      <c r="E164" s="850">
        <v>717000</v>
      </c>
      <c r="F164" s="850">
        <v>3123000</v>
      </c>
      <c r="G164" s="850">
        <v>2880000</v>
      </c>
      <c r="H164" s="850">
        <v>2880000</v>
      </c>
      <c r="I164" s="850">
        <v>695000</v>
      </c>
      <c r="J164" s="1386"/>
      <c r="K164" s="1386"/>
      <c r="L164" s="717">
        <v>9578000</v>
      </c>
    </row>
    <row r="165" spans="1:12" ht="12.75">
      <c r="A165" s="715">
        <v>125</v>
      </c>
      <c r="B165" s="719" t="s">
        <v>826</v>
      </c>
      <c r="C165" s="843">
        <v>10510062</v>
      </c>
      <c r="D165" s="834"/>
      <c r="E165" s="859">
        <v>315347</v>
      </c>
      <c r="F165" s="859">
        <f>3984278+55</f>
        <v>3984333</v>
      </c>
      <c r="G165" s="860">
        <v>2149813</v>
      </c>
      <c r="H165" s="860">
        <v>2149812</v>
      </c>
      <c r="I165" s="860">
        <v>1910757</v>
      </c>
      <c r="J165" s="1387"/>
      <c r="K165" s="1387"/>
      <c r="L165" s="843">
        <f>10194715+55</f>
        <v>10194770</v>
      </c>
    </row>
    <row r="166" spans="1:12" ht="13.5" thickBot="1">
      <c r="A166" s="715">
        <v>126</v>
      </c>
      <c r="B166" s="835" t="s">
        <v>825</v>
      </c>
      <c r="C166" s="720">
        <v>830000</v>
      </c>
      <c r="D166" s="837"/>
      <c r="E166" s="872">
        <v>829945</v>
      </c>
      <c r="F166" s="743">
        <f>55-55</f>
        <v>0</v>
      </c>
      <c r="G166" s="857">
        <v>0</v>
      </c>
      <c r="H166" s="857">
        <v>0</v>
      </c>
      <c r="I166" s="858">
        <v>0</v>
      </c>
      <c r="J166" s="1348"/>
      <c r="K166" s="1348"/>
      <c r="L166" s="720">
        <f>55-55</f>
        <v>0</v>
      </c>
    </row>
    <row r="167" spans="1:12" ht="13.5" thickBot="1">
      <c r="A167" s="734">
        <v>127</v>
      </c>
      <c r="B167" s="735" t="s">
        <v>376</v>
      </c>
      <c r="C167" s="723">
        <f>SUM(C164:C166)</f>
        <v>21635062</v>
      </c>
      <c r="D167" s="748"/>
      <c r="E167" s="736">
        <f>SUM(E164:E166)</f>
        <v>1862292</v>
      </c>
      <c r="F167" s="736">
        <f>SUM(F164:F166)</f>
        <v>7107333</v>
      </c>
      <c r="G167" s="736">
        <f>SUM(G164:G166)</f>
        <v>5029813</v>
      </c>
      <c r="H167" s="736">
        <f>SUM(H164:H166)</f>
        <v>5029812</v>
      </c>
      <c r="I167" s="736">
        <f>SUM(I164:I166)</f>
        <v>2605757</v>
      </c>
      <c r="J167" s="1371"/>
      <c r="K167" s="1371"/>
      <c r="L167" s="725">
        <f>SUM(L164:L166)</f>
        <v>19772770</v>
      </c>
    </row>
    <row r="168" spans="1:12" ht="14.25" thickBot="1" thickTop="1">
      <c r="A168" s="696"/>
      <c r="B168" s="1344"/>
      <c r="C168" s="1345"/>
      <c r="D168" s="1345"/>
      <c r="E168" s="1345"/>
      <c r="F168" s="1345"/>
      <c r="G168" s="1345"/>
      <c r="H168" s="1345"/>
      <c r="I168" s="1345"/>
      <c r="J168" s="1345"/>
      <c r="K168" s="1346"/>
      <c r="L168" s="695"/>
    </row>
    <row r="169" spans="1:12" ht="16.5" thickBot="1" thickTop="1">
      <c r="A169" s="825">
        <v>128</v>
      </c>
      <c r="B169" s="1380" t="s">
        <v>1053</v>
      </c>
      <c r="C169" s="1381"/>
      <c r="D169" s="1381"/>
      <c r="E169" s="1381"/>
      <c r="F169" s="1381"/>
      <c r="G169" s="1381"/>
      <c r="H169" s="1381"/>
      <c r="I169" s="1381"/>
      <c r="J169" s="1382"/>
      <c r="K169" s="1382"/>
      <c r="L169" s="827"/>
    </row>
    <row r="170" spans="1:12" ht="12.75">
      <c r="A170" s="694">
        <v>129</v>
      </c>
      <c r="B170" s="697" t="s">
        <v>827</v>
      </c>
      <c r="C170" s="727">
        <v>0</v>
      </c>
      <c r="D170" s="830"/>
      <c r="E170" s="830"/>
      <c r="F170" s="728">
        <v>0</v>
      </c>
      <c r="G170" s="728">
        <v>0</v>
      </c>
      <c r="H170" s="728">
        <v>0</v>
      </c>
      <c r="I170" s="830"/>
      <c r="J170" s="701">
        <v>0</v>
      </c>
      <c r="K170" s="701">
        <v>0</v>
      </c>
      <c r="L170" s="1347"/>
    </row>
    <row r="171" spans="1:12" ht="13.5" thickBot="1">
      <c r="A171" s="729">
        <v>130</v>
      </c>
      <c r="B171" s="702" t="s">
        <v>823</v>
      </c>
      <c r="C171" s="730">
        <v>6119772</v>
      </c>
      <c r="D171" s="831"/>
      <c r="E171" s="831"/>
      <c r="F171" s="705">
        <v>4083324</v>
      </c>
      <c r="G171" s="705">
        <v>0</v>
      </c>
      <c r="H171" s="705">
        <v>2036448</v>
      </c>
      <c r="I171" s="831"/>
      <c r="J171" s="707">
        <v>0</v>
      </c>
      <c r="K171" s="707">
        <v>4083324</v>
      </c>
      <c r="L171" s="1348"/>
    </row>
    <row r="172" spans="1:12" ht="13.5" thickBot="1">
      <c r="A172" s="696">
        <v>131</v>
      </c>
      <c r="B172" s="708" t="s">
        <v>824</v>
      </c>
      <c r="C172" s="709">
        <f>SUM(C170:C171)</f>
        <v>6119772</v>
      </c>
      <c r="D172" s="711"/>
      <c r="E172" s="711"/>
      <c r="F172" s="710">
        <f>SUM(F170:F171)</f>
        <v>4083324</v>
      </c>
      <c r="G172" s="710">
        <f>SUM(G170:G171)</f>
        <v>0</v>
      </c>
      <c r="H172" s="710">
        <f>SUM(H170:H171)</f>
        <v>2036448</v>
      </c>
      <c r="I172" s="711"/>
      <c r="J172" s="714">
        <f>SUM(J170:J171)</f>
        <v>0</v>
      </c>
      <c r="K172" s="714">
        <f>SUM(K170:K171)</f>
        <v>4083324</v>
      </c>
      <c r="L172" s="1349"/>
    </row>
    <row r="173" spans="1:12" ht="13.5" thickBot="1">
      <c r="A173" s="696"/>
      <c r="B173" s="1344"/>
      <c r="C173" s="1345"/>
      <c r="D173" s="1345"/>
      <c r="E173" s="1345"/>
      <c r="F173" s="1345"/>
      <c r="G173" s="1345"/>
      <c r="H173" s="1345"/>
      <c r="I173" s="1345"/>
      <c r="J173" s="1345"/>
      <c r="K173" s="1346"/>
      <c r="L173" s="695"/>
    </row>
    <row r="174" spans="1:12" ht="12.75">
      <c r="A174" s="732">
        <v>132</v>
      </c>
      <c r="B174" s="733" t="s">
        <v>828</v>
      </c>
      <c r="C174" s="902">
        <f>SUM(F174:H174)</f>
        <v>2588370</v>
      </c>
      <c r="D174" s="832"/>
      <c r="E174" s="832"/>
      <c r="F174" s="699">
        <v>970639</v>
      </c>
      <c r="G174" s="738">
        <v>1294185</v>
      </c>
      <c r="H174" s="738">
        <v>323546</v>
      </c>
      <c r="I174" s="832"/>
      <c r="J174" s="1347"/>
      <c r="K174" s="1347"/>
      <c r="L174" s="701">
        <v>970639</v>
      </c>
    </row>
    <row r="175" spans="1:12" ht="12.75">
      <c r="A175" s="715">
        <v>133</v>
      </c>
      <c r="B175" s="719" t="s">
        <v>826</v>
      </c>
      <c r="C175" s="903">
        <f>SUM(F175:H175)</f>
        <v>521854</v>
      </c>
      <c r="D175" s="834"/>
      <c r="E175" s="834"/>
      <c r="F175" s="705">
        <v>296854</v>
      </c>
      <c r="G175" s="731">
        <v>180000</v>
      </c>
      <c r="H175" s="731">
        <v>45000</v>
      </c>
      <c r="I175" s="834"/>
      <c r="J175" s="1348"/>
      <c r="K175" s="1348"/>
      <c r="L175" s="707">
        <v>296854</v>
      </c>
    </row>
    <row r="176" spans="1:12" ht="12.75">
      <c r="A176" s="715">
        <v>134</v>
      </c>
      <c r="B176" s="835" t="s">
        <v>825</v>
      </c>
      <c r="C176" s="903">
        <f>SUM(F176:H176)</f>
        <v>973100</v>
      </c>
      <c r="D176" s="834"/>
      <c r="E176" s="834"/>
      <c r="F176" s="705">
        <v>779383</v>
      </c>
      <c r="G176" s="731">
        <v>193717</v>
      </c>
      <c r="H176" s="731">
        <v>0</v>
      </c>
      <c r="I176" s="834"/>
      <c r="J176" s="1348"/>
      <c r="K176" s="1348"/>
      <c r="L176" s="707">
        <v>779383</v>
      </c>
    </row>
    <row r="177" spans="1:12" ht="13.5" thickBot="1">
      <c r="A177" s="715">
        <v>135</v>
      </c>
      <c r="B177" s="835" t="s">
        <v>1054</v>
      </c>
      <c r="C177" s="904">
        <f>SUM(F177:H177)</f>
        <v>2036448</v>
      </c>
      <c r="D177" s="837"/>
      <c r="E177" s="837"/>
      <c r="F177" s="704">
        <v>2036448</v>
      </c>
      <c r="G177" s="731">
        <v>0</v>
      </c>
      <c r="H177" s="731">
        <v>0</v>
      </c>
      <c r="I177" s="837"/>
      <c r="J177" s="1348"/>
      <c r="K177" s="1348"/>
      <c r="L177" s="707">
        <v>2036448</v>
      </c>
    </row>
    <row r="178" spans="1:12" ht="13.5" thickBot="1">
      <c r="A178" s="734">
        <v>136</v>
      </c>
      <c r="B178" s="735" t="s">
        <v>376</v>
      </c>
      <c r="C178" s="723">
        <f>SUM(C174:C177)</f>
        <v>6119772</v>
      </c>
      <c r="D178" s="748"/>
      <c r="E178" s="748"/>
      <c r="F178" s="736">
        <f>SUM(F174:F177)</f>
        <v>4083324</v>
      </c>
      <c r="G178" s="736">
        <f>SUM(G174:G177)</f>
        <v>1667902</v>
      </c>
      <c r="H178" s="736">
        <f>SUM(H174:H177)</f>
        <v>368546</v>
      </c>
      <c r="I178" s="748"/>
      <c r="J178" s="1371"/>
      <c r="K178" s="1371"/>
      <c r="L178" s="725">
        <f>SUM(L174:L177)</f>
        <v>4083324</v>
      </c>
    </row>
    <row r="179" spans="1:12" ht="14.25" thickBot="1" thickTop="1">
      <c r="A179" s="696"/>
      <c r="B179" s="1344"/>
      <c r="C179" s="1345"/>
      <c r="D179" s="1345"/>
      <c r="E179" s="1345"/>
      <c r="F179" s="1345"/>
      <c r="G179" s="1345"/>
      <c r="H179" s="1345"/>
      <c r="I179" s="1345"/>
      <c r="J179" s="1345"/>
      <c r="K179" s="1346"/>
      <c r="L179" s="695"/>
    </row>
    <row r="180" spans="1:12" ht="19.5" thickBot="1" thickTop="1">
      <c r="A180" s="861">
        <v>137</v>
      </c>
      <c r="B180" s="1372" t="s">
        <v>771</v>
      </c>
      <c r="C180" s="1373"/>
      <c r="D180" s="1373"/>
      <c r="E180" s="1373"/>
      <c r="F180" s="1373"/>
      <c r="G180" s="1373"/>
      <c r="H180" s="1373"/>
      <c r="I180" s="1373"/>
      <c r="J180" s="1373"/>
      <c r="K180" s="1373"/>
      <c r="L180" s="1374"/>
    </row>
    <row r="181" spans="1:12" ht="14.25" thickBot="1" thickTop="1">
      <c r="A181" s="726"/>
      <c r="B181" s="1341"/>
      <c r="C181" s="1342"/>
      <c r="D181" s="1342"/>
      <c r="E181" s="1342"/>
      <c r="F181" s="1342"/>
      <c r="G181" s="1342"/>
      <c r="H181" s="1342"/>
      <c r="I181" s="1342"/>
      <c r="J181" s="1342"/>
      <c r="K181" s="1342"/>
      <c r="L181" s="1343"/>
    </row>
    <row r="182" spans="1:12" ht="16.5" thickBot="1" thickTop="1">
      <c r="A182" s="825">
        <v>138</v>
      </c>
      <c r="B182" s="1388" t="s">
        <v>960</v>
      </c>
      <c r="C182" s="1389"/>
      <c r="D182" s="1389"/>
      <c r="E182" s="1389"/>
      <c r="F182" s="1389"/>
      <c r="G182" s="1389"/>
      <c r="H182" s="1389"/>
      <c r="I182" s="1389"/>
      <c r="J182" s="1389"/>
      <c r="K182" s="1389"/>
      <c r="L182" s="862"/>
    </row>
    <row r="183" spans="1:12" ht="12.75">
      <c r="A183" s="694">
        <v>139</v>
      </c>
      <c r="B183" s="744" t="s">
        <v>827</v>
      </c>
      <c r="C183" s="863">
        <v>0</v>
      </c>
      <c r="D183" s="864"/>
      <c r="E183" s="865">
        <v>0</v>
      </c>
      <c r="F183" s="865">
        <v>0</v>
      </c>
      <c r="G183" s="865">
        <v>0</v>
      </c>
      <c r="H183" s="865"/>
      <c r="I183" s="864"/>
      <c r="J183" s="866">
        <v>0</v>
      </c>
      <c r="K183" s="866">
        <v>0</v>
      </c>
      <c r="L183" s="1348"/>
    </row>
    <row r="184" spans="1:12" ht="13.5" thickBot="1">
      <c r="A184" s="729">
        <v>140</v>
      </c>
      <c r="B184" s="702" t="s">
        <v>823</v>
      </c>
      <c r="C184" s="730">
        <v>88217316</v>
      </c>
      <c r="D184" s="831"/>
      <c r="E184" s="705">
        <v>45094449</v>
      </c>
      <c r="F184" s="705">
        <v>0</v>
      </c>
      <c r="G184" s="705">
        <v>0</v>
      </c>
      <c r="H184" s="705">
        <v>43122867</v>
      </c>
      <c r="I184" s="831"/>
      <c r="J184" s="707">
        <v>27430982</v>
      </c>
      <c r="K184" s="707">
        <v>0</v>
      </c>
      <c r="L184" s="1348"/>
    </row>
    <row r="185" spans="1:12" ht="13.5" thickBot="1">
      <c r="A185" s="696">
        <v>141</v>
      </c>
      <c r="B185" s="708" t="s">
        <v>824</v>
      </c>
      <c r="C185" s="709">
        <f>SUM(C183:C184)</f>
        <v>88217316</v>
      </c>
      <c r="D185" s="711"/>
      <c r="E185" s="710">
        <f>SUM(E183:E184)</f>
        <v>45094449</v>
      </c>
      <c r="F185" s="710">
        <f>SUM(F183:F184)</f>
        <v>0</v>
      </c>
      <c r="G185" s="710">
        <f>SUM(G183:G184)</f>
        <v>0</v>
      </c>
      <c r="H185" s="710">
        <f>SUM(H183:H184)</f>
        <v>43122867</v>
      </c>
      <c r="I185" s="711"/>
      <c r="J185" s="714">
        <f>SUM(J183:J184)</f>
        <v>27430982</v>
      </c>
      <c r="K185" s="714">
        <f>SUM(K183:K184)</f>
        <v>0</v>
      </c>
      <c r="L185" s="1349"/>
    </row>
    <row r="186" spans="1:12" ht="13.5" thickBot="1">
      <c r="A186" s="696"/>
      <c r="B186" s="1344"/>
      <c r="C186" s="1345"/>
      <c r="D186" s="1345"/>
      <c r="E186" s="1345"/>
      <c r="F186" s="1345"/>
      <c r="G186" s="1345"/>
      <c r="H186" s="1345"/>
      <c r="I186" s="1345"/>
      <c r="J186" s="1345"/>
      <c r="K186" s="1346"/>
      <c r="L186" s="695"/>
    </row>
    <row r="187" spans="1:12" ht="12.75">
      <c r="A187" s="732">
        <v>142</v>
      </c>
      <c r="B187" s="733" t="s">
        <v>828</v>
      </c>
      <c r="C187" s="842">
        <f>SUM(E187:H187)</f>
        <v>53041950</v>
      </c>
      <c r="D187" s="832"/>
      <c r="E187" s="699">
        <v>4082460</v>
      </c>
      <c r="F187" s="738">
        <v>23773325</v>
      </c>
      <c r="G187" s="738">
        <v>23773325</v>
      </c>
      <c r="H187" s="738">
        <v>1412840</v>
      </c>
      <c r="I187" s="832"/>
      <c r="J187" s="1347"/>
      <c r="K187" s="1347"/>
      <c r="L187" s="701">
        <v>23031236</v>
      </c>
    </row>
    <row r="188" spans="1:12" ht="12.75">
      <c r="A188" s="715">
        <v>143</v>
      </c>
      <c r="B188" s="719" t="s">
        <v>826</v>
      </c>
      <c r="C188" s="720">
        <f>SUM(E188:H188)</f>
        <v>33488176</v>
      </c>
      <c r="D188" s="834"/>
      <c r="E188" s="705">
        <v>12718558</v>
      </c>
      <c r="F188" s="731">
        <v>10002127</v>
      </c>
      <c r="G188" s="731">
        <v>10002126</v>
      </c>
      <c r="H188" s="731">
        <v>765365</v>
      </c>
      <c r="I188" s="834"/>
      <c r="J188" s="1348"/>
      <c r="K188" s="1348"/>
      <c r="L188" s="707">
        <v>4399746</v>
      </c>
    </row>
    <row r="189" spans="1:12" ht="13.5" thickBot="1">
      <c r="A189" s="715">
        <v>144</v>
      </c>
      <c r="B189" s="835" t="s">
        <v>825</v>
      </c>
      <c r="C189" s="843">
        <f>SUM(E189:H189)</f>
        <v>1687190</v>
      </c>
      <c r="D189" s="837"/>
      <c r="E189" s="705">
        <v>862449</v>
      </c>
      <c r="F189" s="731">
        <v>412371</v>
      </c>
      <c r="G189" s="731">
        <v>412370</v>
      </c>
      <c r="H189" s="731">
        <v>0</v>
      </c>
      <c r="I189" s="837"/>
      <c r="J189" s="1348"/>
      <c r="K189" s="1348"/>
      <c r="L189" s="707">
        <v>0</v>
      </c>
    </row>
    <row r="190" spans="1:12" ht="13.5" thickBot="1">
      <c r="A190" s="734">
        <v>145</v>
      </c>
      <c r="B190" s="735" t="s">
        <v>376</v>
      </c>
      <c r="C190" s="723">
        <f>SUM(C187:C189)</f>
        <v>88217316</v>
      </c>
      <c r="D190" s="748"/>
      <c r="E190" s="736">
        <f>SUM(E187:E189)</f>
        <v>17663467</v>
      </c>
      <c r="F190" s="736">
        <f>SUM(F187:F189)</f>
        <v>34187823</v>
      </c>
      <c r="G190" s="736">
        <f>SUM(G187:G189)</f>
        <v>34187821</v>
      </c>
      <c r="H190" s="736">
        <f>SUM(H187:H189)</f>
        <v>2178205</v>
      </c>
      <c r="I190" s="748"/>
      <c r="J190" s="1371"/>
      <c r="K190" s="1371"/>
      <c r="L190" s="725">
        <f>SUM(L187:L189)</f>
        <v>27430982</v>
      </c>
    </row>
    <row r="191" spans="1:12" ht="14.25" thickBot="1" thickTop="1">
      <c r="A191" s="726"/>
      <c r="B191" s="1341"/>
      <c r="C191" s="1342"/>
      <c r="D191" s="1342"/>
      <c r="E191" s="1342"/>
      <c r="F191" s="1342"/>
      <c r="G191" s="1342"/>
      <c r="H191" s="1342"/>
      <c r="I191" s="1342"/>
      <c r="J191" s="1342"/>
      <c r="K191" s="1342"/>
      <c r="L191" s="1343"/>
    </row>
    <row r="192" spans="1:12" ht="16.5" thickBot="1" thickTop="1">
      <c r="A192" s="825">
        <v>146</v>
      </c>
      <c r="B192" s="1380" t="s">
        <v>969</v>
      </c>
      <c r="C192" s="1381"/>
      <c r="D192" s="1381"/>
      <c r="E192" s="1381"/>
      <c r="F192" s="1381"/>
      <c r="G192" s="1381"/>
      <c r="H192" s="1381"/>
      <c r="I192" s="1381"/>
      <c r="J192" s="1382"/>
      <c r="K192" s="1382"/>
      <c r="L192" s="827"/>
    </row>
    <row r="193" spans="1:12" ht="12.75">
      <c r="A193" s="694">
        <v>147</v>
      </c>
      <c r="B193" s="697" t="s">
        <v>827</v>
      </c>
      <c r="C193" s="727">
        <v>0</v>
      </c>
      <c r="D193" s="728">
        <v>0</v>
      </c>
      <c r="E193" s="728">
        <v>0</v>
      </c>
      <c r="F193" s="728">
        <v>0</v>
      </c>
      <c r="G193" s="830"/>
      <c r="H193" s="830"/>
      <c r="I193" s="830"/>
      <c r="J193" s="701">
        <v>0</v>
      </c>
      <c r="K193" s="701">
        <v>0</v>
      </c>
      <c r="L193" s="1347"/>
    </row>
    <row r="194" spans="1:12" ht="13.5" thickBot="1">
      <c r="A194" s="729">
        <v>148</v>
      </c>
      <c r="B194" s="702" t="s">
        <v>823</v>
      </c>
      <c r="C194" s="730">
        <f>SUM(D194:F194)</f>
        <v>40000000</v>
      </c>
      <c r="D194" s="705">
        <v>39200000</v>
      </c>
      <c r="E194" s="705">
        <v>0</v>
      </c>
      <c r="F194" s="705">
        <v>800000</v>
      </c>
      <c r="G194" s="831"/>
      <c r="H194" s="831"/>
      <c r="I194" s="831"/>
      <c r="J194" s="707">
        <v>5459106</v>
      </c>
      <c r="K194" s="707">
        <v>0</v>
      </c>
      <c r="L194" s="1348"/>
    </row>
    <row r="195" spans="1:12" ht="13.5" thickBot="1">
      <c r="A195" s="696">
        <v>149</v>
      </c>
      <c r="B195" s="708" t="s">
        <v>824</v>
      </c>
      <c r="C195" s="709">
        <f>SUM(C193:C194)</f>
        <v>40000000</v>
      </c>
      <c r="D195" s="710">
        <f>SUM(D193:D194)</f>
        <v>39200000</v>
      </c>
      <c r="E195" s="710">
        <f>SUM(E193:E194)</f>
        <v>0</v>
      </c>
      <c r="F195" s="710">
        <f>SUM(F193:F194)</f>
        <v>800000</v>
      </c>
      <c r="G195" s="711"/>
      <c r="H195" s="711"/>
      <c r="I195" s="711"/>
      <c r="J195" s="714">
        <f>SUM(J193:J194)</f>
        <v>5459106</v>
      </c>
      <c r="K195" s="714">
        <f>SUM(K193:K194)</f>
        <v>0</v>
      </c>
      <c r="L195" s="1349"/>
    </row>
    <row r="196" spans="1:12" ht="13.5" thickBot="1">
      <c r="A196" s="696"/>
      <c r="B196" s="1344"/>
      <c r="C196" s="1345"/>
      <c r="D196" s="1345"/>
      <c r="E196" s="1345"/>
      <c r="F196" s="1345"/>
      <c r="G196" s="1345"/>
      <c r="H196" s="1345"/>
      <c r="I196" s="1345"/>
      <c r="J196" s="1345"/>
      <c r="K196" s="1346"/>
      <c r="L196" s="695"/>
    </row>
    <row r="197" spans="1:12" ht="12.75">
      <c r="A197" s="732">
        <v>150</v>
      </c>
      <c r="B197" s="733" t="s">
        <v>828</v>
      </c>
      <c r="C197" s="842">
        <f>SUM(D197:F197)</f>
        <v>12988120</v>
      </c>
      <c r="D197" s="699">
        <v>1760137</v>
      </c>
      <c r="E197" s="699">
        <v>8475898</v>
      </c>
      <c r="F197" s="738">
        <v>2752085</v>
      </c>
      <c r="G197" s="832"/>
      <c r="H197" s="832"/>
      <c r="I197" s="832"/>
      <c r="J197" s="1347"/>
      <c r="K197" s="1347"/>
      <c r="L197" s="701">
        <f>2752085+4697-66565</f>
        <v>2690217</v>
      </c>
    </row>
    <row r="198" spans="1:12" ht="12.75">
      <c r="A198" s="715">
        <v>151</v>
      </c>
      <c r="B198" s="719" t="s">
        <v>826</v>
      </c>
      <c r="C198" s="720">
        <f>SUM(D198:F198)</f>
        <v>23158258</v>
      </c>
      <c r="D198" s="705">
        <v>2486374</v>
      </c>
      <c r="E198" s="705">
        <v>17164863</v>
      </c>
      <c r="F198" s="731">
        <v>3507021</v>
      </c>
      <c r="G198" s="834"/>
      <c r="H198" s="834"/>
      <c r="I198" s="834"/>
      <c r="J198" s="1348"/>
      <c r="K198" s="1348"/>
      <c r="L198" s="707">
        <f>2707021+61868</f>
        <v>2768889</v>
      </c>
    </row>
    <row r="199" spans="1:12" ht="13.5" thickBot="1">
      <c r="A199" s="715">
        <v>152</v>
      </c>
      <c r="B199" s="835" t="s">
        <v>825</v>
      </c>
      <c r="C199" s="875">
        <f>SUM(D199:F199)</f>
        <v>3853622</v>
      </c>
      <c r="D199" s="705">
        <v>1441069</v>
      </c>
      <c r="E199" s="705">
        <v>2412553</v>
      </c>
      <c r="F199" s="731">
        <v>0</v>
      </c>
      <c r="G199" s="837"/>
      <c r="H199" s="837"/>
      <c r="I199" s="837"/>
      <c r="J199" s="1348"/>
      <c r="K199" s="1348"/>
      <c r="L199" s="707">
        <v>0</v>
      </c>
    </row>
    <row r="200" spans="1:12" ht="13.5" thickBot="1">
      <c r="A200" s="734">
        <v>153</v>
      </c>
      <c r="B200" s="735" t="s">
        <v>376</v>
      </c>
      <c r="C200" s="723">
        <f>SUM(C197:C199)</f>
        <v>40000000</v>
      </c>
      <c r="D200" s="736">
        <f>SUM(D197:D199)</f>
        <v>5687580</v>
      </c>
      <c r="E200" s="736">
        <f>SUM(E197:E199)</f>
        <v>28053314</v>
      </c>
      <c r="F200" s="736">
        <f>SUM(F197:F199)</f>
        <v>6259106</v>
      </c>
      <c r="G200" s="748"/>
      <c r="H200" s="748"/>
      <c r="I200" s="748"/>
      <c r="J200" s="1371"/>
      <c r="K200" s="1371"/>
      <c r="L200" s="725">
        <f>SUM(L197:L199)</f>
        <v>5459106</v>
      </c>
    </row>
    <row r="201" ht="14.25" thickBot="1" thickTop="1"/>
    <row r="202" spans="1:12" ht="19.5" thickBot="1" thickTop="1">
      <c r="A202" s="861">
        <v>154</v>
      </c>
      <c r="B202" s="1372" t="s">
        <v>838</v>
      </c>
      <c r="C202" s="1373"/>
      <c r="D202" s="1373"/>
      <c r="E202" s="1373"/>
      <c r="F202" s="1373"/>
      <c r="G202" s="1373"/>
      <c r="H202" s="1373"/>
      <c r="I202" s="1373"/>
      <c r="J202" s="1373"/>
      <c r="K202" s="1373"/>
      <c r="L202" s="1374"/>
    </row>
    <row r="203" spans="1:12" ht="14.25" thickBot="1" thickTop="1">
      <c r="A203" s="1392"/>
      <c r="B203" s="1393"/>
      <c r="C203" s="1393"/>
      <c r="D203" s="1393"/>
      <c r="E203" s="1393"/>
      <c r="F203" s="1393"/>
      <c r="G203" s="1393"/>
      <c r="H203" s="1393"/>
      <c r="I203" s="1393"/>
      <c r="J203" s="1393"/>
      <c r="K203" s="1393"/>
      <c r="L203" s="1394"/>
    </row>
    <row r="204" spans="1:12" ht="16.5" thickBot="1" thickTop="1">
      <c r="A204" s="825">
        <v>155</v>
      </c>
      <c r="B204" s="1395" t="s">
        <v>962</v>
      </c>
      <c r="C204" s="1396"/>
      <c r="D204" s="1396"/>
      <c r="E204" s="1396"/>
      <c r="F204" s="1396"/>
      <c r="G204" s="1396"/>
      <c r="H204" s="1396"/>
      <c r="I204" s="1396"/>
      <c r="J204" s="1396"/>
      <c r="K204" s="1396"/>
      <c r="L204" s="1397"/>
    </row>
    <row r="205" spans="1:12" ht="12.75">
      <c r="A205" s="694">
        <v>156</v>
      </c>
      <c r="B205" s="697" t="s">
        <v>827</v>
      </c>
      <c r="C205" s="727">
        <v>0</v>
      </c>
      <c r="D205" s="830"/>
      <c r="E205" s="830"/>
      <c r="F205" s="728">
        <v>0</v>
      </c>
      <c r="G205" s="830"/>
      <c r="H205" s="830"/>
      <c r="I205" s="830"/>
      <c r="J205" s="701">
        <v>0</v>
      </c>
      <c r="K205" s="701">
        <v>0</v>
      </c>
      <c r="L205" s="1347"/>
    </row>
    <row r="206" spans="1:12" ht="13.5" thickBot="1">
      <c r="A206" s="729">
        <v>157</v>
      </c>
      <c r="B206" s="702" t="s">
        <v>823</v>
      </c>
      <c r="C206" s="730">
        <v>25000000</v>
      </c>
      <c r="D206" s="831"/>
      <c r="E206" s="831"/>
      <c r="F206" s="705">
        <v>25000000</v>
      </c>
      <c r="G206" s="831"/>
      <c r="H206" s="831"/>
      <c r="I206" s="831"/>
      <c r="J206" s="707">
        <v>0</v>
      </c>
      <c r="K206" s="707">
        <v>25000000</v>
      </c>
      <c r="L206" s="1348"/>
    </row>
    <row r="207" spans="1:12" ht="13.5" thickBot="1">
      <c r="A207" s="696">
        <v>158</v>
      </c>
      <c r="B207" s="708" t="s">
        <v>824</v>
      </c>
      <c r="C207" s="709">
        <f>SUM(C205:C206)</f>
        <v>25000000</v>
      </c>
      <c r="D207" s="711"/>
      <c r="E207" s="711"/>
      <c r="F207" s="710">
        <f>SUM(F205:F206)</f>
        <v>25000000</v>
      </c>
      <c r="G207" s="711"/>
      <c r="H207" s="711"/>
      <c r="I207" s="711"/>
      <c r="J207" s="714">
        <f>SUM(J205:J206)</f>
        <v>0</v>
      </c>
      <c r="K207" s="714">
        <f>SUM(K205:K206)</f>
        <v>25000000</v>
      </c>
      <c r="L207" s="1349"/>
    </row>
    <row r="208" spans="1:12" ht="13.5" thickBot="1">
      <c r="A208" s="696"/>
      <c r="B208" s="1344"/>
      <c r="C208" s="1345"/>
      <c r="D208" s="1345"/>
      <c r="E208" s="1345"/>
      <c r="F208" s="1345"/>
      <c r="G208" s="1345"/>
      <c r="H208" s="1345"/>
      <c r="I208" s="1345"/>
      <c r="J208" s="1345"/>
      <c r="K208" s="1346"/>
      <c r="L208" s="695"/>
    </row>
    <row r="209" spans="1:12" ht="12.75">
      <c r="A209" s="732">
        <v>159</v>
      </c>
      <c r="B209" s="733" t="s">
        <v>828</v>
      </c>
      <c r="C209" s="842">
        <f>SUM(E209:H209)</f>
        <v>8407749</v>
      </c>
      <c r="D209" s="832"/>
      <c r="E209" s="832"/>
      <c r="F209" s="699">
        <v>8407749</v>
      </c>
      <c r="G209" s="832"/>
      <c r="H209" s="832"/>
      <c r="I209" s="832"/>
      <c r="J209" s="1347"/>
      <c r="K209" s="1347"/>
      <c r="L209" s="701">
        <v>8407749</v>
      </c>
    </row>
    <row r="210" spans="1:12" ht="12.75">
      <c r="A210" s="715">
        <v>160</v>
      </c>
      <c r="B210" s="719" t="s">
        <v>826</v>
      </c>
      <c r="C210" s="720">
        <f>SUM(E210:H210)</f>
        <v>14095151</v>
      </c>
      <c r="D210" s="834"/>
      <c r="E210" s="834"/>
      <c r="F210" s="705">
        <v>14095151</v>
      </c>
      <c r="G210" s="834"/>
      <c r="H210" s="834"/>
      <c r="I210" s="834"/>
      <c r="J210" s="1348"/>
      <c r="K210" s="1348"/>
      <c r="L210" s="707">
        <v>14095151</v>
      </c>
    </row>
    <row r="211" spans="1:12" ht="13.5" thickBot="1">
      <c r="A211" s="715">
        <v>161</v>
      </c>
      <c r="B211" s="835" t="s">
        <v>825</v>
      </c>
      <c r="C211" s="843">
        <f>SUM(E211:H211)</f>
        <v>2497100</v>
      </c>
      <c r="D211" s="837"/>
      <c r="E211" s="837"/>
      <c r="F211" s="704">
        <v>2497100</v>
      </c>
      <c r="G211" s="837"/>
      <c r="H211" s="837"/>
      <c r="I211" s="837"/>
      <c r="J211" s="1348"/>
      <c r="K211" s="1348"/>
      <c r="L211" s="707">
        <v>2497100</v>
      </c>
    </row>
    <row r="212" spans="1:12" ht="13.5" thickBot="1">
      <c r="A212" s="734">
        <v>162</v>
      </c>
      <c r="B212" s="735" t="s">
        <v>376</v>
      </c>
      <c r="C212" s="723">
        <f>SUM(C209:C211)</f>
        <v>25000000</v>
      </c>
      <c r="D212" s="748"/>
      <c r="E212" s="748"/>
      <c r="F212" s="736">
        <f>SUM(F209:F211)</f>
        <v>25000000</v>
      </c>
      <c r="G212" s="748"/>
      <c r="H212" s="748"/>
      <c r="I212" s="749"/>
      <c r="J212" s="1371"/>
      <c r="K212" s="1371"/>
      <c r="L212" s="725">
        <f>SUM(L209:L211)</f>
        <v>25000000</v>
      </c>
    </row>
    <row r="213" spans="1:11" s="973" customFormat="1" ht="13.5" thickTop="1">
      <c r="A213" s="768"/>
      <c r="B213" s="1345"/>
      <c r="C213" s="1345"/>
      <c r="D213" s="1345"/>
      <c r="E213" s="1345"/>
      <c r="F213" s="1345"/>
      <c r="G213" s="1345"/>
      <c r="H213" s="1345"/>
      <c r="I213" s="1345"/>
      <c r="J213" s="1345"/>
      <c r="K213" s="1345"/>
    </row>
  </sheetData>
  <sheetProtection/>
  <mergeCells count="128">
    <mergeCell ref="B168:K168"/>
    <mergeCell ref="B169:K169"/>
    <mergeCell ref="L170:L172"/>
    <mergeCell ref="B173:K173"/>
    <mergeCell ref="J174:J178"/>
    <mergeCell ref="K174:K178"/>
    <mergeCell ref="B213:K213"/>
    <mergeCell ref="A203:L203"/>
    <mergeCell ref="B204:L204"/>
    <mergeCell ref="L205:L207"/>
    <mergeCell ref="B208:K208"/>
    <mergeCell ref="J209:J212"/>
    <mergeCell ref="K209:K212"/>
    <mergeCell ref="J76:J79"/>
    <mergeCell ref="K76:K79"/>
    <mergeCell ref="C86:C87"/>
    <mergeCell ref="C98:C99"/>
    <mergeCell ref="B202:L202"/>
    <mergeCell ref="K187:K190"/>
    <mergeCell ref="B191:L191"/>
    <mergeCell ref="B192:K192"/>
    <mergeCell ref="L193:L195"/>
    <mergeCell ref="B179:K179"/>
    <mergeCell ref="J67:J69"/>
    <mergeCell ref="K67:K69"/>
    <mergeCell ref="B70:L70"/>
    <mergeCell ref="B71:K71"/>
    <mergeCell ref="L72:L74"/>
    <mergeCell ref="B75:K75"/>
    <mergeCell ref="B196:K196"/>
    <mergeCell ref="K197:K200"/>
    <mergeCell ref="J187:J190"/>
    <mergeCell ref="J197:J200"/>
    <mergeCell ref="B180:L180"/>
    <mergeCell ref="B181:L181"/>
    <mergeCell ref="B182:K182"/>
    <mergeCell ref="L183:L185"/>
    <mergeCell ref="B186:K186"/>
    <mergeCell ref="B153:K153"/>
    <mergeCell ref="K154:K157"/>
    <mergeCell ref="B159:K159"/>
    <mergeCell ref="L160:L162"/>
    <mergeCell ref="B163:K163"/>
    <mergeCell ref="K164:K167"/>
    <mergeCell ref="J154:J157"/>
    <mergeCell ref="J164:J167"/>
    <mergeCell ref="B137:K137"/>
    <mergeCell ref="L138:L141"/>
    <mergeCell ref="B142:K142"/>
    <mergeCell ref="B148:K148"/>
    <mergeCell ref="L149:L152"/>
    <mergeCell ref="J143:J146"/>
    <mergeCell ref="K143:K146"/>
    <mergeCell ref="B125:K125"/>
    <mergeCell ref="B126:K126"/>
    <mergeCell ref="B131:K131"/>
    <mergeCell ref="K132:K135"/>
    <mergeCell ref="B136:K136"/>
    <mergeCell ref="J132:J135"/>
    <mergeCell ref="K110:K113"/>
    <mergeCell ref="B114:K114"/>
    <mergeCell ref="B115:K115"/>
    <mergeCell ref="B120:K120"/>
    <mergeCell ref="K121:K124"/>
    <mergeCell ref="J110:J113"/>
    <mergeCell ref="J121:J124"/>
    <mergeCell ref="B103:K103"/>
    <mergeCell ref="B104:K104"/>
    <mergeCell ref="B93:K93"/>
    <mergeCell ref="L94:L96"/>
    <mergeCell ref="B97:K97"/>
    <mergeCell ref="K98:K102"/>
    <mergeCell ref="J98:J102"/>
    <mergeCell ref="B80:L80"/>
    <mergeCell ref="B81:K81"/>
    <mergeCell ref="L82:L84"/>
    <mergeCell ref="B85:K85"/>
    <mergeCell ref="K86:K91"/>
    <mergeCell ref="B92:L92"/>
    <mergeCell ref="J86:J91"/>
    <mergeCell ref="B37:K37"/>
    <mergeCell ref="K38:K41"/>
    <mergeCell ref="B43:K43"/>
    <mergeCell ref="L44:L46"/>
    <mergeCell ref="B47:K47"/>
    <mergeCell ref="K48:K50"/>
    <mergeCell ref="J38:J41"/>
    <mergeCell ref="J48:J50"/>
    <mergeCell ref="B42:L42"/>
    <mergeCell ref="B33:K33"/>
    <mergeCell ref="L34:L36"/>
    <mergeCell ref="B61:K61"/>
    <mergeCell ref="L62:L65"/>
    <mergeCell ref="B66:K66"/>
    <mergeCell ref="B22:K22"/>
    <mergeCell ref="L23:L25"/>
    <mergeCell ref="B26:K26"/>
    <mergeCell ref="K27:K31"/>
    <mergeCell ref="B32:L32"/>
    <mergeCell ref="J8:J10"/>
    <mergeCell ref="J27:J31"/>
    <mergeCell ref="B12:L12"/>
    <mergeCell ref="B13:K13"/>
    <mergeCell ref="L14:L16"/>
    <mergeCell ref="B17:K17"/>
    <mergeCell ref="K18:K20"/>
    <mergeCell ref="B21:L21"/>
    <mergeCell ref="J18:J20"/>
    <mergeCell ref="B51:L51"/>
    <mergeCell ref="B1:L1"/>
    <mergeCell ref="B4:L4"/>
    <mergeCell ref="A8:A10"/>
    <mergeCell ref="B8:B10"/>
    <mergeCell ref="C8:I8"/>
    <mergeCell ref="K8:K10"/>
    <mergeCell ref="L8:L10"/>
    <mergeCell ref="C9:C10"/>
    <mergeCell ref="D9:I9"/>
    <mergeCell ref="B60:L60"/>
    <mergeCell ref="B109:K109"/>
    <mergeCell ref="L105:L108"/>
    <mergeCell ref="L116:L119"/>
    <mergeCell ref="L127:L130"/>
    <mergeCell ref="B52:K52"/>
    <mergeCell ref="L53:L55"/>
    <mergeCell ref="B56:K56"/>
    <mergeCell ref="J57:J59"/>
    <mergeCell ref="K57:K5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  <rowBreaks count="1" manualBreakCount="1">
    <brk id="1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7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125" style="187" customWidth="1"/>
    <col min="2" max="4" width="9.125" style="187" customWidth="1"/>
    <col min="5" max="5" width="40.375" style="187" customWidth="1"/>
    <col min="6" max="6" width="16.125" style="187" bestFit="1" customWidth="1"/>
    <col min="7" max="7" width="14.125" style="187" bestFit="1" customWidth="1"/>
    <col min="8" max="9" width="14.875" style="187" customWidth="1"/>
    <col min="10" max="10" width="16.00390625" style="187" bestFit="1" customWidth="1"/>
    <col min="11" max="16384" width="9.125" style="187" customWidth="1"/>
  </cols>
  <sheetData>
    <row r="1" spans="1:10" s="191" customFormat="1" ht="12.75">
      <c r="A1" s="1012" t="s">
        <v>1154</v>
      </c>
      <c r="B1" s="1012"/>
      <c r="C1" s="1012"/>
      <c r="D1" s="1012"/>
      <c r="E1" s="1012"/>
      <c r="F1" s="1012"/>
      <c r="G1" s="1012"/>
      <c r="H1" s="1012"/>
      <c r="I1" s="1012"/>
      <c r="J1" s="1012"/>
    </row>
    <row r="2" spans="1:10" s="191" customFormat="1" ht="9.7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</row>
    <row r="3" spans="1:10" s="191" customFormat="1" ht="16.5">
      <c r="A3" s="1013" t="s">
        <v>870</v>
      </c>
      <c r="B3" s="1013"/>
      <c r="C3" s="1013"/>
      <c r="D3" s="1013"/>
      <c r="E3" s="1013"/>
      <c r="F3" s="1013"/>
      <c r="G3" s="1013"/>
      <c r="H3" s="1013"/>
      <c r="I3" s="1013"/>
      <c r="J3" s="1013"/>
    </row>
    <row r="4" spans="1:10" s="191" customFormat="1" ht="12.75">
      <c r="A4" s="192"/>
      <c r="B4" s="193"/>
      <c r="C4" s="193"/>
      <c r="D4" s="193"/>
      <c r="E4" s="193"/>
      <c r="F4" s="193"/>
      <c r="G4" s="193"/>
      <c r="H4" s="193"/>
      <c r="I4" s="193"/>
      <c r="J4" s="193"/>
    </row>
    <row r="5" spans="1:10" ht="78" customHeight="1">
      <c r="A5" s="1014" t="s">
        <v>0</v>
      </c>
      <c r="B5" s="1015"/>
      <c r="C5" s="1015"/>
      <c r="D5" s="1015"/>
      <c r="E5" s="1016"/>
      <c r="F5" s="194" t="s">
        <v>87</v>
      </c>
      <c r="G5" s="194" t="s">
        <v>378</v>
      </c>
      <c r="H5" s="194" t="s">
        <v>771</v>
      </c>
      <c r="I5" s="194" t="s">
        <v>838</v>
      </c>
      <c r="J5" s="195" t="s">
        <v>371</v>
      </c>
    </row>
    <row r="6" spans="1:10" s="198" customFormat="1" ht="15">
      <c r="A6" s="196" t="s">
        <v>440</v>
      </c>
      <c r="B6" s="1017" t="s">
        <v>441</v>
      </c>
      <c r="C6" s="1018"/>
      <c r="D6" s="1018"/>
      <c r="E6" s="1019"/>
      <c r="F6" s="197" t="s">
        <v>442</v>
      </c>
      <c r="G6" s="197" t="s">
        <v>443</v>
      </c>
      <c r="H6" s="197" t="s">
        <v>444</v>
      </c>
      <c r="I6" s="197" t="s">
        <v>445</v>
      </c>
      <c r="J6" s="197" t="s">
        <v>447</v>
      </c>
    </row>
    <row r="7" spans="1:11" ht="14.25" customHeight="1">
      <c r="A7" s="199" t="s">
        <v>1</v>
      </c>
      <c r="B7" s="1009" t="s">
        <v>348</v>
      </c>
      <c r="C7" s="1009"/>
      <c r="D7" s="1009"/>
      <c r="E7" s="1009"/>
      <c r="F7" s="186">
        <f>136546622+36347085+11080125+812250+20900-338000+2193899+565720+1059890+3179670-2666710+24000000+1500000-1725000</f>
        <v>212576451</v>
      </c>
      <c r="G7" s="186">
        <f>103642037+2326520+200000+1420400+338000+47334+2742+2666710+1582900+325371+1725000</f>
        <v>114277014</v>
      </c>
      <c r="H7" s="186">
        <f>163138725-240000+220000+56100+1229250+24000+12000+45000+10000-91000+3-3+4697</f>
        <v>164408772</v>
      </c>
      <c r="I7" s="186">
        <f>17165696+1500000+223500+1-1+600000</f>
        <v>19489196</v>
      </c>
      <c r="J7" s="884">
        <f>SUM(F7:I7)</f>
        <v>510751433</v>
      </c>
      <c r="K7" s="640"/>
    </row>
    <row r="8" spans="1:11" ht="13.5" customHeight="1">
      <c r="A8" s="199" t="s">
        <v>3</v>
      </c>
      <c r="B8" s="1009" t="s">
        <v>4</v>
      </c>
      <c r="C8" s="1009"/>
      <c r="D8" s="1009"/>
      <c r="E8" s="1009"/>
      <c r="F8" s="186">
        <f>27233284+3543768+1080288+158389+4081-65910+383932+99001+92742+278226-520008+4680000+575000-301875</f>
        <v>37240918</v>
      </c>
      <c r="G8" s="186">
        <f>20846432+453671+39000+293204+65910-8955+520008+303260+33428+301875</f>
        <v>22847833</v>
      </c>
      <c r="H8" s="186">
        <f>42572412-46800+42900+10940+215116-66565</f>
        <v>42728003</v>
      </c>
      <c r="I8" s="186">
        <f>3698515+775525+39112</f>
        <v>4513152</v>
      </c>
      <c r="J8" s="884">
        <f aca="true" t="shared" si="0" ref="J8:J71">SUM(F8:I8)</f>
        <v>107329906</v>
      </c>
      <c r="K8" s="640"/>
    </row>
    <row r="9" spans="1:11" ht="12" customHeight="1">
      <c r="A9" s="199" t="s">
        <v>5</v>
      </c>
      <c r="B9" s="1009" t="s">
        <v>6</v>
      </c>
      <c r="C9" s="1009"/>
      <c r="D9" s="1009"/>
      <c r="E9" s="1009"/>
      <c r="F9" s="186">
        <f>327018687+180000+220000+8618030+22660742+2730247+4347090+296854+8004000-2108200-413+413+88787+2794000+754380+1208400+300000+248400+30000+200000+516434+128723+40000+40000+40000+40000+40000-28680000-4844+23576063-165615+1875000+254000+161080+6019800-367914-162937-12976+106606-27360+17097</f>
        <v>381024574</v>
      </c>
      <c r="G9" s="186">
        <f>22317134+1537859+247115+2108200-829010+6213+6147-6147+269840+76049</f>
        <v>25733400</v>
      </c>
      <c r="H9" s="186">
        <f>66124238-1073150+10500000+656145-600000+889000-889000-273095-36576+1166000+889000-889000-592498-46143+9906+19812+69342+49530+69342+39600-39600+61868</f>
        <v>76104721</v>
      </c>
      <c r="I9" s="186">
        <f>28552341-1270000+622539+7367584+614391+300000+81000+558800+203200+8000-8000-783939-600000</f>
        <v>35645916</v>
      </c>
      <c r="J9" s="884">
        <f t="shared" si="0"/>
        <v>518508611</v>
      </c>
      <c r="K9" s="640"/>
    </row>
    <row r="10" spans="1:11" ht="12.75">
      <c r="A10" s="199" t="s">
        <v>8</v>
      </c>
      <c r="B10" s="1009" t="s">
        <v>9</v>
      </c>
      <c r="C10" s="1009"/>
      <c r="D10" s="1009"/>
      <c r="E10" s="1009"/>
      <c r="F10" s="186">
        <f>SUM(F11,F12,F15:F20)</f>
        <v>3804900</v>
      </c>
      <c r="G10" s="186">
        <f>SUM(G11,G12,G15:G20)</f>
        <v>0</v>
      </c>
      <c r="H10" s="186">
        <f>SUM(H11,H12,H15:H20)</f>
        <v>0</v>
      </c>
      <c r="I10" s="186">
        <f>SUM(I11,I12,I15:I20)</f>
        <v>0</v>
      </c>
      <c r="J10" s="884">
        <f t="shared" si="0"/>
        <v>3804900</v>
      </c>
      <c r="K10" s="640"/>
    </row>
    <row r="11" spans="1:11" ht="12.75" hidden="1">
      <c r="A11" s="182"/>
      <c r="B11" s="182" t="s">
        <v>10</v>
      </c>
      <c r="C11" s="1020" t="s">
        <v>11</v>
      </c>
      <c r="D11" s="1021"/>
      <c r="E11" s="1022"/>
      <c r="F11" s="185">
        <v>0</v>
      </c>
      <c r="G11" s="185">
        <v>0</v>
      </c>
      <c r="H11" s="185">
        <v>0</v>
      </c>
      <c r="I11" s="185">
        <v>0</v>
      </c>
      <c r="J11" s="186">
        <f t="shared" si="0"/>
        <v>0</v>
      </c>
      <c r="K11" s="640"/>
    </row>
    <row r="12" spans="1:11" ht="12.75" hidden="1">
      <c r="A12" s="182"/>
      <c r="B12" s="182" t="s">
        <v>12</v>
      </c>
      <c r="C12" s="998" t="s">
        <v>13</v>
      </c>
      <c r="D12" s="998"/>
      <c r="E12" s="998"/>
      <c r="F12" s="185">
        <f>SUM(F13:F14)</f>
        <v>0</v>
      </c>
      <c r="G12" s="185">
        <f>SUM(G13:G14)</f>
        <v>0</v>
      </c>
      <c r="H12" s="185">
        <f>SUM(H13:H14)</f>
        <v>0</v>
      </c>
      <c r="I12" s="185">
        <f>SUM(I13:I14)</f>
        <v>0</v>
      </c>
      <c r="J12" s="186">
        <f t="shared" si="0"/>
        <v>0</v>
      </c>
      <c r="K12" s="640"/>
    </row>
    <row r="13" spans="1:11" ht="23.25" customHeight="1" hidden="1">
      <c r="A13" s="188"/>
      <c r="B13" s="182"/>
      <c r="C13" s="188"/>
      <c r="D13" s="1005" t="s">
        <v>661</v>
      </c>
      <c r="E13" s="1006"/>
      <c r="F13" s="189">
        <v>0</v>
      </c>
      <c r="G13" s="189">
        <f>7430000-7430000</f>
        <v>0</v>
      </c>
      <c r="H13" s="189">
        <v>0</v>
      </c>
      <c r="I13" s="189">
        <v>0</v>
      </c>
      <c r="J13" s="200">
        <f t="shared" si="0"/>
        <v>0</v>
      </c>
      <c r="K13" s="640"/>
    </row>
    <row r="14" spans="1:11" ht="22.5" customHeight="1" hidden="1">
      <c r="A14" s="188"/>
      <c r="B14" s="182"/>
      <c r="C14" s="188"/>
      <c r="D14" s="1010" t="s">
        <v>662</v>
      </c>
      <c r="E14" s="1011"/>
      <c r="F14" s="189">
        <v>0</v>
      </c>
      <c r="G14" s="189">
        <v>0</v>
      </c>
      <c r="H14" s="189">
        <v>0</v>
      </c>
      <c r="I14" s="189">
        <v>0</v>
      </c>
      <c r="J14" s="200">
        <f t="shared" si="0"/>
        <v>0</v>
      </c>
      <c r="K14" s="640"/>
    </row>
    <row r="15" spans="1:11" ht="12.75" hidden="1">
      <c r="A15" s="182"/>
      <c r="B15" s="182" t="s">
        <v>129</v>
      </c>
      <c r="C15" s="998" t="s">
        <v>130</v>
      </c>
      <c r="D15" s="998"/>
      <c r="E15" s="998"/>
      <c r="F15" s="185">
        <v>0</v>
      </c>
      <c r="G15" s="185">
        <v>0</v>
      </c>
      <c r="H15" s="185">
        <v>0</v>
      </c>
      <c r="I15" s="185">
        <v>0</v>
      </c>
      <c r="J15" s="200">
        <f t="shared" si="0"/>
        <v>0</v>
      </c>
      <c r="K15" s="640"/>
    </row>
    <row r="16" spans="1:11" ht="12" customHeight="1" hidden="1">
      <c r="A16" s="182"/>
      <c r="B16" s="182" t="s">
        <v>131</v>
      </c>
      <c r="C16" s="1020" t="s">
        <v>132</v>
      </c>
      <c r="D16" s="1021"/>
      <c r="E16" s="1022"/>
      <c r="F16" s="185">
        <f aca="true" t="shared" si="1" ref="F16:I17">SUM(F17:F18)</f>
        <v>0</v>
      </c>
      <c r="G16" s="185">
        <f t="shared" si="1"/>
        <v>0</v>
      </c>
      <c r="H16" s="185">
        <f t="shared" si="1"/>
        <v>0</v>
      </c>
      <c r="I16" s="185">
        <f t="shared" si="1"/>
        <v>0</v>
      </c>
      <c r="J16" s="200">
        <f t="shared" si="0"/>
        <v>0</v>
      </c>
      <c r="K16" s="640"/>
    </row>
    <row r="17" spans="1:11" ht="13.5" customHeight="1" hidden="1">
      <c r="A17" s="188"/>
      <c r="B17" s="182" t="s">
        <v>133</v>
      </c>
      <c r="C17" s="182" t="s">
        <v>134</v>
      </c>
      <c r="D17" s="183"/>
      <c r="E17" s="184"/>
      <c r="F17" s="185">
        <f t="shared" si="1"/>
        <v>0</v>
      </c>
      <c r="G17" s="185">
        <f t="shared" si="1"/>
        <v>0</v>
      </c>
      <c r="H17" s="185">
        <f t="shared" si="1"/>
        <v>0</v>
      </c>
      <c r="I17" s="185">
        <f t="shared" si="1"/>
        <v>0</v>
      </c>
      <c r="J17" s="200">
        <f t="shared" si="0"/>
        <v>0</v>
      </c>
      <c r="K17" s="640"/>
    </row>
    <row r="18" spans="1:11" ht="12.75" hidden="1">
      <c r="A18" s="182"/>
      <c r="B18" s="182" t="s">
        <v>135</v>
      </c>
      <c r="C18" s="1020" t="s">
        <v>136</v>
      </c>
      <c r="D18" s="1021"/>
      <c r="E18" s="1022"/>
      <c r="F18" s="185">
        <f>SUM(F19)</f>
        <v>0</v>
      </c>
      <c r="G18" s="185">
        <f>SUM(G19)</f>
        <v>0</v>
      </c>
      <c r="H18" s="185">
        <f>SUM(H19)</f>
        <v>0</v>
      </c>
      <c r="I18" s="185">
        <f>SUM(I19)</f>
        <v>0</v>
      </c>
      <c r="J18" s="200">
        <f t="shared" si="0"/>
        <v>0</v>
      </c>
      <c r="K18" s="640"/>
    </row>
    <row r="19" spans="1:11" ht="12.75" hidden="1">
      <c r="A19" s="182"/>
      <c r="B19" s="182" t="s">
        <v>137</v>
      </c>
      <c r="C19" s="998" t="s">
        <v>14</v>
      </c>
      <c r="D19" s="998"/>
      <c r="E19" s="998"/>
      <c r="F19" s="185">
        <v>0</v>
      </c>
      <c r="G19" s="185">
        <v>0</v>
      </c>
      <c r="H19" s="185">
        <v>0</v>
      </c>
      <c r="I19" s="185">
        <v>0</v>
      </c>
      <c r="J19" s="200">
        <f t="shared" si="0"/>
        <v>0</v>
      </c>
      <c r="K19" s="640"/>
    </row>
    <row r="20" spans="1:11" ht="12.75">
      <c r="A20" s="182"/>
      <c r="B20" s="182" t="s">
        <v>138</v>
      </c>
      <c r="C20" s="1020" t="s">
        <v>139</v>
      </c>
      <c r="D20" s="1021"/>
      <c r="E20" s="1022"/>
      <c r="F20" s="185">
        <f>SUM(F21:F22)</f>
        <v>3804900</v>
      </c>
      <c r="G20" s="185">
        <f>SUM(G21:G22)</f>
        <v>0</v>
      </c>
      <c r="H20" s="185">
        <f>SUM(H21:H22)</f>
        <v>0</v>
      </c>
      <c r="I20" s="185">
        <f>SUM(I21:I22)</f>
        <v>0</v>
      </c>
      <c r="J20" s="200">
        <f t="shared" si="0"/>
        <v>3804900</v>
      </c>
      <c r="K20" s="640"/>
    </row>
    <row r="21" spans="1:11" ht="12.75">
      <c r="A21" s="188"/>
      <c r="B21" s="188"/>
      <c r="C21" s="188"/>
      <c r="D21" s="1020" t="s">
        <v>1118</v>
      </c>
      <c r="E21" s="1022"/>
      <c r="F21" s="189">
        <v>1500000</v>
      </c>
      <c r="G21" s="189">
        <v>0</v>
      </c>
      <c r="H21" s="189">
        <v>0</v>
      </c>
      <c r="I21" s="189">
        <v>0</v>
      </c>
      <c r="J21" s="200">
        <f t="shared" si="0"/>
        <v>1500000</v>
      </c>
      <c r="K21" s="640"/>
    </row>
    <row r="22" spans="1:11" s="190" customFormat="1" ht="12.75">
      <c r="A22" s="188"/>
      <c r="B22" s="188"/>
      <c r="C22" s="188"/>
      <c r="D22" s="1020" t="s">
        <v>615</v>
      </c>
      <c r="E22" s="1022"/>
      <c r="F22" s="189">
        <v>2304900</v>
      </c>
      <c r="G22" s="189">
        <v>0</v>
      </c>
      <c r="H22" s="189">
        <v>0</v>
      </c>
      <c r="I22" s="189">
        <v>0</v>
      </c>
      <c r="J22" s="200">
        <f t="shared" si="0"/>
        <v>2304900</v>
      </c>
      <c r="K22" s="640"/>
    </row>
    <row r="23" spans="1:11" ht="12" customHeight="1">
      <c r="A23" s="199" t="s">
        <v>140</v>
      </c>
      <c r="B23" s="999" t="s">
        <v>141</v>
      </c>
      <c r="C23" s="1000"/>
      <c r="D23" s="1000"/>
      <c r="E23" s="1001"/>
      <c r="F23" s="186">
        <f>SUM(F57+F46+F45+F43+F42+F41+F40+F29+F28+F27+F26+F24+F25)</f>
        <v>239454806</v>
      </c>
      <c r="G23" s="186">
        <f>SUM(G57+G46+G43+G42+G41+G40+G29+G28+G27+G26+G24+G25)</f>
        <v>0</v>
      </c>
      <c r="H23" s="186">
        <f>SUM(H57+H46+H43+H42+H41+H40+H29+H28+H27+H26+H24+H25)</f>
        <v>0</v>
      </c>
      <c r="I23" s="186">
        <f>SUM(I57+I46+I43+I42+I41+I40+I29+I28+I27+I26+I24+I25)</f>
        <v>0</v>
      </c>
      <c r="J23" s="884">
        <f t="shared" si="0"/>
        <v>239454806</v>
      </c>
      <c r="K23" s="640"/>
    </row>
    <row r="24" spans="1:11" ht="6" customHeight="1" hidden="1">
      <c r="A24" s="188"/>
      <c r="B24" s="188"/>
      <c r="C24" s="188" t="s">
        <v>142</v>
      </c>
      <c r="D24" s="188" t="s">
        <v>143</v>
      </c>
      <c r="E24" s="188"/>
      <c r="F24" s="189">
        <v>0</v>
      </c>
      <c r="G24" s="189">
        <v>0</v>
      </c>
      <c r="H24" s="189">
        <v>0</v>
      </c>
      <c r="I24" s="189">
        <v>0</v>
      </c>
      <c r="J24" s="200">
        <f t="shared" si="0"/>
        <v>0</v>
      </c>
      <c r="K24" s="641"/>
    </row>
    <row r="25" spans="1:11" ht="15" customHeight="1">
      <c r="A25" s="188"/>
      <c r="B25" s="188"/>
      <c r="C25" s="188" t="s">
        <v>144</v>
      </c>
      <c r="D25" s="188" t="s">
        <v>145</v>
      </c>
      <c r="E25" s="188"/>
      <c r="F25" s="189">
        <f>46343378+586418</f>
        <v>46929796</v>
      </c>
      <c r="G25" s="189">
        <v>0</v>
      </c>
      <c r="H25" s="189">
        <v>0</v>
      </c>
      <c r="I25" s="189">
        <v>0</v>
      </c>
      <c r="J25" s="200">
        <f t="shared" si="0"/>
        <v>46929796</v>
      </c>
      <c r="K25" s="641"/>
    </row>
    <row r="26" spans="1:11" ht="12.75" hidden="1">
      <c r="A26" s="188"/>
      <c r="B26" s="188"/>
      <c r="C26" s="188" t="s">
        <v>146</v>
      </c>
      <c r="D26" s="1007" t="s">
        <v>147</v>
      </c>
      <c r="E26" s="1008"/>
      <c r="F26" s="189">
        <v>0</v>
      </c>
      <c r="G26" s="189">
        <v>0</v>
      </c>
      <c r="H26" s="189">
        <v>0</v>
      </c>
      <c r="I26" s="189">
        <v>0</v>
      </c>
      <c r="J26" s="200">
        <f t="shared" si="0"/>
        <v>0</v>
      </c>
      <c r="K26" s="641"/>
    </row>
    <row r="27" spans="1:11" ht="12.75" hidden="1">
      <c r="A27" s="188"/>
      <c r="B27" s="188"/>
      <c r="C27" s="188" t="s">
        <v>148</v>
      </c>
      <c r="D27" s="1007" t="s">
        <v>149</v>
      </c>
      <c r="E27" s="1008"/>
      <c r="F27" s="189">
        <v>0</v>
      </c>
      <c r="G27" s="189">
        <v>0</v>
      </c>
      <c r="H27" s="189">
        <v>0</v>
      </c>
      <c r="I27" s="189">
        <v>0</v>
      </c>
      <c r="J27" s="200">
        <f t="shared" si="0"/>
        <v>0</v>
      </c>
      <c r="K27" s="641"/>
    </row>
    <row r="28" spans="1:11" ht="12.75" hidden="1">
      <c r="A28" s="188"/>
      <c r="B28" s="188"/>
      <c r="C28" s="188" t="s">
        <v>170</v>
      </c>
      <c r="D28" s="1007" t="s">
        <v>171</v>
      </c>
      <c r="E28" s="1008"/>
      <c r="F28" s="189">
        <v>0</v>
      </c>
      <c r="G28" s="189">
        <v>0</v>
      </c>
      <c r="H28" s="189">
        <v>0</v>
      </c>
      <c r="I28" s="189">
        <v>0</v>
      </c>
      <c r="J28" s="200">
        <f t="shared" si="0"/>
        <v>0</v>
      </c>
      <c r="K28" s="641"/>
    </row>
    <row r="29" spans="1:11" ht="12.75" hidden="1">
      <c r="A29" s="188"/>
      <c r="B29" s="188"/>
      <c r="C29" s="188" t="s">
        <v>172</v>
      </c>
      <c r="D29" s="1007" t="s">
        <v>173</v>
      </c>
      <c r="E29" s="1008"/>
      <c r="F29" s="189">
        <f>SUM(F30:F39)</f>
        <v>0</v>
      </c>
      <c r="G29" s="189">
        <f>SUM(G30:G39)</f>
        <v>0</v>
      </c>
      <c r="H29" s="189">
        <f>SUM(H30:H39)</f>
        <v>0</v>
      </c>
      <c r="I29" s="189">
        <f>SUM(I30:I39)</f>
        <v>0</v>
      </c>
      <c r="J29" s="200">
        <f t="shared" si="0"/>
        <v>0</v>
      </c>
      <c r="K29" s="641"/>
    </row>
    <row r="30" spans="1:11" ht="12.75" hidden="1">
      <c r="A30" s="201"/>
      <c r="B30" s="201"/>
      <c r="C30" s="202" t="s">
        <v>2</v>
      </c>
      <c r="D30" s="202" t="s">
        <v>150</v>
      </c>
      <c r="E30" s="202" t="s">
        <v>151</v>
      </c>
      <c r="F30" s="203">
        <v>0</v>
      </c>
      <c r="G30" s="203">
        <v>0</v>
      </c>
      <c r="H30" s="203">
        <v>0</v>
      </c>
      <c r="I30" s="203">
        <v>0</v>
      </c>
      <c r="J30" s="200">
        <f t="shared" si="0"/>
        <v>0</v>
      </c>
      <c r="K30" s="641"/>
    </row>
    <row r="31" spans="1:11" ht="12.75" hidden="1">
      <c r="A31" s="201"/>
      <c r="B31" s="201"/>
      <c r="C31" s="202"/>
      <c r="D31" s="202" t="s">
        <v>152</v>
      </c>
      <c r="E31" s="202" t="s">
        <v>153</v>
      </c>
      <c r="F31" s="203">
        <v>0</v>
      </c>
      <c r="G31" s="203">
        <v>0</v>
      </c>
      <c r="H31" s="203">
        <v>0</v>
      </c>
      <c r="I31" s="203">
        <v>0</v>
      </c>
      <c r="J31" s="200">
        <f t="shared" si="0"/>
        <v>0</v>
      </c>
      <c r="K31" s="641"/>
    </row>
    <row r="32" spans="1:11" ht="12.75" hidden="1">
      <c r="A32" s="201"/>
      <c r="B32" s="201"/>
      <c r="C32" s="202"/>
      <c r="D32" s="202" t="s">
        <v>154</v>
      </c>
      <c r="E32" s="202" t="s">
        <v>155</v>
      </c>
      <c r="F32" s="203">
        <v>0</v>
      </c>
      <c r="G32" s="203">
        <v>0</v>
      </c>
      <c r="H32" s="203">
        <v>0</v>
      </c>
      <c r="I32" s="203">
        <v>0</v>
      </c>
      <c r="J32" s="200">
        <f t="shared" si="0"/>
        <v>0</v>
      </c>
      <c r="K32" s="641"/>
    </row>
    <row r="33" spans="1:11" ht="12.75" hidden="1">
      <c r="A33" s="201"/>
      <c r="B33" s="201"/>
      <c r="C33" s="202"/>
      <c r="D33" s="202" t="s">
        <v>156</v>
      </c>
      <c r="E33" s="202" t="s">
        <v>157</v>
      </c>
      <c r="F33" s="203">
        <v>0</v>
      </c>
      <c r="G33" s="203">
        <v>0</v>
      </c>
      <c r="H33" s="203">
        <v>0</v>
      </c>
      <c r="I33" s="203">
        <v>0</v>
      </c>
      <c r="J33" s="200">
        <f t="shared" si="0"/>
        <v>0</v>
      </c>
      <c r="K33" s="641"/>
    </row>
    <row r="34" spans="1:11" ht="12.75" hidden="1">
      <c r="A34" s="201"/>
      <c r="B34" s="201"/>
      <c r="C34" s="202"/>
      <c r="D34" s="202" t="s">
        <v>158</v>
      </c>
      <c r="E34" s="202" t="s">
        <v>159</v>
      </c>
      <c r="F34" s="203">
        <v>0</v>
      </c>
      <c r="G34" s="203">
        <v>0</v>
      </c>
      <c r="H34" s="203">
        <v>0</v>
      </c>
      <c r="I34" s="203">
        <v>0</v>
      </c>
      <c r="J34" s="200">
        <f t="shared" si="0"/>
        <v>0</v>
      </c>
      <c r="K34" s="641"/>
    </row>
    <row r="35" spans="1:11" ht="12.75" hidden="1">
      <c r="A35" s="201"/>
      <c r="B35" s="201"/>
      <c r="C35" s="202"/>
      <c r="D35" s="202" t="s">
        <v>160</v>
      </c>
      <c r="E35" s="202" t="s">
        <v>161</v>
      </c>
      <c r="F35" s="203">
        <v>0</v>
      </c>
      <c r="G35" s="203">
        <v>0</v>
      </c>
      <c r="H35" s="203">
        <v>0</v>
      </c>
      <c r="I35" s="203">
        <v>0</v>
      </c>
      <c r="J35" s="200">
        <f t="shared" si="0"/>
        <v>0</v>
      </c>
      <c r="K35" s="641"/>
    </row>
    <row r="36" spans="1:11" ht="0.75" customHeight="1" hidden="1">
      <c r="A36" s="201"/>
      <c r="B36" s="201"/>
      <c r="C36" s="202"/>
      <c r="D36" s="202" t="s">
        <v>162</v>
      </c>
      <c r="E36" s="202" t="s">
        <v>163</v>
      </c>
      <c r="F36" s="203">
        <v>0</v>
      </c>
      <c r="G36" s="203">
        <v>0</v>
      </c>
      <c r="H36" s="203">
        <v>0</v>
      </c>
      <c r="I36" s="203">
        <v>0</v>
      </c>
      <c r="J36" s="200">
        <f t="shared" si="0"/>
        <v>0</v>
      </c>
      <c r="K36" s="641"/>
    </row>
    <row r="37" spans="1:11" ht="12.75" hidden="1">
      <c r="A37" s="201"/>
      <c r="B37" s="201"/>
      <c r="C37" s="202"/>
      <c r="D37" s="202" t="s">
        <v>164</v>
      </c>
      <c r="E37" s="202" t="s">
        <v>165</v>
      </c>
      <c r="F37" s="203">
        <v>0</v>
      </c>
      <c r="G37" s="203">
        <v>0</v>
      </c>
      <c r="H37" s="203">
        <v>0</v>
      </c>
      <c r="I37" s="203">
        <v>0</v>
      </c>
      <c r="J37" s="200">
        <f t="shared" si="0"/>
        <v>0</v>
      </c>
      <c r="K37" s="641"/>
    </row>
    <row r="38" spans="1:11" ht="12.75" hidden="1">
      <c r="A38" s="201"/>
      <c r="B38" s="201"/>
      <c r="C38" s="202"/>
      <c r="D38" s="202" t="s">
        <v>166</v>
      </c>
      <c r="E38" s="202" t="s">
        <v>167</v>
      </c>
      <c r="F38" s="203">
        <v>0</v>
      </c>
      <c r="G38" s="203">
        <v>0</v>
      </c>
      <c r="H38" s="203">
        <v>0</v>
      </c>
      <c r="I38" s="203">
        <v>0</v>
      </c>
      <c r="J38" s="200">
        <f t="shared" si="0"/>
        <v>0</v>
      </c>
      <c r="K38" s="641"/>
    </row>
    <row r="39" spans="1:11" ht="12.75" hidden="1">
      <c r="A39" s="201"/>
      <c r="B39" s="201"/>
      <c r="C39" s="202"/>
      <c r="D39" s="202" t="s">
        <v>168</v>
      </c>
      <c r="E39" s="202" t="s">
        <v>169</v>
      </c>
      <c r="F39" s="203">
        <v>0</v>
      </c>
      <c r="G39" s="203">
        <v>0</v>
      </c>
      <c r="H39" s="203">
        <v>0</v>
      </c>
      <c r="I39" s="203">
        <v>0</v>
      </c>
      <c r="J39" s="200">
        <f t="shared" si="0"/>
        <v>0</v>
      </c>
      <c r="K39" s="641"/>
    </row>
    <row r="40" spans="1:11" ht="12.75" hidden="1">
      <c r="A40" s="188"/>
      <c r="B40" s="188"/>
      <c r="C40" s="188" t="s">
        <v>174</v>
      </c>
      <c r="D40" s="1007" t="s">
        <v>175</v>
      </c>
      <c r="E40" s="1008"/>
      <c r="F40" s="189">
        <v>0</v>
      </c>
      <c r="G40" s="189">
        <v>0</v>
      </c>
      <c r="H40" s="189">
        <v>0</v>
      </c>
      <c r="I40" s="189">
        <v>0</v>
      </c>
      <c r="J40" s="200">
        <f t="shared" si="0"/>
        <v>0</v>
      </c>
      <c r="K40" s="641"/>
    </row>
    <row r="41" spans="1:11" ht="12.75" hidden="1">
      <c r="A41" s="188"/>
      <c r="B41" s="188"/>
      <c r="C41" s="188" t="s">
        <v>176</v>
      </c>
      <c r="D41" s="1007" t="s">
        <v>547</v>
      </c>
      <c r="E41" s="1008"/>
      <c r="F41" s="189">
        <v>0</v>
      </c>
      <c r="G41" s="189">
        <v>0</v>
      </c>
      <c r="H41" s="189">
        <v>0</v>
      </c>
      <c r="I41" s="189">
        <v>0</v>
      </c>
      <c r="J41" s="200">
        <f t="shared" si="0"/>
        <v>0</v>
      </c>
      <c r="K41" s="641"/>
    </row>
    <row r="42" spans="1:11" ht="12.75" hidden="1">
      <c r="A42" s="188"/>
      <c r="B42" s="188"/>
      <c r="C42" s="188" t="s">
        <v>187</v>
      </c>
      <c r="D42" s="1007" t="s">
        <v>188</v>
      </c>
      <c r="E42" s="1008"/>
      <c r="F42" s="189">
        <v>0</v>
      </c>
      <c r="G42" s="189">
        <v>0</v>
      </c>
      <c r="H42" s="189">
        <v>0</v>
      </c>
      <c r="I42" s="189">
        <v>0</v>
      </c>
      <c r="J42" s="200">
        <f t="shared" si="0"/>
        <v>0</v>
      </c>
      <c r="K42" s="641"/>
    </row>
    <row r="43" spans="1:11" ht="12.75" hidden="1">
      <c r="A43" s="188"/>
      <c r="B43" s="188"/>
      <c r="C43" s="188" t="s">
        <v>189</v>
      </c>
      <c r="D43" s="1007" t="s">
        <v>190</v>
      </c>
      <c r="E43" s="1008"/>
      <c r="F43" s="189">
        <v>0</v>
      </c>
      <c r="G43" s="189">
        <v>0</v>
      </c>
      <c r="H43" s="189">
        <v>0</v>
      </c>
      <c r="I43" s="189">
        <v>0</v>
      </c>
      <c r="J43" s="200">
        <f t="shared" si="0"/>
        <v>0</v>
      </c>
      <c r="K43" s="641"/>
    </row>
    <row r="44" spans="1:11" ht="12.75" hidden="1">
      <c r="A44" s="188"/>
      <c r="B44" s="188"/>
      <c r="C44" s="188" t="s">
        <v>191</v>
      </c>
      <c r="D44" s="1007" t="s">
        <v>587</v>
      </c>
      <c r="E44" s="1008"/>
      <c r="F44" s="189">
        <v>0</v>
      </c>
      <c r="G44" s="189">
        <v>0</v>
      </c>
      <c r="H44" s="189">
        <v>0</v>
      </c>
      <c r="I44" s="189">
        <v>0</v>
      </c>
      <c r="J44" s="200">
        <f t="shared" si="0"/>
        <v>0</v>
      </c>
      <c r="K44" s="641"/>
    </row>
    <row r="45" spans="1:11" ht="12.75">
      <c r="A45" s="188"/>
      <c r="B45" s="188"/>
      <c r="C45" s="188" t="s">
        <v>172</v>
      </c>
      <c r="D45" s="1005" t="s">
        <v>872</v>
      </c>
      <c r="E45" s="1006"/>
      <c r="F45" s="189">
        <f>1170350+46053+4844</f>
        <v>1221247</v>
      </c>
      <c r="G45" s="189">
        <v>0</v>
      </c>
      <c r="H45" s="189">
        <v>0</v>
      </c>
      <c r="I45" s="189">
        <v>0</v>
      </c>
      <c r="J45" s="200">
        <f t="shared" si="0"/>
        <v>1221247</v>
      </c>
      <c r="K45" s="641"/>
    </row>
    <row r="46" spans="1:11" ht="12.75">
      <c r="A46" s="188"/>
      <c r="B46" s="188"/>
      <c r="C46" s="188" t="s">
        <v>193</v>
      </c>
      <c r="D46" s="1005" t="s">
        <v>192</v>
      </c>
      <c r="E46" s="1006"/>
      <c r="F46" s="189">
        <f>177647755+10858846-1618094</f>
        <v>186888507</v>
      </c>
      <c r="G46" s="189">
        <f>SUM(G47:G56)</f>
        <v>0</v>
      </c>
      <c r="H46" s="189">
        <f>SUM(H47:H56)</f>
        <v>0</v>
      </c>
      <c r="I46" s="189">
        <f>SUM(I47:I56)</f>
        <v>0</v>
      </c>
      <c r="J46" s="200">
        <f t="shared" si="0"/>
        <v>186888507</v>
      </c>
      <c r="K46" s="641"/>
    </row>
    <row r="47" spans="1:11" ht="12.75" hidden="1">
      <c r="A47" s="204"/>
      <c r="B47" s="204"/>
      <c r="C47" s="202" t="s">
        <v>2</v>
      </c>
      <c r="D47" s="253" t="s">
        <v>150</v>
      </c>
      <c r="E47" s="253" t="s">
        <v>177</v>
      </c>
      <c r="F47" s="203">
        <v>0</v>
      </c>
      <c r="G47" s="203">
        <v>0</v>
      </c>
      <c r="H47" s="203">
        <v>0</v>
      </c>
      <c r="I47" s="203">
        <v>0</v>
      </c>
      <c r="J47" s="200">
        <f t="shared" si="0"/>
        <v>0</v>
      </c>
      <c r="K47" s="641"/>
    </row>
    <row r="48" spans="1:11" ht="12.75" hidden="1">
      <c r="A48" s="204"/>
      <c r="B48" s="204"/>
      <c r="C48" s="202"/>
      <c r="D48" s="253" t="s">
        <v>152</v>
      </c>
      <c r="E48" s="253" t="s">
        <v>584</v>
      </c>
      <c r="F48" s="203">
        <v>0</v>
      </c>
      <c r="G48" s="203"/>
      <c r="H48" s="203"/>
      <c r="I48" s="203"/>
      <c r="J48" s="200">
        <f t="shared" si="0"/>
        <v>0</v>
      </c>
      <c r="K48" s="641"/>
    </row>
    <row r="49" spans="1:11" ht="12.75" hidden="1">
      <c r="A49" s="204"/>
      <c r="B49" s="204"/>
      <c r="C49" s="202"/>
      <c r="D49" s="253" t="s">
        <v>154</v>
      </c>
      <c r="E49" s="253" t="s">
        <v>178</v>
      </c>
      <c r="F49" s="203">
        <f>100000</f>
        <v>100000</v>
      </c>
      <c r="G49" s="203">
        <v>0</v>
      </c>
      <c r="H49" s="203">
        <v>0</v>
      </c>
      <c r="I49" s="203">
        <v>0</v>
      </c>
      <c r="J49" s="200">
        <f t="shared" si="0"/>
        <v>100000</v>
      </c>
      <c r="K49" s="641"/>
    </row>
    <row r="50" spans="1:11" ht="12.75" hidden="1">
      <c r="A50" s="204"/>
      <c r="B50" s="204"/>
      <c r="C50" s="202"/>
      <c r="D50" s="253" t="s">
        <v>156</v>
      </c>
      <c r="E50" s="253" t="s">
        <v>179</v>
      </c>
      <c r="F50" s="203">
        <v>0</v>
      </c>
      <c r="G50" s="203">
        <v>0</v>
      </c>
      <c r="H50" s="203">
        <v>0</v>
      </c>
      <c r="I50" s="203">
        <v>0</v>
      </c>
      <c r="J50" s="200">
        <f t="shared" si="0"/>
        <v>0</v>
      </c>
      <c r="K50" s="641"/>
    </row>
    <row r="51" spans="1:11" ht="12.75" hidden="1">
      <c r="A51" s="204"/>
      <c r="B51" s="204"/>
      <c r="C51" s="202"/>
      <c r="D51" s="253" t="s">
        <v>158</v>
      </c>
      <c r="E51" s="253" t="s">
        <v>180</v>
      </c>
      <c r="F51" s="203">
        <v>0</v>
      </c>
      <c r="G51" s="203">
        <v>0</v>
      </c>
      <c r="H51" s="203">
        <v>0</v>
      </c>
      <c r="I51" s="203">
        <v>0</v>
      </c>
      <c r="J51" s="200">
        <f t="shared" si="0"/>
        <v>0</v>
      </c>
      <c r="K51" s="641"/>
    </row>
    <row r="52" spans="1:11" ht="12.75" hidden="1">
      <c r="A52" s="204"/>
      <c r="B52" s="204"/>
      <c r="C52" s="202"/>
      <c r="D52" s="253" t="s">
        <v>160</v>
      </c>
      <c r="E52" s="253" t="s">
        <v>181</v>
      </c>
      <c r="F52" s="203">
        <v>0</v>
      </c>
      <c r="G52" s="203">
        <v>0</v>
      </c>
      <c r="H52" s="203">
        <v>0</v>
      </c>
      <c r="I52" s="203">
        <v>0</v>
      </c>
      <c r="J52" s="200">
        <f t="shared" si="0"/>
        <v>0</v>
      </c>
      <c r="K52" s="641"/>
    </row>
    <row r="53" spans="1:11" ht="12.75" hidden="1">
      <c r="A53" s="201"/>
      <c r="B53" s="201"/>
      <c r="C53" s="202"/>
      <c r="D53" s="253" t="s">
        <v>162</v>
      </c>
      <c r="E53" s="253" t="s">
        <v>182</v>
      </c>
      <c r="F53" s="203">
        <f>16916206+43528000+9850000+2500000+32626000+18843000+37833000+1100000+3374212+13435298+6711326+25701000+11294000+3419000+5394000+8971000+5744000-782000-854000-8393000-50329-262038-267633-9876000-2249000-653000-1203000-2187000-868000-8000000-1200000+782000+854000-1607000-1500000</f>
        <v>208924042</v>
      </c>
      <c r="G53" s="203">
        <v>0</v>
      </c>
      <c r="H53" s="203">
        <v>0</v>
      </c>
      <c r="I53" s="203">
        <v>0</v>
      </c>
      <c r="J53" s="200">
        <f t="shared" si="0"/>
        <v>208924042</v>
      </c>
      <c r="K53" s="641"/>
    </row>
    <row r="54" spans="1:11" ht="12.75" hidden="1">
      <c r="A54" s="201"/>
      <c r="B54" s="201"/>
      <c r="C54" s="202"/>
      <c r="D54" s="253" t="s">
        <v>164</v>
      </c>
      <c r="E54" s="253" t="s">
        <v>183</v>
      </c>
      <c r="F54" s="203">
        <f>3224350+35026110</f>
        <v>38250460</v>
      </c>
      <c r="G54" s="203">
        <v>0</v>
      </c>
      <c r="H54" s="203">
        <v>0</v>
      </c>
      <c r="I54" s="203">
        <v>0</v>
      </c>
      <c r="J54" s="200">
        <f t="shared" si="0"/>
        <v>38250460</v>
      </c>
      <c r="K54" s="641"/>
    </row>
    <row r="55" spans="1:11" ht="12.75" hidden="1">
      <c r="A55" s="204"/>
      <c r="B55" s="204"/>
      <c r="C55" s="202"/>
      <c r="D55" s="253" t="s">
        <v>166</v>
      </c>
      <c r="E55" s="253" t="s">
        <v>185</v>
      </c>
      <c r="F55" s="203">
        <v>0</v>
      </c>
      <c r="G55" s="203">
        <v>0</v>
      </c>
      <c r="H55" s="203">
        <v>0</v>
      </c>
      <c r="I55" s="203">
        <v>0</v>
      </c>
      <c r="J55" s="200">
        <f t="shared" si="0"/>
        <v>0</v>
      </c>
      <c r="K55" s="641"/>
    </row>
    <row r="56" spans="1:11" ht="12.75" hidden="1">
      <c r="A56" s="204"/>
      <c r="B56" s="204"/>
      <c r="C56" s="202"/>
      <c r="D56" s="253" t="s">
        <v>168</v>
      </c>
      <c r="E56" s="253" t="s">
        <v>186</v>
      </c>
      <c r="F56" s="203">
        <v>0</v>
      </c>
      <c r="G56" s="203">
        <v>0</v>
      </c>
      <c r="H56" s="203">
        <v>0</v>
      </c>
      <c r="I56" s="203">
        <v>0</v>
      </c>
      <c r="J56" s="200">
        <f t="shared" si="0"/>
        <v>0</v>
      </c>
      <c r="K56" s="641"/>
    </row>
    <row r="57" spans="1:11" ht="12.75">
      <c r="A57" s="204"/>
      <c r="B57" s="204"/>
      <c r="C57" s="188" t="s">
        <v>588</v>
      </c>
      <c r="D57" s="1005" t="s">
        <v>194</v>
      </c>
      <c r="E57" s="1006"/>
      <c r="F57" s="189">
        <f>SUM(F58:F62)</f>
        <v>4415256</v>
      </c>
      <c r="G57" s="189">
        <f>SUM(G58:G61)</f>
        <v>0</v>
      </c>
      <c r="H57" s="189">
        <f>SUM(H58:H61)</f>
        <v>0</v>
      </c>
      <c r="I57" s="189">
        <f>SUM(I58:I61)</f>
        <v>0</v>
      </c>
      <c r="J57" s="200">
        <f t="shared" si="0"/>
        <v>4415256</v>
      </c>
      <c r="K57" s="641"/>
    </row>
    <row r="58" spans="1:11" ht="12.75">
      <c r="A58" s="201"/>
      <c r="B58" s="201"/>
      <c r="C58" s="205" t="s">
        <v>2</v>
      </c>
      <c r="D58" s="206"/>
      <c r="E58" s="207" t="s">
        <v>439</v>
      </c>
      <c r="F58" s="203">
        <f>1000000-180000-220000-512000</f>
        <v>88000</v>
      </c>
      <c r="G58" s="203">
        <v>0</v>
      </c>
      <c r="H58" s="203">
        <v>0</v>
      </c>
      <c r="I58" s="203">
        <v>0</v>
      </c>
      <c r="J58" s="200">
        <f t="shared" si="0"/>
        <v>88000</v>
      </c>
      <c r="K58" s="641"/>
    </row>
    <row r="59" spans="1:11" ht="12.75">
      <c r="A59" s="201"/>
      <c r="B59" s="201"/>
      <c r="C59" s="202"/>
      <c r="D59" s="206"/>
      <c r="E59" s="207" t="s">
        <v>474</v>
      </c>
      <c r="F59" s="203">
        <f>1000000-1000000+1618094-603515</f>
        <v>1014579</v>
      </c>
      <c r="G59" s="203">
        <v>0</v>
      </c>
      <c r="H59" s="203">
        <v>0</v>
      </c>
      <c r="I59" s="203">
        <v>0</v>
      </c>
      <c r="J59" s="200">
        <f t="shared" si="0"/>
        <v>1014579</v>
      </c>
      <c r="K59" s="641"/>
    </row>
    <row r="60" spans="1:11" ht="12.75">
      <c r="A60" s="201"/>
      <c r="B60" s="201"/>
      <c r="C60" s="202"/>
      <c r="D60" s="206"/>
      <c r="E60" s="207" t="s">
        <v>704</v>
      </c>
      <c r="F60" s="203">
        <f>350000+926229</f>
        <v>1276229</v>
      </c>
      <c r="G60" s="203">
        <v>0</v>
      </c>
      <c r="H60" s="203">
        <v>0</v>
      </c>
      <c r="I60" s="203">
        <v>0</v>
      </c>
      <c r="J60" s="200">
        <f t="shared" si="0"/>
        <v>1276229</v>
      </c>
      <c r="K60" s="641"/>
    </row>
    <row r="61" spans="1:11" ht="22.5" hidden="1">
      <c r="A61" s="201"/>
      <c r="B61" s="201"/>
      <c r="C61" s="202"/>
      <c r="D61" s="206"/>
      <c r="E61" s="639" t="s">
        <v>1016</v>
      </c>
      <c r="F61" s="203">
        <f>200000-200000</f>
        <v>0</v>
      </c>
      <c r="G61" s="203">
        <v>0</v>
      </c>
      <c r="H61" s="203">
        <v>0</v>
      </c>
      <c r="I61" s="203">
        <v>0</v>
      </c>
      <c r="J61" s="200">
        <f t="shared" si="0"/>
        <v>0</v>
      </c>
      <c r="K61" s="641"/>
    </row>
    <row r="62" spans="1:11" s="893" customFormat="1" ht="27.75" customHeight="1">
      <c r="A62" s="886"/>
      <c r="B62" s="886"/>
      <c r="C62" s="887"/>
      <c r="D62" s="888"/>
      <c r="E62" s="889" t="s">
        <v>1022</v>
      </c>
      <c r="F62" s="890">
        <v>2036448</v>
      </c>
      <c r="G62" s="203">
        <v>0</v>
      </c>
      <c r="H62" s="203">
        <v>0</v>
      </c>
      <c r="I62" s="203">
        <v>0</v>
      </c>
      <c r="J62" s="891">
        <f t="shared" si="0"/>
        <v>2036448</v>
      </c>
      <c r="K62" s="892"/>
    </row>
    <row r="63" spans="1:11" ht="12" customHeight="1">
      <c r="A63" s="199" t="s">
        <v>122</v>
      </c>
      <c r="B63" s="999" t="s">
        <v>373</v>
      </c>
      <c r="C63" s="1000"/>
      <c r="D63" s="1000"/>
      <c r="E63" s="1001"/>
      <c r="F63" s="186">
        <f>1034106071+138684+779383+620000+1578000+94270+14850-23410448+1077031+87249+764084+367914+162937+12976-106606+228000</f>
        <v>1016514395</v>
      </c>
      <c r="G63" s="186">
        <v>1016000</v>
      </c>
      <c r="H63" s="186">
        <f>946150+36576+592498+46143-108966-39624-69342</f>
        <v>1403435</v>
      </c>
      <c r="I63" s="186">
        <f>3132100+783939</f>
        <v>3916039</v>
      </c>
      <c r="J63" s="884">
        <f t="shared" si="0"/>
        <v>1022849869</v>
      </c>
      <c r="K63" s="640"/>
    </row>
    <row r="64" spans="1:11" ht="12.75">
      <c r="A64" s="199" t="s">
        <v>124</v>
      </c>
      <c r="B64" s="999" t="s">
        <v>123</v>
      </c>
      <c r="C64" s="1000"/>
      <c r="D64" s="1000"/>
      <c r="E64" s="1001"/>
      <c r="F64" s="186">
        <f>187022953+1600000+829010+29999998+16000000+152749-228000</f>
        <v>235376710</v>
      </c>
      <c r="G64" s="186">
        <v>0</v>
      </c>
      <c r="H64" s="186">
        <f>273095</f>
        <v>273095</v>
      </c>
      <c r="I64" s="186"/>
      <c r="J64" s="884">
        <f t="shared" si="0"/>
        <v>235649805</v>
      </c>
      <c r="K64" s="640"/>
    </row>
    <row r="65" spans="1:11" ht="12.75">
      <c r="A65" s="199" t="s">
        <v>126</v>
      </c>
      <c r="B65" s="999" t="s">
        <v>125</v>
      </c>
      <c r="C65" s="1000"/>
      <c r="D65" s="1000"/>
      <c r="E65" s="1001"/>
      <c r="F65" s="186">
        <f>SUM(F66:F74)</f>
        <v>10449520</v>
      </c>
      <c r="G65" s="186">
        <f>SUM(G66:G74)</f>
        <v>0</v>
      </c>
      <c r="H65" s="186">
        <f>SUM(H66:H74)</f>
        <v>0</v>
      </c>
      <c r="I65" s="186">
        <f>SUM(I66:I74)</f>
        <v>0</v>
      </c>
      <c r="J65" s="884">
        <f t="shared" si="0"/>
        <v>10449520</v>
      </c>
      <c r="K65" s="640"/>
    </row>
    <row r="66" spans="1:11" ht="12.75" hidden="1">
      <c r="A66" s="182"/>
      <c r="B66" s="182" t="s">
        <v>196</v>
      </c>
      <c r="C66" s="998" t="s">
        <v>197</v>
      </c>
      <c r="D66" s="998"/>
      <c r="E66" s="998"/>
      <c r="F66" s="185">
        <v>0</v>
      </c>
      <c r="G66" s="185">
        <v>0</v>
      </c>
      <c r="H66" s="185">
        <v>0</v>
      </c>
      <c r="I66" s="185">
        <v>0</v>
      </c>
      <c r="J66" s="186">
        <f t="shared" si="0"/>
        <v>0</v>
      </c>
      <c r="K66" s="640"/>
    </row>
    <row r="67" spans="1:11" ht="12.75" hidden="1">
      <c r="A67" s="182"/>
      <c r="B67" s="182" t="s">
        <v>198</v>
      </c>
      <c r="C67" s="998" t="s">
        <v>199</v>
      </c>
      <c r="D67" s="998"/>
      <c r="E67" s="998"/>
      <c r="F67" s="185">
        <v>0</v>
      </c>
      <c r="G67" s="185">
        <v>0</v>
      </c>
      <c r="H67" s="185">
        <v>0</v>
      </c>
      <c r="I67" s="185">
        <v>0</v>
      </c>
      <c r="J67" s="186">
        <f t="shared" si="0"/>
        <v>0</v>
      </c>
      <c r="K67" s="640"/>
    </row>
    <row r="68" spans="1:11" ht="12.75" hidden="1">
      <c r="A68" s="182" t="s">
        <v>195</v>
      </c>
      <c r="B68" s="182" t="s">
        <v>200</v>
      </c>
      <c r="C68" s="998" t="s">
        <v>201</v>
      </c>
      <c r="D68" s="998"/>
      <c r="E68" s="998"/>
      <c r="F68" s="185">
        <v>0</v>
      </c>
      <c r="G68" s="185">
        <v>0</v>
      </c>
      <c r="H68" s="185">
        <v>0</v>
      </c>
      <c r="I68" s="185">
        <v>0</v>
      </c>
      <c r="J68" s="186">
        <f t="shared" si="0"/>
        <v>0</v>
      </c>
      <c r="K68" s="640"/>
    </row>
    <row r="69" spans="1:11" ht="12.75" hidden="1">
      <c r="A69" s="182"/>
      <c r="B69" s="182" t="s">
        <v>202</v>
      </c>
      <c r="C69" s="998" t="s">
        <v>203</v>
      </c>
      <c r="D69" s="998"/>
      <c r="E69" s="998"/>
      <c r="F69" s="185">
        <v>0</v>
      </c>
      <c r="G69" s="185">
        <v>0</v>
      </c>
      <c r="H69" s="185">
        <v>0</v>
      </c>
      <c r="I69" s="185">
        <v>0</v>
      </c>
      <c r="J69" s="186">
        <f t="shared" si="0"/>
        <v>0</v>
      </c>
      <c r="K69" s="640"/>
    </row>
    <row r="70" spans="1:11" ht="12.75" hidden="1">
      <c r="A70" s="182"/>
      <c r="B70" s="182" t="s">
        <v>204</v>
      </c>
      <c r="C70" s="998" t="s">
        <v>205</v>
      </c>
      <c r="D70" s="998"/>
      <c r="E70" s="998"/>
      <c r="F70" s="185">
        <v>0</v>
      </c>
      <c r="G70" s="185">
        <v>0</v>
      </c>
      <c r="H70" s="185">
        <v>0</v>
      </c>
      <c r="I70" s="185">
        <v>0</v>
      </c>
      <c r="J70" s="186">
        <f t="shared" si="0"/>
        <v>0</v>
      </c>
      <c r="K70" s="640"/>
    </row>
    <row r="71" spans="1:11" ht="12.75" hidden="1">
      <c r="A71" s="182"/>
      <c r="B71" s="182" t="s">
        <v>206</v>
      </c>
      <c r="C71" s="998" t="s">
        <v>207</v>
      </c>
      <c r="D71" s="998"/>
      <c r="E71" s="998"/>
      <c r="F71" s="185">
        <v>0</v>
      </c>
      <c r="G71" s="185">
        <v>0</v>
      </c>
      <c r="H71" s="185">
        <v>0</v>
      </c>
      <c r="I71" s="185">
        <v>0</v>
      </c>
      <c r="J71" s="186">
        <f t="shared" si="0"/>
        <v>0</v>
      </c>
      <c r="K71" s="640"/>
    </row>
    <row r="72" spans="1:11" ht="12.75" hidden="1">
      <c r="A72" s="182"/>
      <c r="B72" s="182" t="s">
        <v>208</v>
      </c>
      <c r="C72" s="998" t="s">
        <v>209</v>
      </c>
      <c r="D72" s="998"/>
      <c r="E72" s="998"/>
      <c r="F72" s="185">
        <v>0</v>
      </c>
      <c r="G72" s="185">
        <v>0</v>
      </c>
      <c r="H72" s="185">
        <v>0</v>
      </c>
      <c r="I72" s="185">
        <v>0</v>
      </c>
      <c r="J72" s="186">
        <f>SUM(F72:I72)</f>
        <v>0</v>
      </c>
      <c r="K72" s="640"/>
    </row>
    <row r="73" spans="1:11" ht="12.75" hidden="1">
      <c r="A73" s="182"/>
      <c r="B73" s="182" t="s">
        <v>210</v>
      </c>
      <c r="C73" s="998" t="s">
        <v>590</v>
      </c>
      <c r="D73" s="998"/>
      <c r="E73" s="998"/>
      <c r="F73" s="185">
        <v>0</v>
      </c>
      <c r="G73" s="185">
        <v>0</v>
      </c>
      <c r="H73" s="185">
        <v>0</v>
      </c>
      <c r="I73" s="185">
        <v>0</v>
      </c>
      <c r="J73" s="186">
        <f>SUM(F73:I73)</f>
        <v>0</v>
      </c>
      <c r="K73" s="640"/>
    </row>
    <row r="74" spans="1:11" ht="12.75">
      <c r="A74" s="182"/>
      <c r="B74" s="182" t="s">
        <v>589</v>
      </c>
      <c r="C74" s="998" t="s">
        <v>703</v>
      </c>
      <c r="D74" s="998"/>
      <c r="E74" s="998"/>
      <c r="F74" s="185">
        <f>5449520+5000000</f>
        <v>10449520</v>
      </c>
      <c r="G74" s="185">
        <v>0</v>
      </c>
      <c r="H74" s="185">
        <v>0</v>
      </c>
      <c r="I74" s="185">
        <v>0</v>
      </c>
      <c r="J74" s="200">
        <f>SUM(F74:I74)</f>
        <v>10449520</v>
      </c>
      <c r="K74" s="640"/>
    </row>
    <row r="75" spans="1:11" ht="12.75">
      <c r="A75" s="199" t="s">
        <v>128</v>
      </c>
      <c r="B75" s="999" t="s">
        <v>127</v>
      </c>
      <c r="C75" s="1000"/>
      <c r="D75" s="1000"/>
      <c r="E75" s="1001"/>
      <c r="F75" s="186">
        <v>17347428</v>
      </c>
      <c r="G75" s="186">
        <v>0</v>
      </c>
      <c r="H75" s="186">
        <v>0</v>
      </c>
      <c r="I75" s="186">
        <v>0</v>
      </c>
      <c r="J75" s="884">
        <f>SUM(F75:I75)</f>
        <v>17347428</v>
      </c>
      <c r="K75" s="640"/>
    </row>
    <row r="76" spans="1:10" ht="12.75">
      <c r="A76" s="208"/>
      <c r="B76" s="209"/>
      <c r="C76" s="209"/>
      <c r="D76" s="209"/>
      <c r="E76" s="209"/>
      <c r="F76" s="210"/>
      <c r="G76" s="211"/>
      <c r="H76" s="211"/>
      <c r="I76" s="211"/>
      <c r="J76" s="212"/>
    </row>
    <row r="77" spans="1:10" ht="15.75">
      <c r="A77" s="1002" t="s">
        <v>211</v>
      </c>
      <c r="B77" s="1003"/>
      <c r="C77" s="1003"/>
      <c r="D77" s="1003"/>
      <c r="E77" s="1004"/>
      <c r="F77" s="213">
        <f>SUM(F7+F8+F9+F10+F23+F63+F64+F65+F75)</f>
        <v>2153789702</v>
      </c>
      <c r="G77" s="213">
        <f>SUM(G7+G8+G9+G10+G23+G63+G64+G65+G75)</f>
        <v>163874247</v>
      </c>
      <c r="H77" s="213">
        <f>SUM(H7+H8+H9+H10+H23+H63+H64+H65+H75)</f>
        <v>284918026</v>
      </c>
      <c r="I77" s="213">
        <f>SUM(I7+I8+I9+I10+I23+I63+I64+I65+I75)</f>
        <v>63564303</v>
      </c>
      <c r="J77" s="213">
        <f>SUM(J7+J8+J9+J10+J23+J63+J64+J65+J75)</f>
        <v>2666146278</v>
      </c>
    </row>
  </sheetData>
  <sheetProtection/>
  <mergeCells count="46">
    <mergeCell ref="D45:E45"/>
    <mergeCell ref="D21:E21"/>
    <mergeCell ref="D22:E22"/>
    <mergeCell ref="C16:E16"/>
    <mergeCell ref="C18:E18"/>
    <mergeCell ref="C19:E19"/>
    <mergeCell ref="C20:E20"/>
    <mergeCell ref="B23:E23"/>
    <mergeCell ref="D26:E26"/>
    <mergeCell ref="D27:E27"/>
    <mergeCell ref="A1:J1"/>
    <mergeCell ref="A3:J3"/>
    <mergeCell ref="A5:E5"/>
    <mergeCell ref="B6:E6"/>
    <mergeCell ref="B7:E7"/>
    <mergeCell ref="C12:E12"/>
    <mergeCell ref="C11:E11"/>
    <mergeCell ref="D28:E28"/>
    <mergeCell ref="B10:E10"/>
    <mergeCell ref="B8:E8"/>
    <mergeCell ref="B9:E9"/>
    <mergeCell ref="D13:E13"/>
    <mergeCell ref="D14:E14"/>
    <mergeCell ref="C15:E15"/>
    <mergeCell ref="D29:E29"/>
    <mergeCell ref="D40:E40"/>
    <mergeCell ref="D41:E41"/>
    <mergeCell ref="D42:E42"/>
    <mergeCell ref="D43:E43"/>
    <mergeCell ref="D44:E44"/>
    <mergeCell ref="B65:E65"/>
    <mergeCell ref="C66:E66"/>
    <mergeCell ref="C67:E67"/>
    <mergeCell ref="B64:E64"/>
    <mergeCell ref="D46:E46"/>
    <mergeCell ref="D57:E57"/>
    <mergeCell ref="B63:E63"/>
    <mergeCell ref="C74:E74"/>
    <mergeCell ref="B75:E75"/>
    <mergeCell ref="A77:E77"/>
    <mergeCell ref="C68:E68"/>
    <mergeCell ref="C69:E69"/>
    <mergeCell ref="C70:E70"/>
    <mergeCell ref="C71:E71"/>
    <mergeCell ref="C72:E72"/>
    <mergeCell ref="C73:E73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61"/>
  <sheetViews>
    <sheetView zoomScalePageLayoutView="0" workbookViewId="0" topLeftCell="B1">
      <selection activeCell="F1" sqref="F1:I1"/>
    </sheetView>
  </sheetViews>
  <sheetFormatPr defaultColWidth="9.00390625" defaultRowHeight="12.75"/>
  <cols>
    <col min="1" max="1" width="4.125" style="101" bestFit="1" customWidth="1"/>
    <col min="2" max="2" width="55.125" style="38" bestFit="1" customWidth="1"/>
    <col min="3" max="3" width="13.375" style="38" bestFit="1" customWidth="1"/>
    <col min="4" max="5" width="15.125" style="38" bestFit="1" customWidth="1"/>
    <col min="6" max="6" width="53.875" style="38" bestFit="1" customWidth="1"/>
    <col min="7" max="7" width="15.00390625" style="38" bestFit="1" customWidth="1"/>
    <col min="8" max="9" width="15.875" style="38" bestFit="1" customWidth="1"/>
    <col min="10" max="16384" width="9.125" style="38" customWidth="1"/>
  </cols>
  <sheetData>
    <row r="1" spans="6:10" ht="12.75" customHeight="1">
      <c r="F1" s="1026" t="s">
        <v>1155</v>
      </c>
      <c r="G1" s="1027"/>
      <c r="H1" s="1027"/>
      <c r="I1" s="1027"/>
      <c r="J1" s="88"/>
    </row>
    <row r="2" spans="2:9" ht="15.75">
      <c r="B2" s="1028" t="s">
        <v>871</v>
      </c>
      <c r="C2" s="1028"/>
      <c r="D2" s="1028"/>
      <c r="E2" s="1028"/>
      <c r="F2" s="1028"/>
      <c r="G2" s="1028"/>
      <c r="H2" s="1028"/>
      <c r="I2" s="1028"/>
    </row>
    <row r="3" ht="8.25" customHeight="1"/>
    <row r="4" spans="1:9" s="39" customFormat="1" ht="15" customHeight="1">
      <c r="A4" s="1030" t="s">
        <v>446</v>
      </c>
      <c r="B4" s="1029" t="s">
        <v>450</v>
      </c>
      <c r="C4" s="1029"/>
      <c r="D4" s="1029"/>
      <c r="E4" s="1029"/>
      <c r="F4" s="1029" t="s">
        <v>368</v>
      </c>
      <c r="G4" s="1029"/>
      <c r="H4" s="1029"/>
      <c r="I4" s="1029"/>
    </row>
    <row r="5" spans="1:9" s="42" customFormat="1" ht="14.25">
      <c r="A5" s="1030"/>
      <c r="B5" s="40" t="s">
        <v>367</v>
      </c>
      <c r="C5" s="41" t="s">
        <v>343</v>
      </c>
      <c r="D5" s="41" t="s">
        <v>342</v>
      </c>
      <c r="E5" s="41" t="s">
        <v>435</v>
      </c>
      <c r="F5" s="40" t="s">
        <v>367</v>
      </c>
      <c r="G5" s="41" t="s">
        <v>343</v>
      </c>
      <c r="H5" s="41" t="s">
        <v>342</v>
      </c>
      <c r="I5" s="41" t="s">
        <v>435</v>
      </c>
    </row>
    <row r="6" spans="1:9" s="100" customFormat="1" ht="12">
      <c r="A6" s="1030"/>
      <c r="B6" s="99" t="s">
        <v>440</v>
      </c>
      <c r="C6" s="99" t="s">
        <v>441</v>
      </c>
      <c r="D6" s="99" t="s">
        <v>442</v>
      </c>
      <c r="E6" s="99" t="s">
        <v>443</v>
      </c>
      <c r="F6" s="99" t="s">
        <v>444</v>
      </c>
      <c r="G6" s="99" t="s">
        <v>445</v>
      </c>
      <c r="H6" s="99" t="s">
        <v>447</v>
      </c>
      <c r="I6" s="99" t="s">
        <v>448</v>
      </c>
    </row>
    <row r="7" spans="1:9" s="63" customFormat="1" ht="14.25">
      <c r="A7" s="99">
        <v>1</v>
      </c>
      <c r="B7" s="62" t="s">
        <v>528</v>
      </c>
      <c r="C7" s="80">
        <f>SUM(C8)</f>
        <v>1043928764</v>
      </c>
      <c r="D7" s="80">
        <f>SUM(D32,D8)</f>
        <v>146772291</v>
      </c>
      <c r="E7" s="80">
        <f aca="true" t="shared" si="0" ref="E7:E30">SUM(C7:D7)</f>
        <v>1190701055</v>
      </c>
      <c r="F7" s="62" t="s">
        <v>529</v>
      </c>
      <c r="G7" s="80">
        <f>SUM(G8,G32)</f>
        <v>1379849656</v>
      </c>
      <c r="H7" s="80">
        <f>SUM(H8,H32)</f>
        <v>1268949194</v>
      </c>
      <c r="I7" s="80">
        <f aca="true" t="shared" si="1" ref="I7:I18">SUM(G7:H7)</f>
        <v>2648798850</v>
      </c>
    </row>
    <row r="8" spans="1:9" s="72" customFormat="1" ht="12.75">
      <c r="A8" s="102">
        <v>2</v>
      </c>
      <c r="B8" s="69" t="s">
        <v>468</v>
      </c>
      <c r="C8" s="70">
        <f>SUM(C28+C18+C13+C9)</f>
        <v>1043928764</v>
      </c>
      <c r="D8" s="70">
        <f>SUM(D28+D18+D13+D9)</f>
        <v>0</v>
      </c>
      <c r="E8" s="70">
        <f t="shared" si="0"/>
        <v>1043928764</v>
      </c>
      <c r="F8" s="71" t="s">
        <v>471</v>
      </c>
      <c r="G8" s="70">
        <f>SUM(G9:G13)</f>
        <v>1379849656</v>
      </c>
      <c r="H8" s="70">
        <f>SUM(H9:H13)</f>
        <v>0</v>
      </c>
      <c r="I8" s="70">
        <f t="shared" si="1"/>
        <v>1379849656</v>
      </c>
    </row>
    <row r="9" spans="1:9" s="45" customFormat="1" ht="12.75">
      <c r="A9" s="102">
        <v>3</v>
      </c>
      <c r="B9" s="78" t="s">
        <v>15</v>
      </c>
      <c r="C9" s="59">
        <f>SUM(C10:C12)</f>
        <v>711754271</v>
      </c>
      <c r="D9" s="59">
        <v>0</v>
      </c>
      <c r="E9" s="59">
        <f t="shared" si="0"/>
        <v>711754271</v>
      </c>
      <c r="F9" s="79" t="s">
        <v>472</v>
      </c>
      <c r="G9" s="59">
        <f>422579600+36347085+11080125+812250+20900-338000+200000+1420400+338000+220000+56100+2193899+565720+1059890+3179670-2666710+24000000+47334+2742+2666710+1229250+1500000+223500+1582900+1500000-1725000+325371+1725000+24000+12000+45000+10000-91000+3-3+4697+1-1+600000</f>
        <v>510751433</v>
      </c>
      <c r="H9" s="59">
        <v>0</v>
      </c>
      <c r="I9" s="59">
        <f t="shared" si="1"/>
        <v>510751433</v>
      </c>
    </row>
    <row r="10" spans="1:9" s="45" customFormat="1" ht="12.75">
      <c r="A10" s="99">
        <v>4</v>
      </c>
      <c r="B10" s="56" t="s">
        <v>16</v>
      </c>
      <c r="C10" s="61">
        <f>474324803+593921+81261+10844656+862312+10464000+10858846+3401000+2145000+2556000+356000+2554017</f>
        <v>519041816</v>
      </c>
      <c r="D10" s="61">
        <v>0</v>
      </c>
      <c r="E10" s="61">
        <f t="shared" si="0"/>
        <v>519041816</v>
      </c>
      <c r="F10" s="79" t="s">
        <v>717</v>
      </c>
      <c r="G10" s="59">
        <f>94757514+3543768+1080288+158389+4081-65910+39000+293204+65910+42900+10940+383932+99001+92742+278226-520008+4680000-8955+520008+215116+775525+39112+303260+575000-301875+33428+301875-66565</f>
        <v>107329906</v>
      </c>
      <c r="H10" s="59">
        <v>0</v>
      </c>
      <c r="I10" s="59">
        <f t="shared" si="1"/>
        <v>107329906</v>
      </c>
    </row>
    <row r="11" spans="1:9" s="45" customFormat="1" ht="12.75">
      <c r="A11" s="102">
        <v>5</v>
      </c>
      <c r="B11" s="56" t="s">
        <v>715</v>
      </c>
      <c r="C11" s="61">
        <v>0</v>
      </c>
      <c r="D11" s="61">
        <v>0</v>
      </c>
      <c r="E11" s="61">
        <f t="shared" si="0"/>
        <v>0</v>
      </c>
      <c r="F11" s="79" t="s">
        <v>38</v>
      </c>
      <c r="G11" s="59">
        <f>441669250+180000+220000+8618030+22660742+2730247+4347090+296854+8004000-2108200+413-413+1537859+247115+2108200+622539+10500000+656145+88787-600000+2794000+754380+1208400+300000+248400+30000+200000+516434+128723+40000+40000+40000+40000+40000-28680000-4844+23576063-165615-829010+6213+6147-6147+889000-889000+7367584+614391+300000+81000-273095-36576+269840+1875000+254000+161080+6019800-367914-162937-12976+106606+76049+1166000-889000+889000-592498-46143+9906+19812+69342+49530+69342+39600-39600+61868+558800+203200+8000-8000-783939-600000-27360+17097</f>
        <v>518508611</v>
      </c>
      <c r="H11" s="59">
        <v>0</v>
      </c>
      <c r="I11" s="59">
        <f t="shared" si="1"/>
        <v>518508611</v>
      </c>
    </row>
    <row r="12" spans="1:9" s="45" customFormat="1" ht="12.75">
      <c r="A12" s="102">
        <v>6</v>
      </c>
      <c r="B12" s="56" t="s">
        <v>17</v>
      </c>
      <c r="C12" s="61">
        <f>136641874-6854236-6737965+42621100+16507503+3303941+1960719+2577831+1152632+3457896+47334+1444366+262612+2156000+1166000-7430000+434848</f>
        <v>192712455</v>
      </c>
      <c r="D12" s="61">
        <v>0</v>
      </c>
      <c r="E12" s="61">
        <f t="shared" si="0"/>
        <v>192712455</v>
      </c>
      <c r="F12" s="79" t="s">
        <v>39</v>
      </c>
      <c r="G12" s="59">
        <f>11234900-7430000</f>
        <v>3804900</v>
      </c>
      <c r="H12" s="59">
        <v>0</v>
      </c>
      <c r="I12" s="59">
        <f t="shared" si="1"/>
        <v>3804900</v>
      </c>
    </row>
    <row r="13" spans="1:9" s="45" customFormat="1" ht="12.75">
      <c r="A13" s="99">
        <v>7</v>
      </c>
      <c r="B13" s="78" t="s">
        <v>21</v>
      </c>
      <c r="C13" s="59">
        <f>SUM(C14:C17)</f>
        <v>254780000</v>
      </c>
      <c r="D13" s="59">
        <f>SUM(D14:D17)</f>
        <v>0</v>
      </c>
      <c r="E13" s="59">
        <f t="shared" si="0"/>
        <v>254780000</v>
      </c>
      <c r="F13" s="83" t="s">
        <v>40</v>
      </c>
      <c r="G13" s="59">
        <f>SUM(G14:G18)</f>
        <v>239454806</v>
      </c>
      <c r="H13" s="59">
        <f>SUM(H14:H18)</f>
        <v>0</v>
      </c>
      <c r="I13" s="59">
        <f t="shared" si="1"/>
        <v>239454806</v>
      </c>
    </row>
    <row r="14" spans="1:9" s="46" customFormat="1" ht="12.75">
      <c r="A14" s="102">
        <v>8</v>
      </c>
      <c r="B14" s="56" t="s">
        <v>112</v>
      </c>
      <c r="C14" s="61">
        <v>232130000</v>
      </c>
      <c r="D14" s="61">
        <v>0</v>
      </c>
      <c r="E14" s="61">
        <f t="shared" si="0"/>
        <v>232130000</v>
      </c>
      <c r="F14" s="58" t="s">
        <v>794</v>
      </c>
      <c r="G14" s="61">
        <f>46343378+586418</f>
        <v>46929796</v>
      </c>
      <c r="H14" s="61">
        <v>0</v>
      </c>
      <c r="I14" s="61">
        <f t="shared" si="1"/>
        <v>46929796</v>
      </c>
    </row>
    <row r="15" spans="1:9" s="46" customFormat="1" ht="12.75">
      <c r="A15" s="102"/>
      <c r="B15" s="57" t="s">
        <v>834</v>
      </c>
      <c r="C15" s="61">
        <v>50000</v>
      </c>
      <c r="D15" s="61">
        <v>0</v>
      </c>
      <c r="E15" s="61">
        <f t="shared" si="0"/>
        <v>50000</v>
      </c>
      <c r="F15" s="58" t="s">
        <v>716</v>
      </c>
      <c r="G15" s="61">
        <v>0</v>
      </c>
      <c r="H15" s="61">
        <v>0</v>
      </c>
      <c r="I15" s="61">
        <f t="shared" si="1"/>
        <v>0</v>
      </c>
    </row>
    <row r="16" spans="1:9" s="46" customFormat="1" ht="12.75">
      <c r="A16" s="102">
        <v>9</v>
      </c>
      <c r="B16" s="57" t="s">
        <v>835</v>
      </c>
      <c r="C16" s="61">
        <v>22000000</v>
      </c>
      <c r="D16" s="61">
        <v>0</v>
      </c>
      <c r="E16" s="61">
        <f t="shared" si="0"/>
        <v>22000000</v>
      </c>
      <c r="F16" s="58" t="s">
        <v>873</v>
      </c>
      <c r="G16" s="61">
        <f>1170350+46053+4844</f>
        <v>1221247</v>
      </c>
      <c r="H16" s="61">
        <v>0</v>
      </c>
      <c r="I16" s="61">
        <f t="shared" si="1"/>
        <v>1221247</v>
      </c>
    </row>
    <row r="17" spans="1:9" s="46" customFormat="1" ht="12.75">
      <c r="A17" s="99">
        <v>10</v>
      </c>
      <c r="B17" s="56" t="s">
        <v>836</v>
      </c>
      <c r="C17" s="61">
        <v>600000</v>
      </c>
      <c r="D17" s="61">
        <v>0</v>
      </c>
      <c r="E17" s="61">
        <f t="shared" si="0"/>
        <v>600000</v>
      </c>
      <c r="F17" s="58" t="s">
        <v>874</v>
      </c>
      <c r="G17" s="61">
        <f>155533573-34818+23849000-500000-500000-700000+10858846-1618094</f>
        <v>186888507</v>
      </c>
      <c r="H17" s="61">
        <v>0</v>
      </c>
      <c r="I17" s="61">
        <f t="shared" si="1"/>
        <v>186888507</v>
      </c>
    </row>
    <row r="18" spans="1:9" s="46" customFormat="1" ht="12.75">
      <c r="A18" s="102">
        <v>11</v>
      </c>
      <c r="B18" s="78" t="s">
        <v>22</v>
      </c>
      <c r="C18" s="59">
        <f>SUM(C19:C27)</f>
        <v>71374693</v>
      </c>
      <c r="D18" s="59">
        <f>SUM(D19:D27)</f>
        <v>0</v>
      </c>
      <c r="E18" s="59">
        <f t="shared" si="0"/>
        <v>71374693</v>
      </c>
      <c r="F18" s="58" t="s">
        <v>875</v>
      </c>
      <c r="G18" s="61">
        <f>26199000-23849000+200000-1000000-180000-220000+97110256+2940272-8618030+926229-926229-22660742-6854236-6737965-46053-46343378+8004000-4923623-2940272+2036448-8004000-512000-200000+1618094-603515</f>
        <v>4415256</v>
      </c>
      <c r="H18" s="61">
        <f>5039360-5000000-39360</f>
        <v>0</v>
      </c>
      <c r="I18" s="61">
        <f t="shared" si="1"/>
        <v>4415256</v>
      </c>
    </row>
    <row r="19" spans="1:9" s="45" customFormat="1" ht="12.75">
      <c r="A19" s="102">
        <v>12</v>
      </c>
      <c r="B19" s="56" t="s">
        <v>591</v>
      </c>
      <c r="C19" s="61">
        <f>8000000+2794000+920000</f>
        <v>11714000</v>
      </c>
      <c r="D19" s="61">
        <v>0</v>
      </c>
      <c r="E19" s="61">
        <f t="shared" si="0"/>
        <v>11714000</v>
      </c>
      <c r="F19" s="83"/>
      <c r="G19" s="59"/>
      <c r="H19" s="59"/>
      <c r="I19" s="59"/>
    </row>
    <row r="20" spans="1:9" s="45" customFormat="1" ht="12.75">
      <c r="A20" s="99">
        <v>13</v>
      </c>
      <c r="B20" s="56" t="s">
        <v>23</v>
      </c>
      <c r="C20" s="61">
        <f>17817680+540000+1080000+8076772+300000+3110236+440000+160000</f>
        <v>31524688</v>
      </c>
      <c r="D20" s="61">
        <v>0</v>
      </c>
      <c r="E20" s="61">
        <f t="shared" si="0"/>
        <v>31524688</v>
      </c>
      <c r="F20" s="58"/>
      <c r="G20" s="61"/>
      <c r="H20" s="61"/>
      <c r="I20" s="61"/>
    </row>
    <row r="21" spans="1:9" s="45" customFormat="1" ht="12.75">
      <c r="A21" s="102">
        <v>14</v>
      </c>
      <c r="B21" s="56" t="s">
        <v>24</v>
      </c>
      <c r="C21" s="61">
        <v>9130778</v>
      </c>
      <c r="D21" s="61">
        <v>0</v>
      </c>
      <c r="E21" s="61">
        <f t="shared" si="0"/>
        <v>9130778</v>
      </c>
      <c r="F21" s="58"/>
      <c r="G21" s="61"/>
      <c r="H21" s="61"/>
      <c r="I21" s="61"/>
    </row>
    <row r="22" spans="1:9" s="45" customFormat="1" ht="12.75">
      <c r="A22" s="102">
        <v>15</v>
      </c>
      <c r="B22" s="56" t="s">
        <v>548</v>
      </c>
      <c r="C22" s="61">
        <v>721000</v>
      </c>
      <c r="D22" s="61">
        <v>0</v>
      </c>
      <c r="E22" s="61">
        <f t="shared" si="0"/>
        <v>721000</v>
      </c>
      <c r="F22" s="58"/>
      <c r="G22" s="61"/>
      <c r="H22" s="61"/>
      <c r="I22" s="61"/>
    </row>
    <row r="23" spans="1:9" s="45" customFormat="1" ht="12.75">
      <c r="A23" s="99">
        <v>16</v>
      </c>
      <c r="B23" s="56" t="s">
        <v>25</v>
      </c>
      <c r="C23" s="61">
        <v>6042864</v>
      </c>
      <c r="D23" s="61">
        <v>0</v>
      </c>
      <c r="E23" s="61">
        <f t="shared" si="0"/>
        <v>6042864</v>
      </c>
      <c r="F23" s="58"/>
      <c r="G23" s="61"/>
      <c r="H23" s="61"/>
      <c r="I23" s="61"/>
    </row>
    <row r="24" spans="1:9" s="45" customFormat="1" ht="12.75">
      <c r="A24" s="102">
        <v>17</v>
      </c>
      <c r="B24" s="56" t="s">
        <v>26</v>
      </c>
      <c r="C24" s="61">
        <f>5690292+754380+248400+2180728+81000+839764+118800+43200</f>
        <v>9956564</v>
      </c>
      <c r="D24" s="61">
        <v>0</v>
      </c>
      <c r="E24" s="61">
        <f t="shared" si="0"/>
        <v>9956564</v>
      </c>
      <c r="F24" s="44"/>
      <c r="G24" s="61"/>
      <c r="H24" s="60"/>
      <c r="I24" s="60"/>
    </row>
    <row r="25" spans="1:9" s="45" customFormat="1" ht="12.75">
      <c r="A25" s="102">
        <v>18</v>
      </c>
      <c r="B25" s="56" t="s">
        <v>304</v>
      </c>
      <c r="C25" s="61">
        <f>30000+664721+78901+516434+128723+109120</f>
        <v>1527899</v>
      </c>
      <c r="D25" s="61">
        <v>0</v>
      </c>
      <c r="E25" s="61">
        <f t="shared" si="0"/>
        <v>1527899</v>
      </c>
      <c r="F25" s="44"/>
      <c r="G25" s="61"/>
      <c r="H25" s="60"/>
      <c r="I25" s="60"/>
    </row>
    <row r="26" spans="1:9" s="45" customFormat="1" ht="12.75">
      <c r="A26" s="102">
        <v>19</v>
      </c>
      <c r="B26" s="56" t="s">
        <v>738</v>
      </c>
      <c r="C26" s="61">
        <v>500</v>
      </c>
      <c r="D26" s="61">
        <v>0</v>
      </c>
      <c r="E26" s="61">
        <f t="shared" si="0"/>
        <v>500</v>
      </c>
      <c r="F26" s="44"/>
      <c r="G26" s="61"/>
      <c r="H26" s="60"/>
      <c r="I26" s="60"/>
    </row>
    <row r="27" spans="1:9" s="43" customFormat="1" ht="12.75">
      <c r="A27" s="99">
        <v>20</v>
      </c>
      <c r="B27" s="56" t="s">
        <v>739</v>
      </c>
      <c r="C27" s="61">
        <f>12081400-233171+10464000-22252229+696400</f>
        <v>756400</v>
      </c>
      <c r="D27" s="61">
        <v>0</v>
      </c>
      <c r="E27" s="61">
        <f t="shared" si="0"/>
        <v>756400</v>
      </c>
      <c r="F27" s="44"/>
      <c r="G27" s="60"/>
      <c r="H27" s="60"/>
      <c r="I27" s="60"/>
    </row>
    <row r="28" spans="1:9" s="43" customFormat="1" ht="12.75">
      <c r="A28" s="102">
        <v>21</v>
      </c>
      <c r="B28" s="78" t="s">
        <v>32</v>
      </c>
      <c r="C28" s="59">
        <f>SUM(C29:C30)</f>
        <v>6019800</v>
      </c>
      <c r="D28" s="59">
        <v>0</v>
      </c>
      <c r="E28" s="59">
        <f t="shared" si="0"/>
        <v>6019800</v>
      </c>
      <c r="F28" s="44"/>
      <c r="G28" s="60"/>
      <c r="H28" s="60"/>
      <c r="I28" s="60"/>
    </row>
    <row r="29" spans="1:9" s="43" customFormat="1" ht="12.75">
      <c r="A29" s="102">
        <v>22</v>
      </c>
      <c r="B29" s="56" t="s">
        <v>33</v>
      </c>
      <c r="C29" s="61">
        <v>0</v>
      </c>
      <c r="D29" s="61">
        <v>0</v>
      </c>
      <c r="E29" s="61">
        <f t="shared" si="0"/>
        <v>0</v>
      </c>
      <c r="F29" s="44"/>
      <c r="G29" s="60"/>
      <c r="H29" s="60"/>
      <c r="I29" s="60"/>
    </row>
    <row r="30" spans="1:9" s="43" customFormat="1" ht="12.75">
      <c r="A30" s="99">
        <v>23</v>
      </c>
      <c r="B30" s="56" t="s">
        <v>34</v>
      </c>
      <c r="C30" s="61">
        <v>6019800</v>
      </c>
      <c r="D30" s="61">
        <v>0</v>
      </c>
      <c r="E30" s="61">
        <f t="shared" si="0"/>
        <v>6019800</v>
      </c>
      <c r="F30" s="44"/>
      <c r="G30" s="60"/>
      <c r="H30" s="60"/>
      <c r="I30" s="60"/>
    </row>
    <row r="31" spans="1:9" s="43" customFormat="1" ht="12.75">
      <c r="A31" s="102">
        <v>24</v>
      </c>
      <c r="B31" s="56"/>
      <c r="C31" s="61"/>
      <c r="D31" s="61"/>
      <c r="E31" s="61"/>
      <c r="F31" s="44"/>
      <c r="G31" s="60"/>
      <c r="H31" s="60"/>
      <c r="I31" s="60"/>
    </row>
    <row r="32" spans="1:9" s="72" customFormat="1" ht="12.75">
      <c r="A32" s="102">
        <v>25</v>
      </c>
      <c r="B32" s="73" t="s">
        <v>470</v>
      </c>
      <c r="C32" s="70">
        <f>SUM(C41+C36+C33)</f>
        <v>0</v>
      </c>
      <c r="D32" s="70">
        <f>SUM(D41+D36+D33)</f>
        <v>146772291</v>
      </c>
      <c r="E32" s="70">
        <f>SUM(D32:D32)</f>
        <v>146772291</v>
      </c>
      <c r="F32" s="71" t="s">
        <v>338</v>
      </c>
      <c r="G32" s="70">
        <f>SUM(G33:G35)</f>
        <v>0</v>
      </c>
      <c r="H32" s="70">
        <f>SUM(H33:H35)</f>
        <v>1268949194</v>
      </c>
      <c r="I32" s="70">
        <f aca="true" t="shared" si="2" ref="I32:I40">SUM(G32:H32)</f>
        <v>1268949194</v>
      </c>
    </row>
    <row r="33" spans="1:9" s="43" customFormat="1" ht="12.75">
      <c r="A33" s="99">
        <v>26</v>
      </c>
      <c r="B33" s="78" t="s">
        <v>18</v>
      </c>
      <c r="C33" s="59">
        <f>SUM(C34:C35)</f>
        <v>0</v>
      </c>
      <c r="D33" s="59">
        <f>SUM(D34:D35)</f>
        <v>79441268</v>
      </c>
      <c r="E33" s="59">
        <f>SUM(D33:D33)</f>
        <v>79441268</v>
      </c>
      <c r="F33" s="79" t="s">
        <v>41</v>
      </c>
      <c r="G33" s="59">
        <v>0</v>
      </c>
      <c r="H33" s="59">
        <f>1039200321+138684+779383+620000+1578000+94270+14850-23410448+36576+1077031+87249+764084+367914+162937+12976-106606+228000+592498+46143-108966-39624-69342+783939</f>
        <v>1022849869</v>
      </c>
      <c r="I33" s="59">
        <f t="shared" si="2"/>
        <v>1022849869</v>
      </c>
    </row>
    <row r="34" spans="1:9" s="43" customFormat="1" ht="12.75">
      <c r="A34" s="102">
        <v>27</v>
      </c>
      <c r="B34" s="56" t="s">
        <v>19</v>
      </c>
      <c r="C34" s="61">
        <v>0</v>
      </c>
      <c r="D34" s="61">
        <f>29999998</f>
        <v>29999998</v>
      </c>
      <c r="E34" s="61">
        <f aca="true" t="shared" si="3" ref="E34:E43">SUM(D34:D34)</f>
        <v>29999998</v>
      </c>
      <c r="F34" s="79" t="s">
        <v>42</v>
      </c>
      <c r="G34" s="59">
        <v>0</v>
      </c>
      <c r="H34" s="59">
        <f>187022953+1600000+829010+29999998+273095+16000000+152749-228000</f>
        <v>235649805</v>
      </c>
      <c r="I34" s="59">
        <f t="shared" si="2"/>
        <v>235649805</v>
      </c>
    </row>
    <row r="35" spans="1:9" s="43" customFormat="1" ht="12.75">
      <c r="A35" s="102">
        <v>28</v>
      </c>
      <c r="B35" s="56" t="s">
        <v>20</v>
      </c>
      <c r="C35" s="61">
        <v>0</v>
      </c>
      <c r="D35" s="61">
        <f>27667271-39360+138684+900000+779383+1499099+16000000+1331031+401078+764084</f>
        <v>49441270</v>
      </c>
      <c r="E35" s="61">
        <f t="shared" si="3"/>
        <v>49441270</v>
      </c>
      <c r="F35" s="79" t="s">
        <v>43</v>
      </c>
      <c r="G35" s="59">
        <f>SUM(G36:G40)</f>
        <v>0</v>
      </c>
      <c r="H35" s="59">
        <f>SUM(H36:H40)</f>
        <v>10449520</v>
      </c>
      <c r="I35" s="59">
        <f t="shared" si="2"/>
        <v>10449520</v>
      </c>
    </row>
    <row r="36" spans="1:9" s="43" customFormat="1" ht="12.75">
      <c r="A36" s="99">
        <v>29</v>
      </c>
      <c r="B36" s="78" t="s">
        <v>27</v>
      </c>
      <c r="C36" s="59">
        <f>SUM(C37:C40)</f>
        <v>0</v>
      </c>
      <c r="D36" s="59">
        <f>SUM(D37:D40)</f>
        <v>67331023</v>
      </c>
      <c r="E36" s="59">
        <f t="shared" si="3"/>
        <v>67331023</v>
      </c>
      <c r="F36" s="58" t="s">
        <v>44</v>
      </c>
      <c r="G36" s="61">
        <v>0</v>
      </c>
      <c r="H36" s="61">
        <v>0</v>
      </c>
      <c r="I36" s="61">
        <f t="shared" si="2"/>
        <v>0</v>
      </c>
    </row>
    <row r="37" spans="1:9" s="43" customFormat="1" ht="12.75">
      <c r="A37" s="102">
        <v>30</v>
      </c>
      <c r="B37" s="56" t="s">
        <v>28</v>
      </c>
      <c r="C37" s="61">
        <v>0</v>
      </c>
      <c r="D37" s="61">
        <v>0</v>
      </c>
      <c r="E37" s="61">
        <f t="shared" si="3"/>
        <v>0</v>
      </c>
      <c r="F37" s="58" t="s">
        <v>45</v>
      </c>
      <c r="G37" s="61">
        <v>0</v>
      </c>
      <c r="H37" s="61">
        <v>0</v>
      </c>
      <c r="I37" s="61">
        <f t="shared" si="2"/>
        <v>0</v>
      </c>
    </row>
    <row r="38" spans="1:9" s="45" customFormat="1" ht="12.75">
      <c r="A38" s="102">
        <v>31</v>
      </c>
      <c r="B38" s="56" t="s">
        <v>29</v>
      </c>
      <c r="C38" s="61">
        <f>SUM(C39:C40)</f>
        <v>0</v>
      </c>
      <c r="D38" s="61">
        <f>78841508+140105-900000+88787+200000-8458000-2581377</f>
        <v>67331023</v>
      </c>
      <c r="E38" s="61">
        <f t="shared" si="3"/>
        <v>67331023</v>
      </c>
      <c r="F38" s="58" t="s">
        <v>46</v>
      </c>
      <c r="G38" s="61">
        <v>0</v>
      </c>
      <c r="H38" s="61">
        <v>0</v>
      </c>
      <c r="I38" s="61">
        <f t="shared" si="2"/>
        <v>0</v>
      </c>
    </row>
    <row r="39" spans="1:9" s="45" customFormat="1" ht="12.75">
      <c r="A39" s="99">
        <v>32</v>
      </c>
      <c r="B39" s="56" t="s">
        <v>30</v>
      </c>
      <c r="C39" s="61">
        <v>0</v>
      </c>
      <c r="D39" s="61">
        <v>0</v>
      </c>
      <c r="E39" s="61">
        <f t="shared" si="3"/>
        <v>0</v>
      </c>
      <c r="F39" s="58" t="s">
        <v>47</v>
      </c>
      <c r="G39" s="61">
        <v>0</v>
      </c>
      <c r="H39" s="61">
        <v>0</v>
      </c>
      <c r="I39" s="61">
        <f t="shared" si="2"/>
        <v>0</v>
      </c>
    </row>
    <row r="40" spans="1:9" s="47" customFormat="1" ht="13.5">
      <c r="A40" s="102">
        <v>33</v>
      </c>
      <c r="B40" s="56" t="s">
        <v>31</v>
      </c>
      <c r="C40" s="61">
        <v>0</v>
      </c>
      <c r="D40" s="61">
        <v>0</v>
      </c>
      <c r="E40" s="61">
        <f t="shared" si="3"/>
        <v>0</v>
      </c>
      <c r="F40" s="58" t="s">
        <v>48</v>
      </c>
      <c r="G40" s="61">
        <v>0</v>
      </c>
      <c r="H40" s="61">
        <f>5449520+5000000</f>
        <v>10449520</v>
      </c>
      <c r="I40" s="61">
        <f t="shared" si="2"/>
        <v>10449520</v>
      </c>
    </row>
    <row r="41" spans="1:9" s="47" customFormat="1" ht="13.5">
      <c r="A41" s="102">
        <v>34</v>
      </c>
      <c r="B41" s="78" t="s">
        <v>35</v>
      </c>
      <c r="C41" s="59">
        <f>SUM(C42:C43)</f>
        <v>0</v>
      </c>
      <c r="D41" s="59">
        <f>SUM(D42:D43)</f>
        <v>0</v>
      </c>
      <c r="E41" s="59">
        <f t="shared" si="3"/>
        <v>0</v>
      </c>
      <c r="F41" s="58"/>
      <c r="G41" s="61"/>
      <c r="H41" s="61"/>
      <c r="I41" s="61"/>
    </row>
    <row r="42" spans="1:9" s="47" customFormat="1" ht="13.5">
      <c r="A42" s="99">
        <v>35</v>
      </c>
      <c r="B42" s="56" t="s">
        <v>708</v>
      </c>
      <c r="C42" s="61">
        <v>0</v>
      </c>
      <c r="D42" s="61">
        <v>0</v>
      </c>
      <c r="E42" s="61">
        <f t="shared" si="3"/>
        <v>0</v>
      </c>
      <c r="F42" s="48"/>
      <c r="G42" s="61"/>
      <c r="H42" s="61"/>
      <c r="I42" s="61"/>
    </row>
    <row r="43" spans="1:9" s="47" customFormat="1" ht="13.5">
      <c r="A43" s="102">
        <v>36</v>
      </c>
      <c r="B43" s="56" t="s">
        <v>707</v>
      </c>
      <c r="C43" s="61">
        <v>0</v>
      </c>
      <c r="D43" s="61">
        <v>0</v>
      </c>
      <c r="E43" s="61">
        <f t="shared" si="3"/>
        <v>0</v>
      </c>
      <c r="F43" s="48"/>
      <c r="G43" s="61"/>
      <c r="H43" s="61"/>
      <c r="I43" s="61"/>
    </row>
    <row r="44" spans="1:9" s="49" customFormat="1" ht="6" customHeight="1">
      <c r="A44" s="1031"/>
      <c r="B44" s="1032"/>
      <c r="C44" s="1032"/>
      <c r="D44" s="1032"/>
      <c r="E44" s="1032"/>
      <c r="F44" s="1032"/>
      <c r="G44" s="1032"/>
      <c r="H44" s="1032"/>
      <c r="I44" s="1033"/>
    </row>
    <row r="45" spans="1:9" s="49" customFormat="1" ht="15">
      <c r="A45" s="102">
        <v>37</v>
      </c>
      <c r="B45" s="1034" t="s">
        <v>530</v>
      </c>
      <c r="C45" s="1035"/>
      <c r="D45" s="1035"/>
      <c r="E45" s="1035"/>
      <c r="F45" s="1035"/>
      <c r="G45" s="146">
        <f>C7-G7</f>
        <v>-335920892</v>
      </c>
      <c r="H45" s="146">
        <f>D7-H7</f>
        <v>-1122176903</v>
      </c>
      <c r="I45" s="146">
        <f>SUM(G45:H45)</f>
        <v>-1458097795</v>
      </c>
    </row>
    <row r="46" spans="1:9" s="49" customFormat="1" ht="6" customHeight="1">
      <c r="A46" s="1023"/>
      <c r="B46" s="1024"/>
      <c r="C46" s="1024"/>
      <c r="D46" s="1024"/>
      <c r="E46" s="1024"/>
      <c r="F46" s="1024"/>
      <c r="G46" s="1024"/>
      <c r="H46" s="1024"/>
      <c r="I46" s="1025"/>
    </row>
    <row r="47" spans="1:9" s="66" customFormat="1" ht="28.5">
      <c r="A47" s="102">
        <v>38</v>
      </c>
      <c r="B47" s="62" t="s">
        <v>339</v>
      </c>
      <c r="C47" s="64">
        <f>SUM(C48:C49)</f>
        <v>305548289</v>
      </c>
      <c r="D47" s="64">
        <f>SUM(D48:D49)</f>
        <v>1169896934</v>
      </c>
      <c r="E47" s="64">
        <f>SUM(E48:E49)</f>
        <v>1475445223</v>
      </c>
      <c r="F47" s="65"/>
      <c r="G47" s="64"/>
      <c r="H47" s="64"/>
      <c r="I47" s="64"/>
    </row>
    <row r="48" spans="1:9" s="75" customFormat="1" ht="13.5">
      <c r="A48" s="99">
        <v>39</v>
      </c>
      <c r="B48" s="76" t="s">
        <v>709</v>
      </c>
      <c r="C48" s="70">
        <f>192181163+55+97110256+1537859+622539+11156145</f>
        <v>302608017</v>
      </c>
      <c r="D48" s="70">
        <f>1164857629-55+5039360</f>
        <v>1169896934</v>
      </c>
      <c r="E48" s="70">
        <f aca="true" t="shared" si="4" ref="E48:E54">SUM(C48:D48)</f>
        <v>1472504951</v>
      </c>
      <c r="F48" s="71"/>
      <c r="G48" s="70"/>
      <c r="H48" s="70"/>
      <c r="I48" s="70"/>
    </row>
    <row r="49" spans="1:9" s="75" customFormat="1" ht="13.5">
      <c r="A49" s="99">
        <v>40</v>
      </c>
      <c r="B49" s="76" t="s">
        <v>710</v>
      </c>
      <c r="C49" s="70">
        <v>2940272</v>
      </c>
      <c r="D49" s="70">
        <v>0</v>
      </c>
      <c r="E49" s="70">
        <f t="shared" si="4"/>
        <v>2940272</v>
      </c>
      <c r="F49" s="71"/>
      <c r="G49" s="70"/>
      <c r="H49" s="70"/>
      <c r="I49" s="70"/>
    </row>
    <row r="50" spans="1:9" s="66" customFormat="1" ht="28.5">
      <c r="A50" s="102">
        <v>41</v>
      </c>
      <c r="B50" s="62" t="s">
        <v>340</v>
      </c>
      <c r="C50" s="64">
        <f>SUM(C51:C53)</f>
        <v>0</v>
      </c>
      <c r="D50" s="64">
        <f>SUM(D51:D53)</f>
        <v>0</v>
      </c>
      <c r="E50" s="64">
        <f t="shared" si="4"/>
        <v>0</v>
      </c>
      <c r="F50" s="81" t="s">
        <v>341</v>
      </c>
      <c r="G50" s="64">
        <f>SUM(G51:G53)</f>
        <v>17347428</v>
      </c>
      <c r="H50" s="64">
        <f>SUM(H51:H53)</f>
        <v>0</v>
      </c>
      <c r="I50" s="64">
        <f>SUM(G50:H50)</f>
        <v>17347428</v>
      </c>
    </row>
    <row r="51" spans="1:9" s="75" customFormat="1" ht="13.5">
      <c r="A51" s="102">
        <v>42</v>
      </c>
      <c r="B51" s="74" t="s">
        <v>711</v>
      </c>
      <c r="C51" s="70">
        <v>0</v>
      </c>
      <c r="D51" s="70">
        <v>0</v>
      </c>
      <c r="E51" s="70">
        <f t="shared" si="4"/>
        <v>0</v>
      </c>
      <c r="F51" s="71" t="s">
        <v>713</v>
      </c>
      <c r="G51" s="70">
        <v>0</v>
      </c>
      <c r="H51" s="70">
        <v>0</v>
      </c>
      <c r="I51" s="70">
        <f>SUM(G51:H51)</f>
        <v>0</v>
      </c>
    </row>
    <row r="52" spans="1:9" s="77" customFormat="1" ht="12.75">
      <c r="A52" s="102">
        <v>43</v>
      </c>
      <c r="B52" s="74" t="s">
        <v>712</v>
      </c>
      <c r="C52" s="70">
        <v>0</v>
      </c>
      <c r="D52" s="70">
        <v>0</v>
      </c>
      <c r="E52" s="70">
        <f>SUM(C52:D52)</f>
        <v>0</v>
      </c>
      <c r="F52" s="71" t="s">
        <v>714</v>
      </c>
      <c r="G52" s="70">
        <v>0</v>
      </c>
      <c r="H52" s="70">
        <v>0</v>
      </c>
      <c r="I52" s="70">
        <f>SUM(G52:H52)</f>
        <v>0</v>
      </c>
    </row>
    <row r="53" spans="1:9" s="77" customFormat="1" ht="12.75">
      <c r="A53" s="102">
        <v>44</v>
      </c>
      <c r="B53" s="74" t="s">
        <v>705</v>
      </c>
      <c r="C53" s="70">
        <v>0</v>
      </c>
      <c r="D53" s="70">
        <v>0</v>
      </c>
      <c r="E53" s="70">
        <f>SUM(C53:D53)</f>
        <v>0</v>
      </c>
      <c r="F53" s="74" t="s">
        <v>706</v>
      </c>
      <c r="G53" s="70">
        <v>17347428</v>
      </c>
      <c r="H53" s="70">
        <v>0</v>
      </c>
      <c r="I53" s="70">
        <f>SUM(G53:H53)</f>
        <v>17347428</v>
      </c>
    </row>
    <row r="54" spans="1:9" s="68" customFormat="1" ht="15.75">
      <c r="A54" s="102">
        <v>45</v>
      </c>
      <c r="B54" s="67" t="s">
        <v>451</v>
      </c>
      <c r="C54" s="82">
        <f>SUM(C7,C47,C50)</f>
        <v>1349477053</v>
      </c>
      <c r="D54" s="82">
        <f>SUM(D7,D47,D50)</f>
        <v>1316669225</v>
      </c>
      <c r="E54" s="82">
        <f t="shared" si="4"/>
        <v>2666146278</v>
      </c>
      <c r="F54" s="67" t="s">
        <v>349</v>
      </c>
      <c r="G54" s="82">
        <f>SUM(G7,G50)</f>
        <v>1397197084</v>
      </c>
      <c r="H54" s="82">
        <f>SUM(H7,H50)</f>
        <v>1268949194</v>
      </c>
      <c r="I54" s="82">
        <f>SUM(G54:H54)</f>
        <v>2666146278</v>
      </c>
    </row>
    <row r="61" ht="15">
      <c r="B61" s="50"/>
    </row>
  </sheetData>
  <sheetProtection/>
  <mergeCells count="8">
    <mergeCell ref="A46:I46"/>
    <mergeCell ref="F1:I1"/>
    <mergeCell ref="B2:I2"/>
    <mergeCell ref="B4:E4"/>
    <mergeCell ref="F4:I4"/>
    <mergeCell ref="A4:A6"/>
    <mergeCell ref="A44:I44"/>
    <mergeCell ref="B45:F45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C62"/>
  <sheetViews>
    <sheetView zoomScale="95" zoomScaleNormal="95" zoomScalePageLayoutView="0" workbookViewId="0" topLeftCell="C1">
      <selection activeCell="T1" sqref="T1:Z1"/>
    </sheetView>
  </sheetViews>
  <sheetFormatPr defaultColWidth="8.875" defaultRowHeight="12.75"/>
  <cols>
    <col min="1" max="1" width="7.375" style="517" hidden="1" customWidth="1"/>
    <col min="2" max="2" width="6.375" style="518" hidden="1" customWidth="1"/>
    <col min="3" max="3" width="0.37109375" style="518" customWidth="1"/>
    <col min="4" max="4" width="4.625" style="519" bestFit="1" customWidth="1"/>
    <col min="5" max="5" width="30.375" style="517" customWidth="1"/>
    <col min="6" max="6" width="9.25390625" style="520" hidden="1" customWidth="1"/>
    <col min="7" max="7" width="11.375" style="517" bestFit="1" customWidth="1"/>
    <col min="8" max="8" width="11.125" style="517" customWidth="1"/>
    <col min="9" max="9" width="11.375" style="517" customWidth="1"/>
    <col min="10" max="11" width="10.25390625" style="517" customWidth="1"/>
    <col min="12" max="12" width="11.625" style="517" customWidth="1"/>
    <col min="13" max="13" width="9.875" style="517" customWidth="1"/>
    <col min="14" max="14" width="9.25390625" style="517" customWidth="1"/>
    <col min="15" max="16" width="10.00390625" style="517" customWidth="1"/>
    <col min="17" max="17" width="10.375" style="517" hidden="1" customWidth="1"/>
    <col min="18" max="18" width="9.25390625" style="517" hidden="1" customWidth="1"/>
    <col min="19" max="19" width="10.00390625" style="517" hidden="1" customWidth="1"/>
    <col min="20" max="20" width="10.375" style="517" hidden="1" customWidth="1"/>
    <col min="21" max="21" width="10.375" style="517" customWidth="1"/>
    <col min="22" max="22" width="12.875" style="517" bestFit="1" customWidth="1"/>
    <col min="23" max="23" width="11.375" style="517" bestFit="1" customWidth="1"/>
    <col min="24" max="24" width="11.125" style="517" customWidth="1"/>
    <col min="25" max="25" width="10.625" style="517" customWidth="1"/>
    <col min="26" max="26" width="15.75390625" style="574" bestFit="1" customWidth="1"/>
    <col min="27" max="27" width="14.375" style="517" customWidth="1"/>
    <col min="28" max="28" width="9.875" style="517" bestFit="1" customWidth="1"/>
    <col min="29" max="16384" width="8.875" style="517" customWidth="1"/>
  </cols>
  <sheetData>
    <row r="1" spans="3:26" ht="15">
      <c r="C1" s="1037"/>
      <c r="M1" s="191"/>
      <c r="N1" s="191"/>
      <c r="O1" s="191"/>
      <c r="P1" s="191"/>
      <c r="Q1" s="191"/>
      <c r="R1" s="191"/>
      <c r="S1" s="191"/>
      <c r="T1" s="1038" t="s">
        <v>1156</v>
      </c>
      <c r="U1" s="1038"/>
      <c r="V1" s="1039"/>
      <c r="W1" s="1039"/>
      <c r="X1" s="1039"/>
      <c r="Y1" s="1039"/>
      <c r="Z1" s="1039"/>
    </row>
    <row r="2" spans="3:26" ht="15">
      <c r="C2" s="1037"/>
      <c r="M2" s="191"/>
      <c r="N2" s="191"/>
      <c r="O2" s="191"/>
      <c r="P2" s="191"/>
      <c r="Q2" s="191"/>
      <c r="R2" s="191"/>
      <c r="S2" s="191"/>
      <c r="T2" s="633"/>
      <c r="U2" s="633"/>
      <c r="V2" s="634"/>
      <c r="W2" s="634"/>
      <c r="X2" s="634"/>
      <c r="Y2" s="634"/>
      <c r="Z2" s="634"/>
    </row>
    <row r="3" spans="1:26" ht="15.75">
      <c r="A3" s="521"/>
      <c r="B3" s="522"/>
      <c r="C3" s="1037"/>
      <c r="D3" s="522"/>
      <c r="E3" s="1040" t="s">
        <v>884</v>
      </c>
      <c r="F3" s="1040"/>
      <c r="G3" s="1040"/>
      <c r="H3" s="1040"/>
      <c r="I3" s="1040"/>
      <c r="J3" s="1040"/>
      <c r="K3" s="1040"/>
      <c r="L3" s="1040"/>
      <c r="M3" s="1040"/>
      <c r="N3" s="1040"/>
      <c r="O3" s="1040"/>
      <c r="P3" s="1040"/>
      <c r="Q3" s="1040"/>
      <c r="R3" s="1040"/>
      <c r="S3" s="1040"/>
      <c r="T3" s="1040"/>
      <c r="U3" s="1040"/>
      <c r="V3" s="1040"/>
      <c r="W3" s="1040"/>
      <c r="X3" s="1040"/>
      <c r="Y3" s="1040"/>
      <c r="Z3" s="1040"/>
    </row>
    <row r="4" ht="12.75" thickBot="1">
      <c r="Z4" s="523"/>
    </row>
    <row r="5" spans="2:26" s="524" customFormat="1" ht="12.75" customHeight="1">
      <c r="B5" s="525"/>
      <c r="C5" s="525"/>
      <c r="D5" s="1041" t="s">
        <v>446</v>
      </c>
      <c r="E5" s="1044" t="s">
        <v>367</v>
      </c>
      <c r="F5" s="1047" t="s">
        <v>374</v>
      </c>
      <c r="G5" s="1053" t="s">
        <v>375</v>
      </c>
      <c r="H5" s="1054"/>
      <c r="I5" s="1054"/>
      <c r="J5" s="1054"/>
      <c r="K5" s="1054"/>
      <c r="L5" s="1054"/>
      <c r="M5" s="1054"/>
      <c r="N5" s="1054"/>
      <c r="O5" s="1054"/>
      <c r="P5" s="1054"/>
      <c r="Q5" s="1054"/>
      <c r="R5" s="1054"/>
      <c r="S5" s="1054"/>
      <c r="T5" s="1054"/>
      <c r="U5" s="1054"/>
      <c r="V5" s="1054"/>
      <c r="W5" s="1054"/>
      <c r="X5" s="1054"/>
      <c r="Y5" s="1055"/>
      <c r="Z5" s="1056" t="s">
        <v>376</v>
      </c>
    </row>
    <row r="6" spans="2:26" s="526" customFormat="1" ht="12" customHeight="1">
      <c r="B6" s="527"/>
      <c r="C6" s="527"/>
      <c r="D6" s="1042"/>
      <c r="E6" s="1045"/>
      <c r="F6" s="1048"/>
      <c r="G6" s="528" t="s">
        <v>1</v>
      </c>
      <c r="H6" s="528" t="s">
        <v>3</v>
      </c>
      <c r="I6" s="528" t="s">
        <v>5</v>
      </c>
      <c r="J6" s="528" t="s">
        <v>8</v>
      </c>
      <c r="K6" s="1050" t="s">
        <v>660</v>
      </c>
      <c r="L6" s="1051"/>
      <c r="M6" s="1051"/>
      <c r="N6" s="1051"/>
      <c r="O6" s="1051"/>
      <c r="P6" s="1051"/>
      <c r="Q6" s="1051"/>
      <c r="R6" s="1051"/>
      <c r="S6" s="1051"/>
      <c r="T6" s="1052"/>
      <c r="U6" s="530"/>
      <c r="V6" s="530" t="s">
        <v>122</v>
      </c>
      <c r="W6" s="530" t="s">
        <v>124</v>
      </c>
      <c r="X6" s="528" t="s">
        <v>126</v>
      </c>
      <c r="Y6" s="528" t="s">
        <v>128</v>
      </c>
      <c r="Z6" s="1057"/>
    </row>
    <row r="7" spans="2:26" s="526" customFormat="1" ht="63.75" customHeight="1">
      <c r="B7" s="527"/>
      <c r="C7" s="527"/>
      <c r="D7" s="1042"/>
      <c r="E7" s="1046"/>
      <c r="F7" s="1049"/>
      <c r="G7" s="531" t="s">
        <v>348</v>
      </c>
      <c r="H7" s="531" t="s">
        <v>652</v>
      </c>
      <c r="I7" s="531" t="s">
        <v>369</v>
      </c>
      <c r="J7" s="531" t="s">
        <v>9</v>
      </c>
      <c r="K7" s="531" t="s">
        <v>145</v>
      </c>
      <c r="L7" s="531" t="s">
        <v>121</v>
      </c>
      <c r="M7" s="531" t="s">
        <v>885</v>
      </c>
      <c r="N7" s="531" t="s">
        <v>439</v>
      </c>
      <c r="O7" s="531" t="s">
        <v>1119</v>
      </c>
      <c r="P7" s="531" t="s">
        <v>474</v>
      </c>
      <c r="Q7" s="531" t="s">
        <v>1028</v>
      </c>
      <c r="R7" s="531" t="s">
        <v>1029</v>
      </c>
      <c r="S7" s="531" t="s">
        <v>1030</v>
      </c>
      <c r="T7" s="531" t="s">
        <v>1120</v>
      </c>
      <c r="U7" s="531" t="s">
        <v>1027</v>
      </c>
      <c r="V7" s="529" t="s">
        <v>346</v>
      </c>
      <c r="W7" s="529" t="s">
        <v>379</v>
      </c>
      <c r="X7" s="531" t="s">
        <v>659</v>
      </c>
      <c r="Y7" s="531" t="s">
        <v>127</v>
      </c>
      <c r="Z7" s="1058"/>
    </row>
    <row r="8" spans="2:26" s="532" customFormat="1" ht="12">
      <c r="B8" s="533"/>
      <c r="C8" s="533"/>
      <c r="D8" s="1043"/>
      <c r="E8" s="534" t="s">
        <v>440</v>
      </c>
      <c r="F8" s="535" t="s">
        <v>441</v>
      </c>
      <c r="G8" s="536" t="s">
        <v>441</v>
      </c>
      <c r="H8" s="536" t="s">
        <v>442</v>
      </c>
      <c r="I8" s="537" t="s">
        <v>443</v>
      </c>
      <c r="J8" s="534" t="s">
        <v>444</v>
      </c>
      <c r="K8" s="534" t="s">
        <v>445</v>
      </c>
      <c r="L8" s="537" t="s">
        <v>447</v>
      </c>
      <c r="M8" s="537" t="s">
        <v>448</v>
      </c>
      <c r="N8" s="537" t="s">
        <v>398</v>
      </c>
      <c r="O8" s="537" t="s">
        <v>399</v>
      </c>
      <c r="P8" s="536" t="s">
        <v>400</v>
      </c>
      <c r="Q8" s="537"/>
      <c r="R8" s="537"/>
      <c r="S8" s="536"/>
      <c r="T8" s="536" t="s">
        <v>401</v>
      </c>
      <c r="U8" s="536" t="s">
        <v>401</v>
      </c>
      <c r="V8" s="537" t="s">
        <v>402</v>
      </c>
      <c r="W8" s="537" t="s">
        <v>403</v>
      </c>
      <c r="X8" s="538" t="s">
        <v>404</v>
      </c>
      <c r="Y8" s="539" t="s">
        <v>405</v>
      </c>
      <c r="Z8" s="540" t="s">
        <v>917</v>
      </c>
    </row>
    <row r="9" spans="1:26" s="548" customFormat="1" ht="24">
      <c r="A9" s="517"/>
      <c r="B9" s="518"/>
      <c r="C9" s="518" t="s">
        <v>58</v>
      </c>
      <c r="D9" s="541" t="s">
        <v>406</v>
      </c>
      <c r="E9" s="542" t="s">
        <v>59</v>
      </c>
      <c r="F9" s="543"/>
      <c r="G9" s="544">
        <f>29452346+20900</f>
        <v>29473246</v>
      </c>
      <c r="H9" s="544">
        <f>7831519+4081</f>
        <v>7835600</v>
      </c>
      <c r="I9" s="545">
        <f>17230314+45000-2108200-413+754380+248400+23576063-367914</f>
        <v>39377630</v>
      </c>
      <c r="J9" s="545">
        <v>0</v>
      </c>
      <c r="K9" s="545">
        <v>0</v>
      </c>
      <c r="L9" s="545">
        <v>23349000</v>
      </c>
      <c r="M9" s="545">
        <v>1155350</v>
      </c>
      <c r="N9" s="545">
        <v>0</v>
      </c>
      <c r="O9" s="545">
        <v>0</v>
      </c>
      <c r="P9" s="545">
        <v>0</v>
      </c>
      <c r="Q9" s="545"/>
      <c r="R9" s="545"/>
      <c r="S9" s="545"/>
      <c r="T9" s="545">
        <v>0</v>
      </c>
      <c r="U9" s="544">
        <v>0</v>
      </c>
      <c r="V9" s="544">
        <f>94270+367914</f>
        <v>462184</v>
      </c>
      <c r="W9" s="545">
        <v>0</v>
      </c>
      <c r="X9" s="546">
        <v>0</v>
      </c>
      <c r="Y9" s="545">
        <v>0</v>
      </c>
      <c r="Z9" s="547">
        <f aca="true" t="shared" si="0" ref="Z9:Z56">SUM(G9:Y9)</f>
        <v>101653010</v>
      </c>
    </row>
    <row r="10" spans="1:26" s="548" customFormat="1" ht="23.25" customHeight="1">
      <c r="A10" s="517"/>
      <c r="B10" s="518"/>
      <c r="C10" s="518" t="s">
        <v>937</v>
      </c>
      <c r="D10" s="549" t="s">
        <v>407</v>
      </c>
      <c r="E10" s="542" t="s">
        <v>938</v>
      </c>
      <c r="F10" s="543"/>
      <c r="G10" s="544">
        <v>0</v>
      </c>
      <c r="H10" s="544">
        <v>0</v>
      </c>
      <c r="I10" s="545">
        <v>100000</v>
      </c>
      <c r="J10" s="545">
        <v>0</v>
      </c>
      <c r="K10" s="545">
        <v>0</v>
      </c>
      <c r="L10" s="545">
        <v>0</v>
      </c>
      <c r="M10" s="545">
        <v>0</v>
      </c>
      <c r="N10" s="545">
        <v>0</v>
      </c>
      <c r="O10" s="545">
        <v>0</v>
      </c>
      <c r="P10" s="545">
        <v>0</v>
      </c>
      <c r="Q10" s="546"/>
      <c r="R10" s="546"/>
      <c r="S10" s="545"/>
      <c r="T10" s="545">
        <v>0</v>
      </c>
      <c r="U10" s="544">
        <v>0</v>
      </c>
      <c r="V10" s="544">
        <v>0</v>
      </c>
      <c r="W10" s="545">
        <v>0</v>
      </c>
      <c r="X10" s="546">
        <v>0</v>
      </c>
      <c r="Y10" s="545">
        <v>0</v>
      </c>
      <c r="Z10" s="547">
        <f t="shared" si="0"/>
        <v>100000</v>
      </c>
    </row>
    <row r="11" spans="1:26" s="548" customFormat="1" ht="24">
      <c r="A11" s="517"/>
      <c r="B11" s="518" t="s">
        <v>52</v>
      </c>
      <c r="C11" s="518" t="s">
        <v>55</v>
      </c>
      <c r="D11" s="549" t="s">
        <v>408</v>
      </c>
      <c r="E11" s="550" t="s">
        <v>1127</v>
      </c>
      <c r="F11" s="551"/>
      <c r="G11" s="552">
        <v>0</v>
      </c>
      <c r="H11" s="552">
        <v>0</v>
      </c>
      <c r="I11" s="546">
        <f>34604863+8618030+88787+200000+40000</f>
        <v>43551680</v>
      </c>
      <c r="J11" s="546">
        <v>0</v>
      </c>
      <c r="K11" s="546">
        <v>0</v>
      </c>
      <c r="L11" s="546">
        <v>35126000</v>
      </c>
      <c r="M11" s="546">
        <v>0</v>
      </c>
      <c r="N11" s="546">
        <v>0</v>
      </c>
      <c r="O11" s="546">
        <v>0</v>
      </c>
      <c r="P11" s="546">
        <v>0</v>
      </c>
      <c r="Q11" s="546"/>
      <c r="R11" s="546"/>
      <c r="S11" s="546"/>
      <c r="T11" s="546">
        <v>0</v>
      </c>
      <c r="U11" s="544">
        <v>0</v>
      </c>
      <c r="V11" s="552">
        <f>686685231-23410448</f>
        <v>663274783</v>
      </c>
      <c r="W11" s="546">
        <f>8350000+16000000</f>
        <v>24350000</v>
      </c>
      <c r="X11" s="546">
        <v>449520</v>
      </c>
      <c r="Y11" s="546">
        <v>0</v>
      </c>
      <c r="Z11" s="547">
        <f t="shared" si="0"/>
        <v>766751983</v>
      </c>
    </row>
    <row r="12" spans="1:26" s="548" customFormat="1" ht="24">
      <c r="A12" s="517"/>
      <c r="B12" s="518" t="s">
        <v>54</v>
      </c>
      <c r="C12" s="518" t="s">
        <v>60</v>
      </c>
      <c r="D12" s="549" t="s">
        <v>409</v>
      </c>
      <c r="E12" s="550" t="s">
        <v>385</v>
      </c>
      <c r="F12" s="551"/>
      <c r="G12" s="552">
        <f>303150+1500000</f>
        <v>1803150</v>
      </c>
      <c r="H12" s="552">
        <f>156750+575000</f>
        <v>731750</v>
      </c>
      <c r="I12" s="546">
        <f>363850+1875000+6019800</f>
        <v>8258650</v>
      </c>
      <c r="J12" s="546">
        <v>0</v>
      </c>
      <c r="K12" s="546">
        <v>0</v>
      </c>
      <c r="L12" s="546">
        <v>0</v>
      </c>
      <c r="M12" s="546">
        <v>0</v>
      </c>
      <c r="N12" s="546">
        <v>0</v>
      </c>
      <c r="O12" s="546">
        <v>0</v>
      </c>
      <c r="P12" s="546">
        <v>0</v>
      </c>
      <c r="Q12" s="546"/>
      <c r="R12" s="546"/>
      <c r="S12" s="546"/>
      <c r="T12" s="546">
        <v>0</v>
      </c>
      <c r="U12" s="544">
        <v>0</v>
      </c>
      <c r="V12" s="552">
        <v>0</v>
      </c>
      <c r="W12" s="546">
        <v>0</v>
      </c>
      <c r="X12" s="546">
        <v>0</v>
      </c>
      <c r="Y12" s="546">
        <v>0</v>
      </c>
      <c r="Z12" s="547">
        <f t="shared" si="0"/>
        <v>10793550</v>
      </c>
    </row>
    <row r="13" spans="1:26" s="548" customFormat="1" ht="24">
      <c r="A13" s="517"/>
      <c r="B13" s="518"/>
      <c r="C13" s="518" t="s">
        <v>1024</v>
      </c>
      <c r="D13" s="894" t="s">
        <v>410</v>
      </c>
      <c r="E13" s="550" t="s">
        <v>1023</v>
      </c>
      <c r="F13" s="551"/>
      <c r="G13" s="552">
        <v>0</v>
      </c>
      <c r="H13" s="552">
        <v>0</v>
      </c>
      <c r="I13" s="552">
        <v>0</v>
      </c>
      <c r="J13" s="552">
        <v>0</v>
      </c>
      <c r="K13" s="552">
        <f>46343378+586418</f>
        <v>46929796</v>
      </c>
      <c r="L13" s="552">
        <v>0</v>
      </c>
      <c r="M13" s="552">
        <v>0</v>
      </c>
      <c r="N13" s="552">
        <v>0</v>
      </c>
      <c r="O13" s="552">
        <v>0</v>
      </c>
      <c r="P13" s="552">
        <v>0</v>
      </c>
      <c r="Q13" s="552"/>
      <c r="R13" s="552"/>
      <c r="S13" s="552"/>
      <c r="T13" s="552">
        <v>0</v>
      </c>
      <c r="U13" s="544">
        <v>0</v>
      </c>
      <c r="V13" s="552">
        <v>0</v>
      </c>
      <c r="W13" s="546">
        <v>0</v>
      </c>
      <c r="X13" s="546">
        <v>0</v>
      </c>
      <c r="Y13" s="546">
        <v>0</v>
      </c>
      <c r="Z13" s="547">
        <f t="shared" si="0"/>
        <v>46929796</v>
      </c>
    </row>
    <row r="14" spans="1:26" s="548" customFormat="1" ht="23.25" customHeight="1">
      <c r="A14" s="517"/>
      <c r="B14" s="518"/>
      <c r="C14" s="518" t="s">
        <v>649</v>
      </c>
      <c r="D14" s="549" t="s">
        <v>411</v>
      </c>
      <c r="E14" s="550" t="s">
        <v>650</v>
      </c>
      <c r="F14" s="551"/>
      <c r="G14" s="552">
        <v>0</v>
      </c>
      <c r="H14" s="552">
        <v>0</v>
      </c>
      <c r="I14" s="552">
        <f>413+128723+17097</f>
        <v>146233</v>
      </c>
      <c r="J14" s="552">
        <v>0</v>
      </c>
      <c r="K14" s="552">
        <v>0</v>
      </c>
      <c r="L14" s="552">
        <v>0</v>
      </c>
      <c r="M14" s="552">
        <v>0</v>
      </c>
      <c r="N14" s="552">
        <v>0</v>
      </c>
      <c r="O14" s="552">
        <v>0</v>
      </c>
      <c r="P14" s="552">
        <v>0</v>
      </c>
      <c r="Q14" s="552"/>
      <c r="R14" s="552"/>
      <c r="S14" s="552"/>
      <c r="T14" s="552">
        <v>0</v>
      </c>
      <c r="U14" s="544">
        <v>0</v>
      </c>
      <c r="V14" s="552">
        <v>0</v>
      </c>
      <c r="W14" s="546">
        <v>0</v>
      </c>
      <c r="X14" s="546">
        <v>0</v>
      </c>
      <c r="Y14" s="546">
        <v>17347428</v>
      </c>
      <c r="Z14" s="547">
        <f t="shared" si="0"/>
        <v>17493661</v>
      </c>
    </row>
    <row r="15" spans="1:26" s="548" customFormat="1" ht="24">
      <c r="A15" s="517">
        <v>20215</v>
      </c>
      <c r="B15" s="518" t="s">
        <v>55</v>
      </c>
      <c r="C15" s="518" t="s">
        <v>63</v>
      </c>
      <c r="D15" s="549" t="s">
        <v>412</v>
      </c>
      <c r="E15" s="550" t="s">
        <v>64</v>
      </c>
      <c r="F15" s="551"/>
      <c r="G15" s="552">
        <v>2861900</v>
      </c>
      <c r="H15" s="552">
        <v>558071</v>
      </c>
      <c r="I15" s="546">
        <v>228600</v>
      </c>
      <c r="J15" s="546">
        <v>0</v>
      </c>
      <c r="K15" s="546">
        <v>0</v>
      </c>
      <c r="L15" s="546">
        <f>16442529-34818+10858846-1618094</f>
        <v>25648463</v>
      </c>
      <c r="M15" s="546">
        <v>0</v>
      </c>
      <c r="N15" s="546">
        <v>0</v>
      </c>
      <c r="O15" s="546">
        <v>0</v>
      </c>
      <c r="P15" s="546">
        <v>0</v>
      </c>
      <c r="Q15" s="546"/>
      <c r="R15" s="546"/>
      <c r="S15" s="546"/>
      <c r="T15" s="546">
        <v>0</v>
      </c>
      <c r="U15" s="544">
        <v>0</v>
      </c>
      <c r="V15" s="552">
        <v>0</v>
      </c>
      <c r="W15" s="546">
        <v>0</v>
      </c>
      <c r="X15" s="546">
        <v>0</v>
      </c>
      <c r="Y15" s="546">
        <v>0</v>
      </c>
      <c r="Z15" s="547">
        <f t="shared" si="0"/>
        <v>29297034</v>
      </c>
    </row>
    <row r="16" spans="1:26" s="548" customFormat="1" ht="24">
      <c r="A16" s="517"/>
      <c r="B16" s="518"/>
      <c r="C16" s="518" t="s">
        <v>801</v>
      </c>
      <c r="D16" s="549" t="s">
        <v>413</v>
      </c>
      <c r="E16" s="550" t="s">
        <v>795</v>
      </c>
      <c r="F16" s="551"/>
      <c r="G16" s="552">
        <f>9367995+11080125+1059890</f>
        <v>21508010</v>
      </c>
      <c r="H16" s="552">
        <f>913380+1080288+92742</f>
        <v>2086410</v>
      </c>
      <c r="I16" s="552">
        <f>351636+4347090+106606</f>
        <v>4805332</v>
      </c>
      <c r="J16" s="552">
        <v>0</v>
      </c>
      <c r="K16" s="552">
        <v>0</v>
      </c>
      <c r="L16" s="552">
        <v>0</v>
      </c>
      <c r="M16" s="552">
        <v>0</v>
      </c>
      <c r="N16" s="552">
        <v>0</v>
      </c>
      <c r="O16" s="552">
        <v>0</v>
      </c>
      <c r="P16" s="552">
        <v>0</v>
      </c>
      <c r="Q16" s="552"/>
      <c r="R16" s="552"/>
      <c r="S16" s="552"/>
      <c r="T16" s="552">
        <v>0</v>
      </c>
      <c r="U16" s="544">
        <v>0</v>
      </c>
      <c r="V16" s="552">
        <f>289870+138684-106606</f>
        <v>321948</v>
      </c>
      <c r="W16" s="546">
        <v>0</v>
      </c>
      <c r="X16" s="552">
        <v>0</v>
      </c>
      <c r="Y16" s="546">
        <v>0</v>
      </c>
      <c r="Z16" s="547">
        <f t="shared" si="0"/>
        <v>28721700</v>
      </c>
    </row>
    <row r="17" spans="1:26" s="548" customFormat="1" ht="24">
      <c r="A17" s="517"/>
      <c r="B17" s="518"/>
      <c r="C17" s="518" t="s">
        <v>802</v>
      </c>
      <c r="D17" s="549" t="s">
        <v>414</v>
      </c>
      <c r="E17" s="550" t="s">
        <v>796</v>
      </c>
      <c r="F17" s="551"/>
      <c r="G17" s="552">
        <f>11117970+36347085+3179670</f>
        <v>50644725</v>
      </c>
      <c r="H17" s="552">
        <f>1084002+3543768+278226</f>
        <v>4905996</v>
      </c>
      <c r="I17" s="552">
        <f>278994+2730247</f>
        <v>3009241</v>
      </c>
      <c r="J17" s="552">
        <v>0</v>
      </c>
      <c r="K17" s="552">
        <v>0</v>
      </c>
      <c r="L17" s="552">
        <v>0</v>
      </c>
      <c r="M17" s="552">
        <v>0</v>
      </c>
      <c r="N17" s="552">
        <v>0</v>
      </c>
      <c r="O17" s="552">
        <v>0</v>
      </c>
      <c r="P17" s="552">
        <v>0</v>
      </c>
      <c r="Q17" s="552"/>
      <c r="R17" s="552"/>
      <c r="S17" s="552"/>
      <c r="T17" s="552">
        <v>0</v>
      </c>
      <c r="U17" s="544">
        <v>0</v>
      </c>
      <c r="V17" s="552">
        <v>0</v>
      </c>
      <c r="W17" s="546">
        <v>0</v>
      </c>
      <c r="X17" s="552">
        <v>0</v>
      </c>
      <c r="Y17" s="546">
        <v>0</v>
      </c>
      <c r="Z17" s="547">
        <f t="shared" si="0"/>
        <v>58559962</v>
      </c>
    </row>
    <row r="18" spans="1:26" s="548" customFormat="1" ht="22.5" customHeight="1">
      <c r="A18" s="517"/>
      <c r="B18" s="518"/>
      <c r="C18" s="518" t="s">
        <v>651</v>
      </c>
      <c r="D18" s="549" t="s">
        <v>415</v>
      </c>
      <c r="E18" s="550" t="s">
        <v>1104</v>
      </c>
      <c r="F18" s="551"/>
      <c r="G18" s="552">
        <v>0</v>
      </c>
      <c r="H18" s="552">
        <v>0</v>
      </c>
      <c r="I18" s="552">
        <v>0</v>
      </c>
      <c r="J18" s="552">
        <v>0</v>
      </c>
      <c r="K18" s="552">
        <v>0</v>
      </c>
      <c r="L18" s="552">
        <v>0</v>
      </c>
      <c r="M18" s="552">
        <v>0</v>
      </c>
      <c r="N18" s="552">
        <v>0</v>
      </c>
      <c r="O18" s="552">
        <v>0</v>
      </c>
      <c r="P18" s="552">
        <v>0</v>
      </c>
      <c r="Q18" s="552"/>
      <c r="R18" s="552"/>
      <c r="S18" s="552"/>
      <c r="T18" s="552">
        <v>0</v>
      </c>
      <c r="U18" s="544">
        <v>0</v>
      </c>
      <c r="V18" s="552">
        <v>12223750</v>
      </c>
      <c r="W18" s="546">
        <v>0</v>
      </c>
      <c r="X18" s="552">
        <v>0</v>
      </c>
      <c r="Y18" s="546">
        <v>0</v>
      </c>
      <c r="Z18" s="547">
        <f t="shared" si="0"/>
        <v>12223750</v>
      </c>
    </row>
    <row r="19" spans="2:26" ht="24">
      <c r="B19" s="518" t="s">
        <v>58</v>
      </c>
      <c r="C19" s="518" t="s">
        <v>53</v>
      </c>
      <c r="D19" s="549" t="s">
        <v>416</v>
      </c>
      <c r="E19" s="550" t="s">
        <v>550</v>
      </c>
      <c r="F19" s="551"/>
      <c r="G19" s="552">
        <v>0</v>
      </c>
      <c r="H19" s="552">
        <v>0</v>
      </c>
      <c r="I19" s="546">
        <f>15352369+1</f>
        <v>15352370</v>
      </c>
      <c r="J19" s="546">
        <v>0</v>
      </c>
      <c r="K19" s="546">
        <v>0</v>
      </c>
      <c r="L19" s="546">
        <v>0</v>
      </c>
      <c r="M19" s="546">
        <v>0</v>
      </c>
      <c r="N19" s="546">
        <v>0</v>
      </c>
      <c r="O19" s="546">
        <v>0</v>
      </c>
      <c r="P19" s="546">
        <v>0</v>
      </c>
      <c r="Q19" s="552"/>
      <c r="R19" s="552"/>
      <c r="S19" s="546"/>
      <c r="T19" s="546">
        <v>0</v>
      </c>
      <c r="U19" s="544">
        <v>0</v>
      </c>
      <c r="V19" s="546">
        <v>0</v>
      </c>
      <c r="W19" s="546">
        <v>0</v>
      </c>
      <c r="X19" s="546">
        <v>0</v>
      </c>
      <c r="Y19" s="546">
        <v>0</v>
      </c>
      <c r="Z19" s="547">
        <f t="shared" si="0"/>
        <v>15352370</v>
      </c>
    </row>
    <row r="20" spans="2:26" ht="24">
      <c r="B20" s="518" t="s">
        <v>60</v>
      </c>
      <c r="C20" s="518" t="s">
        <v>65</v>
      </c>
      <c r="D20" s="549" t="s">
        <v>417</v>
      </c>
      <c r="E20" s="550" t="s">
        <v>66</v>
      </c>
      <c r="F20" s="551"/>
      <c r="G20" s="552">
        <v>0</v>
      </c>
      <c r="H20" s="552">
        <v>0</v>
      </c>
      <c r="I20" s="546">
        <f>1000000+1208400+40000+254000</f>
        <v>2502400</v>
      </c>
      <c r="J20" s="546">
        <v>0</v>
      </c>
      <c r="K20" s="546">
        <v>0</v>
      </c>
      <c r="L20" s="546">
        <v>0</v>
      </c>
      <c r="M20" s="546">
        <v>0</v>
      </c>
      <c r="N20" s="546">
        <v>0</v>
      </c>
      <c r="O20" s="546">
        <v>0</v>
      </c>
      <c r="P20" s="546">
        <v>0</v>
      </c>
      <c r="Q20" s="552"/>
      <c r="R20" s="552"/>
      <c r="S20" s="546"/>
      <c r="T20" s="546">
        <v>0</v>
      </c>
      <c r="U20" s="544">
        <v>0</v>
      </c>
      <c r="V20" s="546">
        <f>106961800+1077031</f>
        <v>108038831</v>
      </c>
      <c r="W20" s="546">
        <v>0</v>
      </c>
      <c r="X20" s="546">
        <v>0</v>
      </c>
      <c r="Y20" s="546">
        <v>0</v>
      </c>
      <c r="Z20" s="547">
        <f t="shared" si="0"/>
        <v>110541231</v>
      </c>
    </row>
    <row r="21" spans="3:26" ht="24">
      <c r="C21" s="518" t="s">
        <v>909</v>
      </c>
      <c r="D21" s="549" t="s">
        <v>418</v>
      </c>
      <c r="E21" s="550" t="s">
        <v>886</v>
      </c>
      <c r="F21" s="553"/>
      <c r="G21" s="552">
        <v>0</v>
      </c>
      <c r="H21" s="552">
        <v>0</v>
      </c>
      <c r="I21" s="546">
        <f>40000</f>
        <v>40000</v>
      </c>
      <c r="J21" s="546">
        <v>0</v>
      </c>
      <c r="K21" s="546">
        <v>0</v>
      </c>
      <c r="L21" s="546">
        <v>0</v>
      </c>
      <c r="M21" s="546">
        <v>0</v>
      </c>
      <c r="N21" s="546">
        <v>0</v>
      </c>
      <c r="O21" s="546">
        <v>0</v>
      </c>
      <c r="P21" s="546">
        <v>0</v>
      </c>
      <c r="Q21" s="552"/>
      <c r="R21" s="552"/>
      <c r="S21" s="546"/>
      <c r="T21" s="546">
        <v>0</v>
      </c>
      <c r="U21" s="544">
        <v>0</v>
      </c>
      <c r="V21" s="546">
        <v>196302400</v>
      </c>
      <c r="W21" s="546">
        <v>0</v>
      </c>
      <c r="X21" s="546">
        <v>0</v>
      </c>
      <c r="Y21" s="546">
        <v>0</v>
      </c>
      <c r="Z21" s="547">
        <f t="shared" si="0"/>
        <v>196342400</v>
      </c>
    </row>
    <row r="22" spans="1:26" ht="24">
      <c r="A22" s="517">
        <v>751791</v>
      </c>
      <c r="B22" s="518" t="s">
        <v>61</v>
      </c>
      <c r="C22" s="518" t="s">
        <v>49</v>
      </c>
      <c r="D22" s="549" t="s">
        <v>419</v>
      </c>
      <c r="E22" s="550" t="s">
        <v>50</v>
      </c>
      <c r="F22" s="553"/>
      <c r="G22" s="546">
        <v>0</v>
      </c>
      <c r="H22" s="552">
        <v>0</v>
      </c>
      <c r="I22" s="546">
        <v>2827348</v>
      </c>
      <c r="J22" s="546">
        <v>0</v>
      </c>
      <c r="K22" s="546">
        <v>0</v>
      </c>
      <c r="L22" s="546">
        <v>0</v>
      </c>
      <c r="M22" s="546">
        <v>0</v>
      </c>
      <c r="N22" s="546">
        <v>0</v>
      </c>
      <c r="O22" s="546">
        <v>0</v>
      </c>
      <c r="P22" s="546">
        <v>0</v>
      </c>
      <c r="Q22" s="546"/>
      <c r="R22" s="546"/>
      <c r="S22" s="546"/>
      <c r="T22" s="546">
        <v>0</v>
      </c>
      <c r="U22" s="544">
        <v>0</v>
      </c>
      <c r="V22" s="546">
        <v>0</v>
      </c>
      <c r="W22" s="546">
        <v>0</v>
      </c>
      <c r="X22" s="546">
        <v>0</v>
      </c>
      <c r="Y22" s="546">
        <v>0</v>
      </c>
      <c r="Z22" s="547">
        <f t="shared" si="0"/>
        <v>2827348</v>
      </c>
    </row>
    <row r="23" spans="1:26" ht="24">
      <c r="A23" s="517">
        <v>751834</v>
      </c>
      <c r="B23" s="518" t="s">
        <v>62</v>
      </c>
      <c r="C23" s="518" t="s">
        <v>51</v>
      </c>
      <c r="D23" s="549" t="s">
        <v>420</v>
      </c>
      <c r="E23" s="550" t="s">
        <v>383</v>
      </c>
      <c r="F23" s="551"/>
      <c r="G23" s="552">
        <v>0</v>
      </c>
      <c r="H23" s="552">
        <v>0</v>
      </c>
      <c r="I23" s="546">
        <f>10052423+1</f>
        <v>10052424</v>
      </c>
      <c r="J23" s="546">
        <v>0</v>
      </c>
      <c r="K23" s="546">
        <v>0</v>
      </c>
      <c r="L23" s="546">
        <v>0</v>
      </c>
      <c r="M23" s="546">
        <v>0</v>
      </c>
      <c r="N23" s="546">
        <v>0</v>
      </c>
      <c r="O23" s="546">
        <v>0</v>
      </c>
      <c r="P23" s="546">
        <v>0</v>
      </c>
      <c r="Q23" s="546"/>
      <c r="R23" s="546"/>
      <c r="S23" s="546"/>
      <c r="T23" s="546">
        <v>0</v>
      </c>
      <c r="U23" s="544">
        <v>0</v>
      </c>
      <c r="V23" s="546">
        <v>0</v>
      </c>
      <c r="W23" s="546">
        <v>0</v>
      </c>
      <c r="X23" s="546">
        <v>0</v>
      </c>
      <c r="Y23" s="546">
        <v>0</v>
      </c>
      <c r="Z23" s="547">
        <f t="shared" si="0"/>
        <v>10052424</v>
      </c>
    </row>
    <row r="24" spans="3:26" ht="24">
      <c r="C24" s="518" t="s">
        <v>52</v>
      </c>
      <c r="D24" s="549" t="s">
        <v>421</v>
      </c>
      <c r="E24" s="550" t="s">
        <v>887</v>
      </c>
      <c r="F24" s="551"/>
      <c r="G24" s="552">
        <v>22000</v>
      </c>
      <c r="H24" s="552">
        <v>8956</v>
      </c>
      <c r="I24" s="546">
        <f>5410023+22660742</f>
        <v>28070765</v>
      </c>
      <c r="J24" s="546">
        <v>0</v>
      </c>
      <c r="K24" s="546">
        <v>0</v>
      </c>
      <c r="L24" s="546">
        <v>0</v>
      </c>
      <c r="M24" s="546">
        <v>0</v>
      </c>
      <c r="N24" s="546">
        <v>0</v>
      </c>
      <c r="O24" s="546">
        <v>0</v>
      </c>
      <c r="P24" s="546">
        <v>0</v>
      </c>
      <c r="Q24" s="546"/>
      <c r="R24" s="546"/>
      <c r="S24" s="546"/>
      <c r="T24" s="546">
        <v>0</v>
      </c>
      <c r="U24" s="544">
        <v>0</v>
      </c>
      <c r="V24" s="552">
        <v>0</v>
      </c>
      <c r="W24" s="546">
        <v>0</v>
      </c>
      <c r="X24" s="546">
        <f>5000000+5000000</f>
        <v>10000000</v>
      </c>
      <c r="Y24" s="546">
        <v>0</v>
      </c>
      <c r="Z24" s="547">
        <f t="shared" si="0"/>
        <v>38101721</v>
      </c>
    </row>
    <row r="25" spans="3:26" ht="24">
      <c r="C25" s="518" t="s">
        <v>910</v>
      </c>
      <c r="D25" s="549" t="s">
        <v>422</v>
      </c>
      <c r="E25" s="550" t="s">
        <v>888</v>
      </c>
      <c r="F25" s="551"/>
      <c r="G25" s="552">
        <v>0</v>
      </c>
      <c r="H25" s="552">
        <v>0</v>
      </c>
      <c r="I25" s="546">
        <f>40000</f>
        <v>40000</v>
      </c>
      <c r="J25" s="546">
        <v>0</v>
      </c>
      <c r="K25" s="546">
        <v>0</v>
      </c>
      <c r="L25" s="546">
        <v>0</v>
      </c>
      <c r="M25" s="546">
        <v>0</v>
      </c>
      <c r="N25" s="546">
        <v>0</v>
      </c>
      <c r="O25" s="546">
        <v>0</v>
      </c>
      <c r="P25" s="546">
        <v>0</v>
      </c>
      <c r="Q25" s="546"/>
      <c r="R25" s="546"/>
      <c r="S25" s="546"/>
      <c r="T25" s="546">
        <v>0</v>
      </c>
      <c r="U25" s="544">
        <v>0</v>
      </c>
      <c r="V25" s="552">
        <v>0</v>
      </c>
      <c r="W25" s="546">
        <f>47550000+829010</f>
        <v>48379010</v>
      </c>
      <c r="X25" s="546">
        <v>0</v>
      </c>
      <c r="Y25" s="546">
        <v>0</v>
      </c>
      <c r="Z25" s="547">
        <f t="shared" si="0"/>
        <v>48419010</v>
      </c>
    </row>
    <row r="26" spans="3:26" ht="24">
      <c r="C26" s="518" t="s">
        <v>1025</v>
      </c>
      <c r="D26" s="894" t="s">
        <v>423</v>
      </c>
      <c r="E26" s="550" t="s">
        <v>1026</v>
      </c>
      <c r="F26" s="551"/>
      <c r="G26" s="552">
        <v>812250</v>
      </c>
      <c r="H26" s="552">
        <v>158389</v>
      </c>
      <c r="I26" s="546">
        <v>296854</v>
      </c>
      <c r="J26" s="546">
        <v>0</v>
      </c>
      <c r="K26" s="546">
        <v>0</v>
      </c>
      <c r="L26" s="546">
        <v>0</v>
      </c>
      <c r="M26" s="546">
        <v>0</v>
      </c>
      <c r="N26" s="546">
        <v>0</v>
      </c>
      <c r="O26" s="546">
        <v>0</v>
      </c>
      <c r="P26" s="546">
        <v>0</v>
      </c>
      <c r="Q26" s="546"/>
      <c r="R26" s="546"/>
      <c r="S26" s="546"/>
      <c r="T26" s="546">
        <v>0</v>
      </c>
      <c r="U26" s="544">
        <v>0</v>
      </c>
      <c r="V26" s="552">
        <v>779383</v>
      </c>
      <c r="W26" s="546">
        <v>0</v>
      </c>
      <c r="X26" s="546">
        <v>0</v>
      </c>
      <c r="Y26" s="546">
        <v>0</v>
      </c>
      <c r="Z26" s="547">
        <f t="shared" si="0"/>
        <v>2046876</v>
      </c>
    </row>
    <row r="27" spans="3:26" ht="24">
      <c r="C27" s="518" t="s">
        <v>911</v>
      </c>
      <c r="D27" s="549" t="s">
        <v>424</v>
      </c>
      <c r="E27" s="550" t="s">
        <v>889</v>
      </c>
      <c r="F27" s="551"/>
      <c r="G27" s="552">
        <v>0</v>
      </c>
      <c r="H27" s="552">
        <v>0</v>
      </c>
      <c r="I27" s="546">
        <f>0+516434+40000</f>
        <v>556434</v>
      </c>
      <c r="J27" s="546">
        <v>0</v>
      </c>
      <c r="K27" s="546">
        <v>0</v>
      </c>
      <c r="L27" s="546">
        <v>0</v>
      </c>
      <c r="M27" s="546">
        <v>0</v>
      </c>
      <c r="N27" s="546">
        <v>0</v>
      </c>
      <c r="O27" s="546">
        <v>0</v>
      </c>
      <c r="P27" s="546">
        <v>0</v>
      </c>
      <c r="Q27" s="546"/>
      <c r="R27" s="546"/>
      <c r="S27" s="546"/>
      <c r="T27" s="546">
        <v>0</v>
      </c>
      <c r="U27" s="544">
        <v>0</v>
      </c>
      <c r="V27" s="552">
        <f>6911048+1000000</f>
        <v>7911048</v>
      </c>
      <c r="W27" s="546">
        <v>104181382</v>
      </c>
      <c r="X27" s="546">
        <v>0</v>
      </c>
      <c r="Y27" s="546">
        <v>0</v>
      </c>
      <c r="Z27" s="547">
        <f t="shared" si="0"/>
        <v>112648864</v>
      </c>
    </row>
    <row r="28" spans="3:26" ht="24" customHeight="1">
      <c r="C28" s="518" t="s">
        <v>797</v>
      </c>
      <c r="D28" s="549" t="s">
        <v>425</v>
      </c>
      <c r="E28" s="550" t="s">
        <v>798</v>
      </c>
      <c r="F28" s="551"/>
      <c r="G28" s="552">
        <v>0</v>
      </c>
      <c r="H28" s="546">
        <v>0</v>
      </c>
      <c r="I28" s="546">
        <v>0</v>
      </c>
      <c r="J28" s="546">
        <v>0</v>
      </c>
      <c r="K28" s="546">
        <v>0</v>
      </c>
      <c r="L28" s="546">
        <v>0</v>
      </c>
      <c r="M28" s="546">
        <v>0</v>
      </c>
      <c r="N28" s="546">
        <v>0</v>
      </c>
      <c r="O28" s="546">
        <v>0</v>
      </c>
      <c r="P28" s="546">
        <v>0</v>
      </c>
      <c r="Q28" s="546"/>
      <c r="R28" s="546"/>
      <c r="S28" s="546"/>
      <c r="T28" s="546">
        <v>0</v>
      </c>
      <c r="U28" s="544">
        <v>0</v>
      </c>
      <c r="V28" s="552">
        <v>0</v>
      </c>
      <c r="W28" s="546">
        <v>6462419</v>
      </c>
      <c r="X28" s="546">
        <v>0</v>
      </c>
      <c r="Y28" s="546">
        <v>0</v>
      </c>
      <c r="Z28" s="547">
        <f t="shared" si="0"/>
        <v>6462419</v>
      </c>
    </row>
    <row r="29" spans="1:26" ht="24" customHeight="1">
      <c r="A29" s="517">
        <v>751966</v>
      </c>
      <c r="B29" s="518" t="s">
        <v>63</v>
      </c>
      <c r="C29" s="518" t="s">
        <v>61</v>
      </c>
      <c r="D29" s="549" t="s">
        <v>426</v>
      </c>
      <c r="E29" s="550" t="s">
        <v>386</v>
      </c>
      <c r="F29" s="551"/>
      <c r="G29" s="552">
        <v>0</v>
      </c>
      <c r="H29" s="546">
        <v>0</v>
      </c>
      <c r="I29" s="546">
        <f>23398480+2794000</f>
        <v>26192480</v>
      </c>
      <c r="J29" s="546">
        <v>0</v>
      </c>
      <c r="K29" s="546">
        <v>0</v>
      </c>
      <c r="L29" s="546">
        <v>0</v>
      </c>
      <c r="M29" s="546">
        <v>0</v>
      </c>
      <c r="N29" s="546">
        <v>0</v>
      </c>
      <c r="O29" s="546">
        <v>0</v>
      </c>
      <c r="P29" s="546">
        <v>0</v>
      </c>
      <c r="Q29" s="546"/>
      <c r="R29" s="546"/>
      <c r="S29" s="546"/>
      <c r="T29" s="546">
        <v>0</v>
      </c>
      <c r="U29" s="544">
        <v>0</v>
      </c>
      <c r="V29" s="552">
        <v>0</v>
      </c>
      <c r="W29" s="546">
        <v>0</v>
      </c>
      <c r="X29" s="546">
        <v>0</v>
      </c>
      <c r="Y29" s="546">
        <v>0</v>
      </c>
      <c r="Z29" s="547">
        <f t="shared" si="0"/>
        <v>26192480</v>
      </c>
    </row>
    <row r="30" spans="1:26" ht="24" customHeight="1">
      <c r="A30" s="517">
        <v>751999</v>
      </c>
      <c r="B30" s="518" t="s">
        <v>65</v>
      </c>
      <c r="C30" s="518" t="s">
        <v>57</v>
      </c>
      <c r="D30" s="549" t="s">
        <v>427</v>
      </c>
      <c r="E30" s="550" t="s">
        <v>1126</v>
      </c>
      <c r="F30" s="551"/>
      <c r="G30" s="552">
        <v>0</v>
      </c>
      <c r="H30" s="552">
        <v>0</v>
      </c>
      <c r="I30" s="546">
        <v>1700000</v>
      </c>
      <c r="J30" s="546">
        <v>0</v>
      </c>
      <c r="K30" s="546">
        <v>0</v>
      </c>
      <c r="L30" s="546">
        <v>28275000</v>
      </c>
      <c r="M30" s="546">
        <v>0</v>
      </c>
      <c r="N30" s="546">
        <v>0</v>
      </c>
      <c r="O30" s="546">
        <v>0</v>
      </c>
      <c r="P30" s="546">
        <v>0</v>
      </c>
      <c r="Q30" s="546"/>
      <c r="R30" s="546"/>
      <c r="S30" s="546"/>
      <c r="T30" s="546">
        <v>0</v>
      </c>
      <c r="U30" s="544">
        <v>0</v>
      </c>
      <c r="V30" s="552">
        <v>0</v>
      </c>
      <c r="W30" s="546">
        <v>0</v>
      </c>
      <c r="X30" s="546">
        <v>0</v>
      </c>
      <c r="Y30" s="546">
        <v>0</v>
      </c>
      <c r="Z30" s="547">
        <f t="shared" si="0"/>
        <v>29975000</v>
      </c>
    </row>
    <row r="31" spans="2:27" ht="24">
      <c r="B31" s="518" t="s">
        <v>67</v>
      </c>
      <c r="C31" s="518" t="s">
        <v>62</v>
      </c>
      <c r="D31" s="549" t="s">
        <v>499</v>
      </c>
      <c r="E31" s="550" t="s">
        <v>551</v>
      </c>
      <c r="F31" s="551"/>
      <c r="G31" s="552">
        <v>25000</v>
      </c>
      <c r="H31" s="552">
        <v>4388</v>
      </c>
      <c r="I31" s="546">
        <f>13998342+180000+220000+161080</f>
        <v>14559422</v>
      </c>
      <c r="J31" s="546">
        <v>0</v>
      </c>
      <c r="K31" s="546">
        <v>0</v>
      </c>
      <c r="L31" s="546">
        <v>12677000</v>
      </c>
      <c r="M31" s="546">
        <v>0</v>
      </c>
      <c r="N31" s="546">
        <v>0</v>
      </c>
      <c r="O31" s="546">
        <v>0</v>
      </c>
      <c r="P31" s="546">
        <v>0</v>
      </c>
      <c r="Q31" s="546"/>
      <c r="R31" s="546"/>
      <c r="S31" s="546"/>
      <c r="T31" s="546">
        <v>0</v>
      </c>
      <c r="U31" s="544">
        <v>0</v>
      </c>
      <c r="V31" s="552">
        <f>6823000+87249</f>
        <v>6910249</v>
      </c>
      <c r="W31" s="546">
        <f>152749</f>
        <v>152749</v>
      </c>
      <c r="X31" s="546">
        <v>0</v>
      </c>
      <c r="Y31" s="546">
        <v>0</v>
      </c>
      <c r="Z31" s="547">
        <f t="shared" si="0"/>
        <v>34328808</v>
      </c>
      <c r="AA31" s="554"/>
    </row>
    <row r="32" spans="2:27" ht="24" customHeight="1">
      <c r="B32" s="518" t="s">
        <v>68</v>
      </c>
      <c r="C32" s="518" t="s">
        <v>68</v>
      </c>
      <c r="D32" s="1036" t="s">
        <v>1031</v>
      </c>
      <c r="E32" s="550" t="s">
        <v>388</v>
      </c>
      <c r="F32" s="555"/>
      <c r="G32" s="546">
        <v>0</v>
      </c>
      <c r="H32" s="546">
        <v>0</v>
      </c>
      <c r="I32" s="546">
        <v>360000</v>
      </c>
      <c r="J32" s="546">
        <v>0</v>
      </c>
      <c r="K32" s="546">
        <v>0</v>
      </c>
      <c r="L32" s="546">
        <v>0</v>
      </c>
      <c r="M32" s="546">
        <v>0</v>
      </c>
      <c r="N32" s="546">
        <v>0</v>
      </c>
      <c r="O32" s="546">
        <v>0</v>
      </c>
      <c r="P32" s="546">
        <v>0</v>
      </c>
      <c r="Q32" s="546"/>
      <c r="R32" s="546"/>
      <c r="S32" s="546"/>
      <c r="T32" s="546">
        <v>0</v>
      </c>
      <c r="U32" s="544">
        <v>0</v>
      </c>
      <c r="V32" s="546">
        <v>0</v>
      </c>
      <c r="W32" s="546">
        <v>0</v>
      </c>
      <c r="X32" s="546">
        <v>0</v>
      </c>
      <c r="Y32" s="546">
        <v>0</v>
      </c>
      <c r="Z32" s="547">
        <f t="shared" si="0"/>
        <v>360000</v>
      </c>
      <c r="AA32" s="554"/>
    </row>
    <row r="33" spans="2:28" ht="24" customHeight="1">
      <c r="B33" s="518" t="s">
        <v>69</v>
      </c>
      <c r="C33" s="518" t="s">
        <v>69</v>
      </c>
      <c r="D33" s="1036"/>
      <c r="E33" s="550" t="s">
        <v>389</v>
      </c>
      <c r="F33" s="555"/>
      <c r="G33" s="546">
        <f>2542580-2141000</f>
        <v>401580</v>
      </c>
      <c r="H33" s="546">
        <f>496881-417495</f>
        <v>79386</v>
      </c>
      <c r="I33" s="546">
        <f>7109080+29995230-12000000-4844-12976</f>
        <v>25086490</v>
      </c>
      <c r="J33" s="546">
        <v>0</v>
      </c>
      <c r="K33" s="546">
        <v>0</v>
      </c>
      <c r="L33" s="546">
        <v>0</v>
      </c>
      <c r="M33" s="546">
        <f>46053+4844</f>
        <v>50897</v>
      </c>
      <c r="N33" s="546">
        <v>0</v>
      </c>
      <c r="O33" s="546">
        <v>0</v>
      </c>
      <c r="P33" s="546">
        <v>0</v>
      </c>
      <c r="Q33" s="546"/>
      <c r="R33" s="546"/>
      <c r="S33" s="546"/>
      <c r="T33" s="546">
        <v>0</v>
      </c>
      <c r="U33" s="544">
        <v>0</v>
      </c>
      <c r="V33" s="546">
        <f>12976</f>
        <v>12976</v>
      </c>
      <c r="W33" s="546">
        <v>0</v>
      </c>
      <c r="X33" s="546">
        <v>0</v>
      </c>
      <c r="Y33" s="546">
        <v>0</v>
      </c>
      <c r="Z33" s="547">
        <f t="shared" si="0"/>
        <v>25631329</v>
      </c>
      <c r="AB33" s="517" t="s">
        <v>757</v>
      </c>
    </row>
    <row r="34" spans="1:28" ht="24" customHeight="1">
      <c r="A34" s="517">
        <v>851286</v>
      </c>
      <c r="B34" s="518" t="s">
        <v>70</v>
      </c>
      <c r="C34" s="518" t="s">
        <v>70</v>
      </c>
      <c r="D34" s="1036"/>
      <c r="E34" s="550" t="s">
        <v>390</v>
      </c>
      <c r="F34" s="555"/>
      <c r="G34" s="546">
        <v>0</v>
      </c>
      <c r="H34" s="546">
        <v>0</v>
      </c>
      <c r="I34" s="546">
        <f>120000+30000</f>
        <v>150000</v>
      </c>
      <c r="J34" s="546">
        <v>0</v>
      </c>
      <c r="K34" s="546">
        <v>0</v>
      </c>
      <c r="L34" s="546">
        <v>0</v>
      </c>
      <c r="M34" s="546">
        <v>0</v>
      </c>
      <c r="N34" s="546">
        <v>0</v>
      </c>
      <c r="O34" s="546">
        <v>0</v>
      </c>
      <c r="P34" s="546">
        <v>0</v>
      </c>
      <c r="Q34" s="546"/>
      <c r="R34" s="546"/>
      <c r="S34" s="546"/>
      <c r="T34" s="546">
        <v>0</v>
      </c>
      <c r="U34" s="544">
        <v>0</v>
      </c>
      <c r="V34" s="546">
        <v>0</v>
      </c>
      <c r="W34" s="546">
        <v>0</v>
      </c>
      <c r="X34" s="546">
        <v>0</v>
      </c>
      <c r="Y34" s="546">
        <v>0</v>
      </c>
      <c r="Z34" s="547">
        <f t="shared" si="0"/>
        <v>150000</v>
      </c>
      <c r="AB34" s="554">
        <f>SUM(Z32:Z35)</f>
        <v>53837615</v>
      </c>
    </row>
    <row r="35" spans="1:26" s="548" customFormat="1" ht="27" customHeight="1">
      <c r="A35" s="517">
        <v>851297</v>
      </c>
      <c r="B35" s="518" t="s">
        <v>71</v>
      </c>
      <c r="C35" s="518" t="s">
        <v>71</v>
      </c>
      <c r="D35" s="1036"/>
      <c r="E35" s="550" t="s">
        <v>1125</v>
      </c>
      <c r="F35" s="555"/>
      <c r="G35" s="546">
        <f>18065184+2193899+565720</f>
        <v>20824803</v>
      </c>
      <c r="H35" s="546">
        <f>3522630+383932+99001</f>
        <v>4005563</v>
      </c>
      <c r="I35" s="546">
        <f>2611920+254000-162937</f>
        <v>2702983</v>
      </c>
      <c r="J35" s="546">
        <v>0</v>
      </c>
      <c r="K35" s="546">
        <v>0</v>
      </c>
      <c r="L35" s="546">
        <v>0</v>
      </c>
      <c r="M35" s="546">
        <v>0</v>
      </c>
      <c r="N35" s="546">
        <v>0</v>
      </c>
      <c r="O35" s="546">
        <v>0</v>
      </c>
      <c r="P35" s="546">
        <v>0</v>
      </c>
      <c r="Q35" s="546"/>
      <c r="R35" s="546"/>
      <c r="S35" s="546"/>
      <c r="T35" s="546">
        <v>0</v>
      </c>
      <c r="U35" s="544">
        <v>0</v>
      </c>
      <c r="V35" s="546">
        <v>162937</v>
      </c>
      <c r="W35" s="546">
        <v>0</v>
      </c>
      <c r="X35" s="546">
        <v>0</v>
      </c>
      <c r="Y35" s="546">
        <v>0</v>
      </c>
      <c r="Z35" s="547">
        <f t="shared" si="0"/>
        <v>27696286</v>
      </c>
    </row>
    <row r="36" spans="1:26" s="548" customFormat="1" ht="24" customHeight="1">
      <c r="A36" s="517">
        <v>853322</v>
      </c>
      <c r="B36" s="518" t="s">
        <v>72</v>
      </c>
      <c r="C36" s="518" t="s">
        <v>80</v>
      </c>
      <c r="D36" s="549" t="s">
        <v>501</v>
      </c>
      <c r="E36" s="550" t="s">
        <v>81</v>
      </c>
      <c r="F36" s="556"/>
      <c r="G36" s="546">
        <v>0</v>
      </c>
      <c r="H36" s="546">
        <v>0</v>
      </c>
      <c r="I36" s="546">
        <v>0</v>
      </c>
      <c r="J36" s="546">
        <v>0</v>
      </c>
      <c r="K36" s="546">
        <v>0</v>
      </c>
      <c r="L36" s="546">
        <v>18713000</v>
      </c>
      <c r="M36" s="546">
        <v>0</v>
      </c>
      <c r="N36" s="546">
        <v>0</v>
      </c>
      <c r="O36" s="546">
        <v>0</v>
      </c>
      <c r="P36" s="546">
        <v>0</v>
      </c>
      <c r="Q36" s="546"/>
      <c r="R36" s="546"/>
      <c r="S36" s="546"/>
      <c r="T36" s="546">
        <v>0</v>
      </c>
      <c r="U36" s="544">
        <v>0</v>
      </c>
      <c r="V36" s="546">
        <f>764084</f>
        <v>764084</v>
      </c>
      <c r="W36" s="546">
        <v>0</v>
      </c>
      <c r="X36" s="546">
        <v>0</v>
      </c>
      <c r="Y36" s="546">
        <v>0</v>
      </c>
      <c r="Z36" s="547">
        <f t="shared" si="0"/>
        <v>19477084</v>
      </c>
    </row>
    <row r="37" spans="1:26" s="548" customFormat="1" ht="24" customHeight="1">
      <c r="A37" s="517"/>
      <c r="B37" s="518"/>
      <c r="C37" s="518" t="s">
        <v>54</v>
      </c>
      <c r="D37" s="549" t="s">
        <v>473</v>
      </c>
      <c r="E37" s="550" t="s">
        <v>1124</v>
      </c>
      <c r="F37" s="556"/>
      <c r="G37" s="546">
        <v>0</v>
      </c>
      <c r="H37" s="546">
        <v>0</v>
      </c>
      <c r="I37" s="546">
        <v>0</v>
      </c>
      <c r="J37" s="546">
        <v>0</v>
      </c>
      <c r="K37" s="546">
        <v>0</v>
      </c>
      <c r="L37" s="546">
        <v>0</v>
      </c>
      <c r="M37" s="546">
        <v>15000</v>
      </c>
      <c r="N37" s="546">
        <v>0</v>
      </c>
      <c r="O37" s="546">
        <v>0</v>
      </c>
      <c r="P37" s="546">
        <v>0</v>
      </c>
      <c r="Q37" s="546"/>
      <c r="R37" s="546"/>
      <c r="S37" s="546"/>
      <c r="T37" s="546">
        <v>0</v>
      </c>
      <c r="U37" s="544">
        <v>0</v>
      </c>
      <c r="V37" s="546">
        <v>0</v>
      </c>
      <c r="W37" s="546">
        <v>0</v>
      </c>
      <c r="X37" s="546">
        <v>0</v>
      </c>
      <c r="Y37" s="546">
        <v>0</v>
      </c>
      <c r="Z37" s="547">
        <f t="shared" si="0"/>
        <v>15000</v>
      </c>
    </row>
    <row r="38" spans="1:26" s="548" customFormat="1" ht="24">
      <c r="A38" s="517"/>
      <c r="B38" s="518" t="s">
        <v>73</v>
      </c>
      <c r="C38" s="518" t="s">
        <v>549</v>
      </c>
      <c r="D38" s="549" t="s">
        <v>502</v>
      </c>
      <c r="E38" s="557" t="s">
        <v>620</v>
      </c>
      <c r="F38" s="556"/>
      <c r="G38" s="546">
        <v>80000</v>
      </c>
      <c r="H38" s="546">
        <v>41361</v>
      </c>
      <c r="I38" s="546">
        <v>1701950</v>
      </c>
      <c r="J38" s="546">
        <v>0</v>
      </c>
      <c r="K38" s="546">
        <v>0</v>
      </c>
      <c r="L38" s="546">
        <v>0</v>
      </c>
      <c r="M38" s="546">
        <v>0</v>
      </c>
      <c r="N38" s="546">
        <v>0</v>
      </c>
      <c r="O38" s="546">
        <v>0</v>
      </c>
      <c r="P38" s="546">
        <v>0</v>
      </c>
      <c r="Q38" s="546"/>
      <c r="R38" s="546"/>
      <c r="S38" s="546"/>
      <c r="T38" s="546">
        <v>0</v>
      </c>
      <c r="U38" s="544">
        <v>0</v>
      </c>
      <c r="V38" s="546">
        <v>700000</v>
      </c>
      <c r="W38" s="546">
        <v>0</v>
      </c>
      <c r="X38" s="546">
        <v>0</v>
      </c>
      <c r="Y38" s="546">
        <v>0</v>
      </c>
      <c r="Z38" s="547">
        <f t="shared" si="0"/>
        <v>2523311</v>
      </c>
    </row>
    <row r="39" spans="2:28" ht="20.25" customHeight="1">
      <c r="B39" s="518" t="s">
        <v>75</v>
      </c>
      <c r="C39" s="518" t="s">
        <v>912</v>
      </c>
      <c r="D39" s="559" t="s">
        <v>428</v>
      </c>
      <c r="E39" s="550" t="s">
        <v>83</v>
      </c>
      <c r="F39" s="555"/>
      <c r="G39" s="546">
        <v>0</v>
      </c>
      <c r="H39" s="546">
        <v>0</v>
      </c>
      <c r="I39" s="546">
        <v>49530</v>
      </c>
      <c r="J39" s="546">
        <v>0</v>
      </c>
      <c r="K39" s="558">
        <v>0</v>
      </c>
      <c r="L39" s="558">
        <v>0</v>
      </c>
      <c r="M39" s="546">
        <v>0</v>
      </c>
      <c r="N39" s="546">
        <v>0</v>
      </c>
      <c r="O39" s="546">
        <v>0</v>
      </c>
      <c r="P39" s="546">
        <v>0</v>
      </c>
      <c r="Q39" s="546"/>
      <c r="R39" s="546"/>
      <c r="S39" s="546"/>
      <c r="T39" s="546">
        <v>0</v>
      </c>
      <c r="U39" s="544">
        <v>0</v>
      </c>
      <c r="V39" s="546">
        <v>0</v>
      </c>
      <c r="W39" s="546">
        <v>0</v>
      </c>
      <c r="X39" s="546">
        <v>0</v>
      </c>
      <c r="Y39" s="546">
        <v>0</v>
      </c>
      <c r="Z39" s="547">
        <f t="shared" si="0"/>
        <v>49530</v>
      </c>
      <c r="AB39" s="554">
        <f>SUM(Z39:Z39)</f>
        <v>49530</v>
      </c>
    </row>
    <row r="40" spans="3:28" ht="27" customHeight="1">
      <c r="C40" s="518" t="s">
        <v>913</v>
      </c>
      <c r="D40" s="559" t="s">
        <v>429</v>
      </c>
      <c r="E40" s="550" t="s">
        <v>1123</v>
      </c>
      <c r="F40" s="555"/>
      <c r="G40" s="546">
        <v>8000000</v>
      </c>
      <c r="H40" s="546">
        <v>1578000</v>
      </c>
      <c r="I40" s="546">
        <f>10194715+55</f>
        <v>10194770</v>
      </c>
      <c r="J40" s="546">
        <v>0</v>
      </c>
      <c r="K40" s="558">
        <v>0</v>
      </c>
      <c r="L40" s="558">
        <v>0</v>
      </c>
      <c r="M40" s="546">
        <v>0</v>
      </c>
      <c r="N40" s="546">
        <v>0</v>
      </c>
      <c r="O40" s="546">
        <v>0</v>
      </c>
      <c r="P40" s="546">
        <v>0</v>
      </c>
      <c r="Q40" s="546"/>
      <c r="R40" s="546"/>
      <c r="S40" s="546"/>
      <c r="T40" s="546">
        <v>0</v>
      </c>
      <c r="U40" s="544">
        <v>0</v>
      </c>
      <c r="V40" s="546">
        <f>55-55+1578000</f>
        <v>1578000</v>
      </c>
      <c r="W40" s="546">
        <v>0</v>
      </c>
      <c r="X40" s="546">
        <v>0</v>
      </c>
      <c r="Y40" s="546">
        <v>0</v>
      </c>
      <c r="Z40" s="547">
        <f t="shared" si="0"/>
        <v>21350770</v>
      </c>
      <c r="AB40" s="554"/>
    </row>
    <row r="41" spans="3:28" ht="26.25" customHeight="1">
      <c r="C41" s="518" t="s">
        <v>67</v>
      </c>
      <c r="D41" s="559" t="s">
        <v>430</v>
      </c>
      <c r="E41" s="550" t="s">
        <v>890</v>
      </c>
      <c r="F41" s="555"/>
      <c r="G41" s="546">
        <v>0</v>
      </c>
      <c r="H41" s="546">
        <v>0</v>
      </c>
      <c r="I41" s="546">
        <v>0</v>
      </c>
      <c r="J41" s="546">
        <v>0</v>
      </c>
      <c r="K41" s="558">
        <v>0</v>
      </c>
      <c r="L41" s="558">
        <v>0</v>
      </c>
      <c r="M41" s="546">
        <v>0</v>
      </c>
      <c r="N41" s="546">
        <v>0</v>
      </c>
      <c r="O41" s="546">
        <v>0</v>
      </c>
      <c r="P41" s="546">
        <v>0</v>
      </c>
      <c r="Q41" s="546"/>
      <c r="R41" s="546"/>
      <c r="S41" s="546"/>
      <c r="T41" s="546">
        <v>0</v>
      </c>
      <c r="U41" s="544">
        <v>0</v>
      </c>
      <c r="V41" s="546">
        <v>228000</v>
      </c>
      <c r="W41" s="546">
        <f>19957013+1600000+29999998-228000</f>
        <v>51329011</v>
      </c>
      <c r="X41" s="546">
        <v>0</v>
      </c>
      <c r="Y41" s="546">
        <v>0</v>
      </c>
      <c r="Z41" s="547">
        <f t="shared" si="0"/>
        <v>51557011</v>
      </c>
      <c r="AB41" s="554"/>
    </row>
    <row r="42" spans="3:28" ht="24.75" customHeight="1">
      <c r="C42" s="518" t="s">
        <v>914</v>
      </c>
      <c r="D42" s="559" t="s">
        <v>503</v>
      </c>
      <c r="E42" s="550" t="s">
        <v>891</v>
      </c>
      <c r="F42" s="555"/>
      <c r="G42" s="546">
        <f>5977600-1725000</f>
        <v>4252600</v>
      </c>
      <c r="H42" s="546">
        <f>1165632-301875</f>
        <v>863757</v>
      </c>
      <c r="I42" s="546">
        <v>4264649</v>
      </c>
      <c r="J42" s="546">
        <v>0</v>
      </c>
      <c r="K42" s="558">
        <v>0</v>
      </c>
      <c r="L42" s="558">
        <v>1564044</v>
      </c>
      <c r="M42" s="546">
        <v>0</v>
      </c>
      <c r="N42" s="546">
        <v>0</v>
      </c>
      <c r="O42" s="546">
        <v>0</v>
      </c>
      <c r="P42" s="546">
        <v>0</v>
      </c>
      <c r="Q42" s="546"/>
      <c r="R42" s="546"/>
      <c r="S42" s="546"/>
      <c r="T42" s="546">
        <v>0</v>
      </c>
      <c r="U42" s="544">
        <v>0</v>
      </c>
      <c r="V42" s="546">
        <v>0</v>
      </c>
      <c r="W42" s="546">
        <v>0</v>
      </c>
      <c r="X42" s="546">
        <v>0</v>
      </c>
      <c r="Y42" s="546">
        <v>0</v>
      </c>
      <c r="Z42" s="547">
        <f t="shared" si="0"/>
        <v>10945050</v>
      </c>
      <c r="AB42" s="554"/>
    </row>
    <row r="43" spans="3:26" ht="24">
      <c r="C43" s="518" t="s">
        <v>656</v>
      </c>
      <c r="D43" s="559" t="s">
        <v>431</v>
      </c>
      <c r="E43" s="550" t="s">
        <v>657</v>
      </c>
      <c r="F43" s="555"/>
      <c r="G43" s="546">
        <v>2357500</v>
      </c>
      <c r="H43" s="546">
        <v>459713</v>
      </c>
      <c r="I43" s="546">
        <f>55206576+300000</f>
        <v>55506576</v>
      </c>
      <c r="J43" s="546">
        <v>0</v>
      </c>
      <c r="K43" s="546">
        <v>0</v>
      </c>
      <c r="L43" s="546">
        <v>0</v>
      </c>
      <c r="M43" s="546">
        <v>0</v>
      </c>
      <c r="N43" s="546">
        <v>0</v>
      </c>
      <c r="O43" s="546">
        <v>0</v>
      </c>
      <c r="P43" s="546">
        <v>0</v>
      </c>
      <c r="Q43" s="546"/>
      <c r="R43" s="546"/>
      <c r="S43" s="546"/>
      <c r="T43" s="546">
        <v>0</v>
      </c>
      <c r="U43" s="544">
        <v>0</v>
      </c>
      <c r="V43" s="546">
        <f>620000+14850</f>
        <v>634850</v>
      </c>
      <c r="W43" s="546">
        <v>0</v>
      </c>
      <c r="X43" s="546">
        <v>0</v>
      </c>
      <c r="Y43" s="546">
        <v>0</v>
      </c>
      <c r="Z43" s="547">
        <f t="shared" si="0"/>
        <v>58958639</v>
      </c>
    </row>
    <row r="44" spans="3:26" ht="24">
      <c r="C44" s="518" t="s">
        <v>617</v>
      </c>
      <c r="D44" s="559" t="s">
        <v>449</v>
      </c>
      <c r="E44" s="550" t="s">
        <v>618</v>
      </c>
      <c r="F44" s="555"/>
      <c r="G44" s="546">
        <v>0</v>
      </c>
      <c r="H44" s="546">
        <v>0</v>
      </c>
      <c r="I44" s="546">
        <v>117194</v>
      </c>
      <c r="J44" s="546">
        <v>0</v>
      </c>
      <c r="K44" s="558">
        <v>0</v>
      </c>
      <c r="L44" s="558">
        <v>0</v>
      </c>
      <c r="M44" s="546">
        <v>0</v>
      </c>
      <c r="N44" s="546">
        <v>0</v>
      </c>
      <c r="O44" s="546">
        <v>0</v>
      </c>
      <c r="P44" s="546">
        <v>0</v>
      </c>
      <c r="Q44" s="546"/>
      <c r="R44" s="546"/>
      <c r="S44" s="546"/>
      <c r="T44" s="546">
        <v>0</v>
      </c>
      <c r="U44" s="544">
        <v>0</v>
      </c>
      <c r="V44" s="546">
        <v>0</v>
      </c>
      <c r="W44" s="546">
        <v>0</v>
      </c>
      <c r="X44" s="546">
        <v>0</v>
      </c>
      <c r="Y44" s="546">
        <v>0</v>
      </c>
      <c r="Z44" s="547">
        <f t="shared" si="0"/>
        <v>117194</v>
      </c>
    </row>
    <row r="45" spans="2:26" ht="24" customHeight="1">
      <c r="B45" s="518" t="s">
        <v>76</v>
      </c>
      <c r="C45" s="518" t="s">
        <v>653</v>
      </c>
      <c r="D45" s="559" t="s">
        <v>504</v>
      </c>
      <c r="E45" s="550" t="s">
        <v>654</v>
      </c>
      <c r="F45" s="555"/>
      <c r="G45" s="546">
        <v>0</v>
      </c>
      <c r="H45" s="546">
        <v>0</v>
      </c>
      <c r="I45" s="546">
        <v>11500000</v>
      </c>
      <c r="J45" s="546">
        <v>0</v>
      </c>
      <c r="K45" s="546">
        <v>0</v>
      </c>
      <c r="L45" s="546">
        <v>22522000</v>
      </c>
      <c r="M45" s="546">
        <v>0</v>
      </c>
      <c r="N45" s="546">
        <v>0</v>
      </c>
      <c r="O45" s="546">
        <v>0</v>
      </c>
      <c r="P45" s="546">
        <v>0</v>
      </c>
      <c r="Q45" s="546"/>
      <c r="R45" s="546"/>
      <c r="S45" s="546"/>
      <c r="T45" s="546">
        <v>0</v>
      </c>
      <c r="U45" s="544">
        <v>0</v>
      </c>
      <c r="V45" s="546">
        <v>0</v>
      </c>
      <c r="W45" s="546">
        <v>0</v>
      </c>
      <c r="X45" s="546">
        <v>0</v>
      </c>
      <c r="Y45" s="546">
        <v>0</v>
      </c>
      <c r="Z45" s="547">
        <f t="shared" si="0"/>
        <v>34022000</v>
      </c>
    </row>
    <row r="46" spans="3:26" ht="24" customHeight="1">
      <c r="C46" s="518" t="s">
        <v>915</v>
      </c>
      <c r="D46" s="559" t="s">
        <v>505</v>
      </c>
      <c r="E46" s="550" t="s">
        <v>892</v>
      </c>
      <c r="F46" s="555"/>
      <c r="G46" s="546">
        <v>0</v>
      </c>
      <c r="H46" s="546">
        <v>0</v>
      </c>
      <c r="I46" s="546">
        <v>0</v>
      </c>
      <c r="J46" s="546">
        <v>0</v>
      </c>
      <c r="K46" s="546">
        <v>0</v>
      </c>
      <c r="L46" s="546">
        <v>4417000</v>
      </c>
      <c r="M46" s="546">
        <v>0</v>
      </c>
      <c r="N46" s="546">
        <v>0</v>
      </c>
      <c r="O46" s="546">
        <v>0</v>
      </c>
      <c r="P46" s="546">
        <v>0</v>
      </c>
      <c r="Q46" s="546">
        <v>0</v>
      </c>
      <c r="R46" s="546">
        <v>0</v>
      </c>
      <c r="S46" s="546"/>
      <c r="T46" s="546">
        <v>0</v>
      </c>
      <c r="U46" s="544">
        <v>0</v>
      </c>
      <c r="V46" s="546">
        <v>0</v>
      </c>
      <c r="W46" s="546">
        <v>0</v>
      </c>
      <c r="X46" s="546">
        <v>0</v>
      </c>
      <c r="Y46" s="546">
        <v>0</v>
      </c>
      <c r="Z46" s="547">
        <f t="shared" si="0"/>
        <v>4417000</v>
      </c>
    </row>
    <row r="47" spans="3:26" ht="24">
      <c r="C47" s="518" t="s">
        <v>658</v>
      </c>
      <c r="D47" s="559" t="s">
        <v>901</v>
      </c>
      <c r="E47" s="550" t="s">
        <v>1122</v>
      </c>
      <c r="F47" s="555"/>
      <c r="G47" s="546">
        <v>0</v>
      </c>
      <c r="H47" s="546">
        <v>0</v>
      </c>
      <c r="I47" s="546">
        <f>1778400-27360</f>
        <v>1751040</v>
      </c>
      <c r="J47" s="546">
        <v>0</v>
      </c>
      <c r="K47" s="546">
        <v>0</v>
      </c>
      <c r="L47" s="546">
        <v>0</v>
      </c>
      <c r="M47" s="546">
        <v>0</v>
      </c>
      <c r="N47" s="546">
        <v>0</v>
      </c>
      <c r="O47" s="546">
        <v>0</v>
      </c>
      <c r="P47" s="546">
        <v>0</v>
      </c>
      <c r="Q47" s="546"/>
      <c r="R47" s="546"/>
      <c r="S47" s="546"/>
      <c r="T47" s="546">
        <v>0</v>
      </c>
      <c r="U47" s="544">
        <v>0</v>
      </c>
      <c r="V47" s="546">
        <v>0</v>
      </c>
      <c r="W47" s="546">
        <v>0</v>
      </c>
      <c r="X47" s="546">
        <v>0</v>
      </c>
      <c r="Y47" s="546">
        <v>0</v>
      </c>
      <c r="Z47" s="547">
        <f t="shared" si="0"/>
        <v>1751040</v>
      </c>
    </row>
    <row r="48" spans="3:28" ht="24" customHeight="1">
      <c r="C48" s="518" t="s">
        <v>76</v>
      </c>
      <c r="D48" s="559" t="s">
        <v>902</v>
      </c>
      <c r="E48" s="550" t="s">
        <v>799</v>
      </c>
      <c r="F48" s="555"/>
      <c r="G48" s="546">
        <f>34334865-338000</f>
        <v>33996865</v>
      </c>
      <c r="H48" s="546">
        <f>6704834-65910</f>
        <v>6638924</v>
      </c>
      <c r="I48" s="546">
        <v>17188297</v>
      </c>
      <c r="J48" s="546">
        <v>0</v>
      </c>
      <c r="K48" s="546">
        <v>0</v>
      </c>
      <c r="L48" s="546">
        <v>0</v>
      </c>
      <c r="M48" s="546">
        <v>0</v>
      </c>
      <c r="N48" s="546">
        <v>0</v>
      </c>
      <c r="O48" s="546">
        <v>0</v>
      </c>
      <c r="P48" s="546">
        <v>0</v>
      </c>
      <c r="Q48" s="546"/>
      <c r="R48" s="546"/>
      <c r="S48" s="546"/>
      <c r="T48" s="546">
        <v>0</v>
      </c>
      <c r="U48" s="544">
        <v>0</v>
      </c>
      <c r="V48" s="546">
        <v>11411381</v>
      </c>
      <c r="W48" s="546">
        <v>0</v>
      </c>
      <c r="X48" s="546">
        <v>0</v>
      </c>
      <c r="Y48" s="546">
        <v>0</v>
      </c>
      <c r="Z48" s="547">
        <f t="shared" si="0"/>
        <v>69235467</v>
      </c>
      <c r="AB48" s="554">
        <f>SUM(Z45:Z51)</f>
        <v>123884507</v>
      </c>
    </row>
    <row r="49" spans="3:28" ht="24" customHeight="1">
      <c r="C49" s="518" t="s">
        <v>894</v>
      </c>
      <c r="D49" s="559" t="s">
        <v>903</v>
      </c>
      <c r="E49" s="550" t="s">
        <v>893</v>
      </c>
      <c r="F49" s="555"/>
      <c r="G49" s="546">
        <v>0</v>
      </c>
      <c r="H49" s="546">
        <v>0</v>
      </c>
      <c r="I49" s="546">
        <v>0</v>
      </c>
      <c r="J49" s="546">
        <v>0</v>
      </c>
      <c r="K49" s="546">
        <v>0</v>
      </c>
      <c r="L49" s="546">
        <v>3047000</v>
      </c>
      <c r="M49" s="546">
        <v>0</v>
      </c>
      <c r="N49" s="546">
        <v>0</v>
      </c>
      <c r="O49" s="546">
        <v>0</v>
      </c>
      <c r="P49" s="546">
        <v>0</v>
      </c>
      <c r="Q49" s="546"/>
      <c r="R49" s="546"/>
      <c r="S49" s="546"/>
      <c r="T49" s="546">
        <v>0</v>
      </c>
      <c r="U49" s="544">
        <v>0</v>
      </c>
      <c r="V49" s="546">
        <v>0</v>
      </c>
      <c r="W49" s="546">
        <v>0</v>
      </c>
      <c r="X49" s="546">
        <v>0</v>
      </c>
      <c r="Y49" s="546">
        <v>0</v>
      </c>
      <c r="Z49" s="547">
        <f t="shared" si="0"/>
        <v>3047000</v>
      </c>
      <c r="AB49" s="554"/>
    </row>
    <row r="50" spans="3:28" ht="24" customHeight="1">
      <c r="C50" s="518" t="s">
        <v>895</v>
      </c>
      <c r="D50" s="559" t="s">
        <v>904</v>
      </c>
      <c r="E50" s="550" t="s">
        <v>896</v>
      </c>
      <c r="F50" s="555"/>
      <c r="G50" s="546">
        <v>0</v>
      </c>
      <c r="H50" s="546">
        <v>0</v>
      </c>
      <c r="I50" s="546">
        <v>0</v>
      </c>
      <c r="J50" s="546">
        <v>0</v>
      </c>
      <c r="K50" s="546">
        <v>0</v>
      </c>
      <c r="L50" s="546">
        <v>4852000</v>
      </c>
      <c r="M50" s="546">
        <v>0</v>
      </c>
      <c r="N50" s="546">
        <v>0</v>
      </c>
      <c r="O50" s="546">
        <v>0</v>
      </c>
      <c r="P50" s="546">
        <v>0</v>
      </c>
      <c r="Q50" s="546"/>
      <c r="R50" s="546"/>
      <c r="S50" s="546"/>
      <c r="T50" s="546">
        <v>0</v>
      </c>
      <c r="U50" s="544">
        <v>0</v>
      </c>
      <c r="V50" s="546">
        <v>0</v>
      </c>
      <c r="W50" s="546">
        <v>0</v>
      </c>
      <c r="X50" s="546">
        <v>0</v>
      </c>
      <c r="Y50" s="546">
        <v>0</v>
      </c>
      <c r="Z50" s="547">
        <f t="shared" si="0"/>
        <v>4852000</v>
      </c>
      <c r="AB50" s="554"/>
    </row>
    <row r="51" spans="2:26" ht="24" customHeight="1">
      <c r="B51" s="518" t="s">
        <v>78</v>
      </c>
      <c r="C51" s="518" t="s">
        <v>74</v>
      </c>
      <c r="D51" s="559" t="s">
        <v>905</v>
      </c>
      <c r="E51" s="550" t="s">
        <v>469</v>
      </c>
      <c r="F51" s="555"/>
      <c r="G51" s="546">
        <v>0</v>
      </c>
      <c r="H51" s="546">
        <v>0</v>
      </c>
      <c r="I51" s="546">
        <v>2600000</v>
      </c>
      <c r="J51" s="546">
        <v>0</v>
      </c>
      <c r="K51" s="546">
        <v>0</v>
      </c>
      <c r="L51" s="546">
        <v>3960000</v>
      </c>
      <c r="M51" s="546">
        <v>0</v>
      </c>
      <c r="N51" s="546">
        <v>0</v>
      </c>
      <c r="O51" s="546">
        <v>0</v>
      </c>
      <c r="P51" s="546">
        <v>0</v>
      </c>
      <c r="Q51" s="546"/>
      <c r="R51" s="546"/>
      <c r="S51" s="546"/>
      <c r="T51" s="546">
        <v>0</v>
      </c>
      <c r="U51" s="544">
        <v>0</v>
      </c>
      <c r="V51" s="546">
        <v>0</v>
      </c>
      <c r="W51" s="546">
        <v>0</v>
      </c>
      <c r="X51" s="546">
        <v>0</v>
      </c>
      <c r="Y51" s="546">
        <v>0</v>
      </c>
      <c r="Z51" s="547">
        <f t="shared" si="0"/>
        <v>6560000</v>
      </c>
    </row>
    <row r="52" spans="3:26" ht="24" customHeight="1">
      <c r="C52" s="518" t="s">
        <v>897</v>
      </c>
      <c r="D52" s="559" t="s">
        <v>906</v>
      </c>
      <c r="E52" s="550" t="s">
        <v>898</v>
      </c>
      <c r="F52" s="555"/>
      <c r="G52" s="546">
        <v>0</v>
      </c>
      <c r="H52" s="546">
        <v>0</v>
      </c>
      <c r="I52" s="546">
        <v>0</v>
      </c>
      <c r="J52" s="546">
        <v>0</v>
      </c>
      <c r="K52" s="546">
        <v>0</v>
      </c>
      <c r="L52" s="546">
        <v>2738000</v>
      </c>
      <c r="M52" s="546">
        <v>0</v>
      </c>
      <c r="N52" s="546">
        <v>0</v>
      </c>
      <c r="O52" s="546">
        <v>0</v>
      </c>
      <c r="P52" s="546">
        <v>0</v>
      </c>
      <c r="Q52" s="546"/>
      <c r="R52" s="546"/>
      <c r="S52" s="546"/>
      <c r="T52" s="546">
        <v>0</v>
      </c>
      <c r="U52" s="544">
        <v>0</v>
      </c>
      <c r="V52" s="546">
        <v>0</v>
      </c>
      <c r="W52" s="546">
        <v>0</v>
      </c>
      <c r="X52" s="560">
        <v>0</v>
      </c>
      <c r="Y52" s="546">
        <v>0</v>
      </c>
      <c r="Z52" s="547">
        <f t="shared" si="0"/>
        <v>2738000</v>
      </c>
    </row>
    <row r="53" spans="2:26" ht="24">
      <c r="B53" s="518" t="s">
        <v>80</v>
      </c>
      <c r="C53" s="518" t="s">
        <v>77</v>
      </c>
      <c r="D53" s="559" t="s">
        <v>907</v>
      </c>
      <c r="E53" s="550" t="s">
        <v>655</v>
      </c>
      <c r="F53" s="555"/>
      <c r="G53" s="546">
        <v>0</v>
      </c>
      <c r="H53" s="546">
        <v>0</v>
      </c>
      <c r="I53" s="546">
        <f>8004000</f>
        <v>8004000</v>
      </c>
      <c r="J53" s="546">
        <v>3804900</v>
      </c>
      <c r="K53" s="546">
        <v>0</v>
      </c>
      <c r="L53" s="546">
        <v>0</v>
      </c>
      <c r="M53" s="546">
        <v>0</v>
      </c>
      <c r="N53" s="546">
        <v>0</v>
      </c>
      <c r="O53" s="546">
        <v>0</v>
      </c>
      <c r="P53" s="546">
        <v>0</v>
      </c>
      <c r="Q53" s="546"/>
      <c r="R53" s="546"/>
      <c r="S53" s="546"/>
      <c r="T53" s="546">
        <v>0</v>
      </c>
      <c r="U53" s="544">
        <v>0</v>
      </c>
      <c r="V53" s="546">
        <v>0</v>
      </c>
      <c r="W53" s="546">
        <v>0</v>
      </c>
      <c r="X53" s="560">
        <v>0</v>
      </c>
      <c r="Y53" s="546">
        <v>0</v>
      </c>
      <c r="Z53" s="547">
        <f t="shared" si="0"/>
        <v>11808900</v>
      </c>
    </row>
    <row r="54" spans="3:26" ht="24">
      <c r="C54" s="518" t="s">
        <v>899</v>
      </c>
      <c r="D54" s="559" t="s">
        <v>908</v>
      </c>
      <c r="E54" s="550" t="s">
        <v>900</v>
      </c>
      <c r="F54" s="561"/>
      <c r="G54" s="562">
        <f>14179532-2666710+24000000</f>
        <v>35512822</v>
      </c>
      <c r="H54" s="560">
        <f>3124662-520008+4680000</f>
        <v>7284654</v>
      </c>
      <c r="I54" s="560">
        <f>58739847-28680000</f>
        <v>30059847</v>
      </c>
      <c r="J54" s="560">
        <v>0</v>
      </c>
      <c r="K54" s="560">
        <v>0</v>
      </c>
      <c r="L54" s="560">
        <v>0</v>
      </c>
      <c r="M54" s="560">
        <v>0</v>
      </c>
      <c r="N54" s="560">
        <v>0</v>
      </c>
      <c r="O54" s="560">
        <v>0</v>
      </c>
      <c r="P54" s="560">
        <v>0</v>
      </c>
      <c r="Q54" s="546"/>
      <c r="R54" s="546"/>
      <c r="S54" s="560"/>
      <c r="T54" s="560">
        <v>0</v>
      </c>
      <c r="U54" s="544">
        <v>0</v>
      </c>
      <c r="V54" s="560">
        <v>4797591</v>
      </c>
      <c r="W54" s="560">
        <v>522139</v>
      </c>
      <c r="X54" s="562">
        <v>0</v>
      </c>
      <c r="Y54" s="560">
        <v>0</v>
      </c>
      <c r="Z54" s="547">
        <f t="shared" si="0"/>
        <v>78177053</v>
      </c>
    </row>
    <row r="55" spans="4:26" ht="24">
      <c r="D55" s="559" t="s">
        <v>939</v>
      </c>
      <c r="E55" s="550" t="s">
        <v>387</v>
      </c>
      <c r="F55" s="561"/>
      <c r="G55" s="562">
        <v>0</v>
      </c>
      <c r="H55" s="560">
        <v>0</v>
      </c>
      <c r="I55" s="560">
        <v>0</v>
      </c>
      <c r="J55" s="560">
        <v>0</v>
      </c>
      <c r="K55" s="560">
        <v>0</v>
      </c>
      <c r="L55" s="560">
        <v>0</v>
      </c>
      <c r="M55" s="560">
        <v>0</v>
      </c>
      <c r="N55" s="560">
        <f>1000000-180000-220000-512000</f>
        <v>88000</v>
      </c>
      <c r="O55" s="560">
        <f>350000+926229</f>
        <v>1276229</v>
      </c>
      <c r="P55" s="560">
        <f>1618094-603515</f>
        <v>1014579</v>
      </c>
      <c r="Q55" s="560">
        <f>59808757-7679730-553029-602617-1492000-8045171-7935168-4176519-28922-20906574-217072-8171955</f>
        <v>0</v>
      </c>
      <c r="R55" s="560">
        <f>9782649-6323709-100000-3358940</f>
        <v>0</v>
      </c>
      <c r="S55" s="560">
        <v>0</v>
      </c>
      <c r="T55" s="560">
        <f>200000-200000</f>
        <v>0</v>
      </c>
      <c r="U55" s="560">
        <v>2036448</v>
      </c>
      <c r="V55" s="560">
        <v>0</v>
      </c>
      <c r="W55" s="560">
        <v>0</v>
      </c>
      <c r="X55" s="562">
        <v>0</v>
      </c>
      <c r="Y55" s="560">
        <v>0</v>
      </c>
      <c r="Z55" s="547">
        <f t="shared" si="0"/>
        <v>4415256</v>
      </c>
    </row>
    <row r="56" spans="3:26" ht="24">
      <c r="C56" s="518" t="s">
        <v>800</v>
      </c>
      <c r="D56" s="559" t="s">
        <v>945</v>
      </c>
      <c r="E56" s="564" t="s">
        <v>1121</v>
      </c>
      <c r="F56" s="561"/>
      <c r="G56" s="562">
        <v>0</v>
      </c>
      <c r="H56" s="562">
        <v>0</v>
      </c>
      <c r="I56" s="562">
        <f>8285000-165615</f>
        <v>8119385</v>
      </c>
      <c r="J56" s="562">
        <v>0</v>
      </c>
      <c r="K56" s="562">
        <v>0</v>
      </c>
      <c r="L56" s="562">
        <v>0</v>
      </c>
      <c r="M56" s="562">
        <v>0</v>
      </c>
      <c r="N56" s="562">
        <v>0</v>
      </c>
      <c r="O56" s="562">
        <v>0</v>
      </c>
      <c r="P56" s="562">
        <v>0</v>
      </c>
      <c r="Q56" s="560"/>
      <c r="R56" s="560"/>
      <c r="S56" s="562"/>
      <c r="T56" s="562">
        <v>0</v>
      </c>
      <c r="U56" s="562">
        <v>0</v>
      </c>
      <c r="V56" s="562">
        <v>0</v>
      </c>
      <c r="W56" s="562">
        <v>0</v>
      </c>
      <c r="X56" s="562">
        <v>0</v>
      </c>
      <c r="Y56" s="562">
        <v>0</v>
      </c>
      <c r="Z56" s="547">
        <f t="shared" si="0"/>
        <v>8119385</v>
      </c>
    </row>
    <row r="57" spans="1:29" s="565" customFormat="1" ht="24" customHeight="1" thickBot="1">
      <c r="A57" s="565">
        <v>999997</v>
      </c>
      <c r="B57" s="563"/>
      <c r="D57" s="566" t="s">
        <v>946</v>
      </c>
      <c r="E57" s="567" t="s">
        <v>371</v>
      </c>
      <c r="F57" s="568">
        <f>SUM(F9:F53)</f>
        <v>0</v>
      </c>
      <c r="G57" s="569">
        <f aca="true" t="shared" si="1" ref="G57:Z57">SUM(G9:G56)</f>
        <v>212576451</v>
      </c>
      <c r="H57" s="569">
        <f t="shared" si="1"/>
        <v>37240918</v>
      </c>
      <c r="I57" s="569">
        <f t="shared" si="1"/>
        <v>381024574</v>
      </c>
      <c r="J57" s="569">
        <f t="shared" si="1"/>
        <v>3804900</v>
      </c>
      <c r="K57" s="569">
        <f t="shared" si="1"/>
        <v>46929796</v>
      </c>
      <c r="L57" s="569">
        <f t="shared" si="1"/>
        <v>186888507</v>
      </c>
      <c r="M57" s="569">
        <f t="shared" si="1"/>
        <v>1221247</v>
      </c>
      <c r="N57" s="569">
        <f t="shared" si="1"/>
        <v>88000</v>
      </c>
      <c r="O57" s="569">
        <f t="shared" si="1"/>
        <v>1276229</v>
      </c>
      <c r="P57" s="569">
        <f t="shared" si="1"/>
        <v>1014579</v>
      </c>
      <c r="Q57" s="569">
        <f t="shared" si="1"/>
        <v>0</v>
      </c>
      <c r="R57" s="569">
        <f t="shared" si="1"/>
        <v>0</v>
      </c>
      <c r="S57" s="569">
        <f t="shared" si="1"/>
        <v>0</v>
      </c>
      <c r="T57" s="569">
        <f t="shared" si="1"/>
        <v>0</v>
      </c>
      <c r="U57" s="569">
        <f t="shared" si="1"/>
        <v>2036448</v>
      </c>
      <c r="V57" s="569">
        <f t="shared" si="1"/>
        <v>1016514395</v>
      </c>
      <c r="W57" s="569">
        <f t="shared" si="1"/>
        <v>235376710</v>
      </c>
      <c r="X57" s="569">
        <f t="shared" si="1"/>
        <v>10449520</v>
      </c>
      <c r="Y57" s="569">
        <f t="shared" si="1"/>
        <v>17347428</v>
      </c>
      <c r="Z57" s="570">
        <f t="shared" si="1"/>
        <v>2153789702</v>
      </c>
      <c r="AA57" s="571">
        <f>SUM(G57:Y57)</f>
        <v>2153789702</v>
      </c>
      <c r="AB57" s="572"/>
      <c r="AC57" s="572"/>
    </row>
    <row r="58" spans="5:18" ht="12.75">
      <c r="E58" s="573"/>
      <c r="Q58" s="571"/>
      <c r="R58" s="571"/>
    </row>
    <row r="62" ht="12">
      <c r="F62" s="575"/>
    </row>
  </sheetData>
  <sheetProtection/>
  <mergeCells count="10">
    <mergeCell ref="D32:D35"/>
    <mergeCell ref="C1:C3"/>
    <mergeCell ref="T1:Z1"/>
    <mergeCell ref="E3:Z3"/>
    <mergeCell ref="D5:D8"/>
    <mergeCell ref="E5:E7"/>
    <mergeCell ref="F5:F7"/>
    <mergeCell ref="K6:T6"/>
    <mergeCell ref="G5:Y5"/>
    <mergeCell ref="Z5:Z7"/>
  </mergeCells>
  <printOptions horizontalCentered="1"/>
  <pageMargins left="0.07874015748031496" right="0.07874015748031496" top="0.7874015748031497" bottom="0.7874015748031497" header="0.11811023622047245" footer="0.1968503937007874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O38"/>
  <sheetViews>
    <sheetView workbookViewId="0" topLeftCell="C1">
      <selection activeCell="L3" sqref="L3"/>
    </sheetView>
  </sheetViews>
  <sheetFormatPr defaultColWidth="8.875" defaultRowHeight="12.75"/>
  <cols>
    <col min="1" max="1" width="1.37890625" style="517" hidden="1" customWidth="1"/>
    <col min="2" max="2" width="8.00390625" style="518" hidden="1" customWidth="1"/>
    <col min="3" max="3" width="8.00390625" style="518" customWidth="1"/>
    <col min="4" max="4" width="7.625" style="519" customWidth="1"/>
    <col min="5" max="5" width="38.00390625" style="517" customWidth="1"/>
    <col min="6" max="8" width="13.125" style="517" customWidth="1"/>
    <col min="9" max="9" width="13.125" style="517" hidden="1" customWidth="1"/>
    <col min="10" max="11" width="13.125" style="517" customWidth="1"/>
    <col min="12" max="12" width="16.75390625" style="574" customWidth="1"/>
    <col min="13" max="13" width="14.375" style="517" customWidth="1"/>
    <col min="14" max="14" width="9.875" style="517" bestFit="1" customWidth="1"/>
    <col min="15" max="16384" width="8.875" style="517" customWidth="1"/>
  </cols>
  <sheetData>
    <row r="1" spans="3:12" ht="15">
      <c r="C1" s="1037"/>
      <c r="J1" s="1039"/>
      <c r="K1" s="1039"/>
      <c r="L1" s="1039"/>
    </row>
    <row r="2" spans="3:15" ht="15">
      <c r="C2" s="1037"/>
      <c r="H2" s="633"/>
      <c r="I2" s="633"/>
      <c r="J2" s="633"/>
      <c r="K2" s="634"/>
      <c r="L2" s="633" t="s">
        <v>1157</v>
      </c>
      <c r="M2" s="634"/>
      <c r="N2" s="634"/>
      <c r="O2" s="634"/>
    </row>
    <row r="3" spans="3:15" ht="15">
      <c r="C3" s="1037"/>
      <c r="H3" s="633"/>
      <c r="I3" s="633"/>
      <c r="J3" s="633"/>
      <c r="K3" s="634"/>
      <c r="L3" s="633"/>
      <c r="M3" s="634"/>
      <c r="N3" s="634"/>
      <c r="O3" s="634"/>
    </row>
    <row r="4" spans="1:12" s="750" customFormat="1" ht="39" customHeight="1">
      <c r="A4" s="521"/>
      <c r="B4" s="522"/>
      <c r="C4" s="1037"/>
      <c r="D4" s="1059" t="s">
        <v>877</v>
      </c>
      <c r="E4" s="1059"/>
      <c r="F4" s="1059"/>
      <c r="G4" s="1059"/>
      <c r="H4" s="1059"/>
      <c r="I4" s="1059"/>
      <c r="J4" s="1059"/>
      <c r="K4" s="1059"/>
      <c r="L4" s="1059"/>
    </row>
    <row r="5" ht="12">
      <c r="L5" s="751"/>
    </row>
    <row r="6" ht="12.75" thickBot="1">
      <c r="L6" s="523"/>
    </row>
    <row r="7" spans="2:12" s="524" customFormat="1" ht="12.75" customHeight="1">
      <c r="B7" s="525"/>
      <c r="C7" s="525"/>
      <c r="D7" s="1041" t="s">
        <v>446</v>
      </c>
      <c r="E7" s="1044" t="s">
        <v>367</v>
      </c>
      <c r="F7" s="1053" t="s">
        <v>375</v>
      </c>
      <c r="G7" s="1054"/>
      <c r="H7" s="1054"/>
      <c r="I7" s="1054"/>
      <c r="J7" s="1054"/>
      <c r="K7" s="1054"/>
      <c r="L7" s="1056" t="s">
        <v>376</v>
      </c>
    </row>
    <row r="8" spans="2:12" s="526" customFormat="1" ht="12" customHeight="1">
      <c r="B8" s="527"/>
      <c r="C8" s="527"/>
      <c r="D8" s="1042"/>
      <c r="E8" s="1045"/>
      <c r="F8" s="528" t="s">
        <v>1</v>
      </c>
      <c r="G8" s="528" t="s">
        <v>3</v>
      </c>
      <c r="H8" s="528" t="s">
        <v>5</v>
      </c>
      <c r="I8" s="530" t="s">
        <v>8</v>
      </c>
      <c r="J8" s="530" t="s">
        <v>122</v>
      </c>
      <c r="K8" s="530" t="s">
        <v>124</v>
      </c>
      <c r="L8" s="1057"/>
    </row>
    <row r="9" spans="2:12" s="526" customFormat="1" ht="63.75" customHeight="1" thickBot="1">
      <c r="B9" s="527"/>
      <c r="C9" s="527"/>
      <c r="D9" s="1042"/>
      <c r="E9" s="1046"/>
      <c r="F9" s="531" t="s">
        <v>348</v>
      </c>
      <c r="G9" s="531" t="s">
        <v>652</v>
      </c>
      <c r="H9" s="531" t="s">
        <v>369</v>
      </c>
      <c r="I9" s="529" t="s">
        <v>9</v>
      </c>
      <c r="J9" s="529" t="s">
        <v>346</v>
      </c>
      <c r="K9" s="529" t="s">
        <v>379</v>
      </c>
      <c r="L9" s="1058"/>
    </row>
    <row r="10" spans="1:12" s="548" customFormat="1" ht="23.25" customHeight="1">
      <c r="A10" s="517"/>
      <c r="B10" s="518"/>
      <c r="C10" s="518"/>
      <c r="D10" s="1060" t="s">
        <v>378</v>
      </c>
      <c r="E10" s="1061"/>
      <c r="F10" s="1061"/>
      <c r="G10" s="1061"/>
      <c r="H10" s="1061"/>
      <c r="I10" s="1061"/>
      <c r="J10" s="1061"/>
      <c r="K10" s="1061"/>
      <c r="L10" s="1062"/>
    </row>
    <row r="11" spans="2:12" s="642" customFormat="1" ht="34.5" customHeight="1">
      <c r="B11" s="643" t="s">
        <v>52</v>
      </c>
      <c r="C11" s="643"/>
      <c r="D11" s="644" t="s">
        <v>406</v>
      </c>
      <c r="E11" s="645" t="s">
        <v>837</v>
      </c>
      <c r="F11" s="647">
        <f>102608557+200000</f>
        <v>102808557</v>
      </c>
      <c r="G11" s="647">
        <f>20644903+39000</f>
        <v>20683903</v>
      </c>
      <c r="H11" s="647">
        <f>22317134+1537859+2108200-829010-6147</f>
        <v>25128036</v>
      </c>
      <c r="I11" s="647">
        <v>0</v>
      </c>
      <c r="J11" s="647">
        <v>1016000</v>
      </c>
      <c r="K11" s="647">
        <v>0</v>
      </c>
      <c r="L11" s="648">
        <f aca="true" t="shared" si="0" ref="L11:L17">SUM(F11:K11)</f>
        <v>149636496</v>
      </c>
    </row>
    <row r="12" spans="2:12" s="642" customFormat="1" ht="30.75" customHeight="1">
      <c r="B12" s="643" t="s">
        <v>53</v>
      </c>
      <c r="C12" s="643"/>
      <c r="D12" s="644" t="s">
        <v>407</v>
      </c>
      <c r="E12" s="645" t="s">
        <v>833</v>
      </c>
      <c r="F12" s="647">
        <v>0</v>
      </c>
      <c r="G12" s="647">
        <v>0</v>
      </c>
      <c r="H12" s="647">
        <v>0</v>
      </c>
      <c r="I12" s="647">
        <f>7430000-7430000</f>
        <v>0</v>
      </c>
      <c r="J12" s="647">
        <v>0</v>
      </c>
      <c r="K12" s="647">
        <v>0</v>
      </c>
      <c r="L12" s="648">
        <f t="shared" si="0"/>
        <v>0</v>
      </c>
    </row>
    <row r="13" spans="2:12" s="642" customFormat="1" ht="30.75" customHeight="1">
      <c r="B13" s="643"/>
      <c r="C13" s="643"/>
      <c r="D13" s="649" t="s">
        <v>408</v>
      </c>
      <c r="E13" s="650" t="s">
        <v>1032</v>
      </c>
      <c r="F13" s="651">
        <f>1420400+47334+2742</f>
        <v>1470476</v>
      </c>
      <c r="G13" s="651">
        <f>293204-8955</f>
        <v>284249</v>
      </c>
      <c r="H13" s="651">
        <f>247115+6213+6147</f>
        <v>259475</v>
      </c>
      <c r="I13" s="651">
        <v>0</v>
      </c>
      <c r="J13" s="651">
        <v>0</v>
      </c>
      <c r="K13" s="651">
        <v>0</v>
      </c>
      <c r="L13" s="648">
        <f t="shared" si="0"/>
        <v>2014200</v>
      </c>
    </row>
    <row r="14" spans="2:12" s="642" customFormat="1" ht="57">
      <c r="B14" s="643"/>
      <c r="C14" s="643"/>
      <c r="D14" s="649" t="s">
        <v>409</v>
      </c>
      <c r="E14" s="650" t="s">
        <v>1094</v>
      </c>
      <c r="F14" s="651">
        <f>1582900+325371</f>
        <v>1908271</v>
      </c>
      <c r="G14" s="651">
        <f>303260+33428</f>
        <v>336688</v>
      </c>
      <c r="H14" s="651">
        <f>269840+76049</f>
        <v>345889</v>
      </c>
      <c r="I14" s="651">
        <v>0</v>
      </c>
      <c r="J14" s="651">
        <v>0</v>
      </c>
      <c r="K14" s="651">
        <v>0</v>
      </c>
      <c r="L14" s="648">
        <f t="shared" si="0"/>
        <v>2590848</v>
      </c>
    </row>
    <row r="15" spans="2:12" s="642" customFormat="1" ht="71.25">
      <c r="B15" s="643"/>
      <c r="C15" s="643"/>
      <c r="D15" s="644" t="s">
        <v>410</v>
      </c>
      <c r="E15" s="645" t="s">
        <v>878</v>
      </c>
      <c r="F15" s="647">
        <f>3360000+1725000</f>
        <v>5085000</v>
      </c>
      <c r="G15" s="647">
        <f>655200+301875</f>
        <v>957075</v>
      </c>
      <c r="H15" s="647">
        <v>0</v>
      </c>
      <c r="I15" s="647">
        <v>0</v>
      </c>
      <c r="J15" s="647">
        <v>0</v>
      </c>
      <c r="K15" s="647">
        <v>0</v>
      </c>
      <c r="L15" s="648">
        <f t="shared" si="0"/>
        <v>6042075</v>
      </c>
    </row>
    <row r="16" spans="2:12" s="642" customFormat="1" ht="42.75">
      <c r="B16" s="643"/>
      <c r="C16" s="643"/>
      <c r="D16" s="644" t="s">
        <v>411</v>
      </c>
      <c r="E16" s="645" t="s">
        <v>1033</v>
      </c>
      <c r="F16" s="647">
        <v>338000</v>
      </c>
      <c r="G16" s="647">
        <v>65910</v>
      </c>
      <c r="H16" s="647">
        <v>0</v>
      </c>
      <c r="I16" s="647">
        <v>0</v>
      </c>
      <c r="J16" s="647">
        <v>0</v>
      </c>
      <c r="K16" s="647">
        <v>0</v>
      </c>
      <c r="L16" s="648">
        <f t="shared" si="0"/>
        <v>403910</v>
      </c>
    </row>
    <row r="17" spans="2:12" s="642" customFormat="1" ht="57.75" thickBot="1">
      <c r="B17" s="643"/>
      <c r="C17" s="643"/>
      <c r="D17" s="800" t="s">
        <v>412</v>
      </c>
      <c r="E17" s="895" t="s">
        <v>1070</v>
      </c>
      <c r="F17" s="801">
        <v>2666710</v>
      </c>
      <c r="G17" s="801">
        <v>520008</v>
      </c>
      <c r="H17" s="801">
        <v>0</v>
      </c>
      <c r="I17" s="801">
        <v>0</v>
      </c>
      <c r="J17" s="801">
        <v>0</v>
      </c>
      <c r="K17" s="801">
        <v>0</v>
      </c>
      <c r="L17" s="802">
        <f t="shared" si="0"/>
        <v>3186718</v>
      </c>
    </row>
    <row r="18" spans="1:15" s="653" customFormat="1" ht="24" customHeight="1" thickBot="1">
      <c r="A18" s="653">
        <v>999997</v>
      </c>
      <c r="B18" s="654"/>
      <c r="D18" s="655" t="s">
        <v>413</v>
      </c>
      <c r="E18" s="656" t="s">
        <v>371</v>
      </c>
      <c r="F18" s="657">
        <f aca="true" t="shared" si="1" ref="F18:L18">SUM(F9:F17)</f>
        <v>114277014</v>
      </c>
      <c r="G18" s="657">
        <f t="shared" si="1"/>
        <v>22847833</v>
      </c>
      <c r="H18" s="657">
        <f t="shared" si="1"/>
        <v>25733400</v>
      </c>
      <c r="I18" s="657">
        <f t="shared" si="1"/>
        <v>0</v>
      </c>
      <c r="J18" s="657">
        <f t="shared" si="1"/>
        <v>1016000</v>
      </c>
      <c r="K18" s="657">
        <f t="shared" si="1"/>
        <v>0</v>
      </c>
      <c r="L18" s="803">
        <f t="shared" si="1"/>
        <v>163874247</v>
      </c>
      <c r="M18" s="658">
        <f>SUM(F18:K18)</f>
        <v>163874247</v>
      </c>
      <c r="N18" s="659"/>
      <c r="O18" s="659"/>
    </row>
    <row r="19" spans="1:12" s="548" customFormat="1" ht="23.25" customHeight="1">
      <c r="A19" s="517"/>
      <c r="B19" s="518"/>
      <c r="C19" s="518"/>
      <c r="D19" s="1060" t="s">
        <v>771</v>
      </c>
      <c r="E19" s="1061"/>
      <c r="F19" s="1061"/>
      <c r="G19" s="1061"/>
      <c r="H19" s="1061"/>
      <c r="I19" s="1061"/>
      <c r="J19" s="1061"/>
      <c r="K19" s="1061"/>
      <c r="L19" s="1062"/>
    </row>
    <row r="20" spans="2:12" s="642" customFormat="1" ht="18.75" customHeight="1">
      <c r="B20" s="643" t="s">
        <v>52</v>
      </c>
      <c r="C20" s="643"/>
      <c r="D20" s="644" t="s">
        <v>406</v>
      </c>
      <c r="E20" s="645" t="s">
        <v>803</v>
      </c>
      <c r="F20" s="646">
        <v>0</v>
      </c>
      <c r="G20" s="646">
        <v>0</v>
      </c>
      <c r="H20" s="646">
        <f>34363647-36576</f>
        <v>34327071</v>
      </c>
      <c r="I20" s="647">
        <v>0</v>
      </c>
      <c r="J20" s="646">
        <f>36576</f>
        <v>36576</v>
      </c>
      <c r="K20" s="647">
        <v>0</v>
      </c>
      <c r="L20" s="648">
        <f aca="true" t="shared" si="2" ref="L20:L30">SUM(F20:K20)</f>
        <v>34363647</v>
      </c>
    </row>
    <row r="21" spans="2:12" s="642" customFormat="1" ht="19.5" customHeight="1">
      <c r="B21" s="643" t="s">
        <v>53</v>
      </c>
      <c r="C21" s="643"/>
      <c r="D21" s="644" t="s">
        <v>407</v>
      </c>
      <c r="E21" s="645" t="s">
        <v>880</v>
      </c>
      <c r="F21" s="646">
        <f>93384492-240000+220000-91000-3</f>
        <v>93273489</v>
      </c>
      <c r="G21" s="646">
        <f>21312024-46800+42900</f>
        <v>21308124</v>
      </c>
      <c r="H21" s="646">
        <f>12087124-1073150+656145-600000-889000-273095+889000-592498+69342-39600</f>
        <v>10234268</v>
      </c>
      <c r="I21" s="647">
        <v>0</v>
      </c>
      <c r="J21" s="646">
        <f>552450+592498-108966</f>
        <v>1035982</v>
      </c>
      <c r="K21" s="647">
        <f>273095</f>
        <v>273095</v>
      </c>
      <c r="L21" s="648">
        <f t="shared" si="2"/>
        <v>126124958</v>
      </c>
    </row>
    <row r="22" spans="2:12" s="642" customFormat="1" ht="18.75" customHeight="1">
      <c r="B22" s="643"/>
      <c r="C22" s="643"/>
      <c r="D22" s="644" t="s">
        <v>408</v>
      </c>
      <c r="E22" s="645" t="s">
        <v>553</v>
      </c>
      <c r="F22" s="646">
        <f>4891000+12000</f>
        <v>4903000</v>
      </c>
      <c r="G22" s="646">
        <v>953745</v>
      </c>
      <c r="H22" s="646">
        <f>400366+889000+1166000-889000+19812</f>
        <v>1586178</v>
      </c>
      <c r="I22" s="647">
        <v>0</v>
      </c>
      <c r="J22" s="646">
        <v>0</v>
      </c>
      <c r="K22" s="647">
        <v>0</v>
      </c>
      <c r="L22" s="648">
        <f t="shared" si="2"/>
        <v>7442923</v>
      </c>
    </row>
    <row r="23" spans="2:12" s="642" customFormat="1" ht="18.75" customHeight="1">
      <c r="B23" s="643"/>
      <c r="C23" s="643"/>
      <c r="D23" s="644" t="s">
        <v>409</v>
      </c>
      <c r="E23" s="645" t="s">
        <v>593</v>
      </c>
      <c r="F23" s="646">
        <f>19682997+45000</f>
        <v>19727997</v>
      </c>
      <c r="G23" s="646">
        <v>3846449</v>
      </c>
      <c r="H23" s="646">
        <f>4977802-46143+49530</f>
        <v>4981189</v>
      </c>
      <c r="I23" s="647">
        <v>0</v>
      </c>
      <c r="J23" s="646">
        <f>152400+46143-39624</f>
        <v>158919</v>
      </c>
      <c r="K23" s="647">
        <v>0</v>
      </c>
      <c r="L23" s="648">
        <f t="shared" si="2"/>
        <v>28714554</v>
      </c>
    </row>
    <row r="24" spans="1:12" s="642" customFormat="1" ht="18.75" customHeight="1">
      <c r="A24" s="642">
        <v>20215</v>
      </c>
      <c r="B24" s="643" t="s">
        <v>55</v>
      </c>
      <c r="C24" s="643"/>
      <c r="D24" s="644" t="s">
        <v>410</v>
      </c>
      <c r="E24" s="645" t="s">
        <v>720</v>
      </c>
      <c r="F24" s="646">
        <f>15007293+10000</f>
        <v>15017293</v>
      </c>
      <c r="G24" s="646">
        <v>2937022</v>
      </c>
      <c r="H24" s="646">
        <f>2794382+69342</f>
        <v>2863724</v>
      </c>
      <c r="I24" s="647">
        <v>0</v>
      </c>
      <c r="J24" s="646">
        <f>241300-69342</f>
        <v>171958</v>
      </c>
      <c r="K24" s="647">
        <v>0</v>
      </c>
      <c r="L24" s="648">
        <f t="shared" si="2"/>
        <v>20989997</v>
      </c>
    </row>
    <row r="25" spans="2:12" s="642" customFormat="1" ht="18.75" customHeight="1">
      <c r="B25" s="643"/>
      <c r="C25" s="643"/>
      <c r="D25" s="644" t="s">
        <v>411</v>
      </c>
      <c r="E25" s="645" t="s">
        <v>721</v>
      </c>
      <c r="F25" s="646">
        <f>9229786+56100+24000</f>
        <v>9309886</v>
      </c>
      <c r="G25" s="646">
        <f>1799808+10940</f>
        <v>1810748</v>
      </c>
      <c r="H25" s="646">
        <f>1133928+9906</f>
        <v>1143834</v>
      </c>
      <c r="I25" s="647">
        <v>0</v>
      </c>
      <c r="J25" s="646">
        <v>0</v>
      </c>
      <c r="K25" s="647">
        <v>0</v>
      </c>
      <c r="L25" s="648">
        <f t="shared" si="2"/>
        <v>12264468</v>
      </c>
    </row>
    <row r="26" spans="2:12" s="642" customFormat="1" ht="15">
      <c r="B26" s="643"/>
      <c r="C26" s="643"/>
      <c r="D26" s="644" t="s">
        <v>412</v>
      </c>
      <c r="E26" s="645" t="s">
        <v>804</v>
      </c>
      <c r="F26" s="646">
        <v>0</v>
      </c>
      <c r="G26" s="646">
        <v>0</v>
      </c>
      <c r="H26" s="646">
        <v>3260222</v>
      </c>
      <c r="I26" s="647">
        <v>0</v>
      </c>
      <c r="J26" s="646">
        <v>0</v>
      </c>
      <c r="K26" s="647">
        <v>0</v>
      </c>
      <c r="L26" s="648">
        <f t="shared" si="2"/>
        <v>3260222</v>
      </c>
    </row>
    <row r="27" spans="2:12" s="642" customFormat="1" ht="71.25">
      <c r="B27" s="643"/>
      <c r="C27" s="643"/>
      <c r="D27" s="644" t="s">
        <v>413</v>
      </c>
      <c r="E27" s="645" t="s">
        <v>883</v>
      </c>
      <c r="F27" s="646">
        <v>5760000</v>
      </c>
      <c r="G27" s="646">
        <v>1123200</v>
      </c>
      <c r="H27" s="646">
        <v>0</v>
      </c>
      <c r="I27" s="647">
        <v>0</v>
      </c>
      <c r="J27" s="646">
        <v>0</v>
      </c>
      <c r="K27" s="647">
        <v>0</v>
      </c>
      <c r="L27" s="648">
        <f t="shared" si="2"/>
        <v>6883200</v>
      </c>
    </row>
    <row r="28" spans="2:12" s="642" customFormat="1" ht="57">
      <c r="B28" s="643"/>
      <c r="C28" s="643"/>
      <c r="D28" s="644" t="s">
        <v>414</v>
      </c>
      <c r="E28" s="645" t="s">
        <v>882</v>
      </c>
      <c r="F28" s="646">
        <v>12880157</v>
      </c>
      <c r="G28" s="646">
        <v>10151079</v>
      </c>
      <c r="H28" s="646">
        <f>4399746+10500000</f>
        <v>14899746</v>
      </c>
      <c r="I28" s="647">
        <v>0</v>
      </c>
      <c r="J28" s="646">
        <v>0</v>
      </c>
      <c r="K28" s="647">
        <v>0</v>
      </c>
      <c r="L28" s="648">
        <f t="shared" si="2"/>
        <v>37930982</v>
      </c>
    </row>
    <row r="29" spans="2:12" s="642" customFormat="1" ht="28.5">
      <c r="B29" s="643"/>
      <c r="C29" s="643"/>
      <c r="D29" s="800" t="s">
        <v>415</v>
      </c>
      <c r="E29" s="645" t="s">
        <v>881</v>
      </c>
      <c r="F29" s="801">
        <f>2303000+4697</f>
        <v>2307697</v>
      </c>
      <c r="G29" s="801">
        <f>449085-66565</f>
        <v>382520</v>
      </c>
      <c r="H29" s="801">
        <f>2707021+61868</f>
        <v>2768889</v>
      </c>
      <c r="I29" s="801">
        <v>0</v>
      </c>
      <c r="J29" s="801">
        <v>0</v>
      </c>
      <c r="K29" s="801">
        <v>0</v>
      </c>
      <c r="L29" s="802">
        <f t="shared" si="2"/>
        <v>5459106</v>
      </c>
    </row>
    <row r="30" spans="2:12" s="642" customFormat="1" ht="15.75" thickBot="1">
      <c r="B30" s="643"/>
      <c r="C30" s="643"/>
      <c r="D30" s="644" t="s">
        <v>416</v>
      </c>
      <c r="E30" s="645" t="s">
        <v>1071</v>
      </c>
      <c r="F30" s="646">
        <f>1229250+3</f>
        <v>1229253</v>
      </c>
      <c r="G30" s="646">
        <v>215116</v>
      </c>
      <c r="H30" s="646">
        <v>39600</v>
      </c>
      <c r="I30" s="647">
        <v>0</v>
      </c>
      <c r="J30" s="646">
        <v>0</v>
      </c>
      <c r="K30" s="647">
        <v>0</v>
      </c>
      <c r="L30" s="648">
        <f t="shared" si="2"/>
        <v>1483969</v>
      </c>
    </row>
    <row r="31" spans="1:15" s="653" customFormat="1" ht="24" customHeight="1" thickBot="1">
      <c r="A31" s="653">
        <v>999997</v>
      </c>
      <c r="B31" s="654"/>
      <c r="D31" s="655" t="s">
        <v>417</v>
      </c>
      <c r="E31" s="656" t="s">
        <v>371</v>
      </c>
      <c r="F31" s="657">
        <f>SUM(F19:F30)</f>
        <v>164408772</v>
      </c>
      <c r="G31" s="657">
        <f aca="true" t="shared" si="3" ref="G31:L31">SUM(G19:G30)</f>
        <v>42728003</v>
      </c>
      <c r="H31" s="657">
        <f t="shared" si="3"/>
        <v>76104721</v>
      </c>
      <c r="I31" s="657">
        <f t="shared" si="3"/>
        <v>0</v>
      </c>
      <c r="J31" s="657">
        <f t="shared" si="3"/>
        <v>1403435</v>
      </c>
      <c r="K31" s="657">
        <f t="shared" si="3"/>
        <v>273095</v>
      </c>
      <c r="L31" s="803">
        <f t="shared" si="3"/>
        <v>284918026</v>
      </c>
      <c r="M31" s="658">
        <f>SUM(F31:K31)</f>
        <v>284918026</v>
      </c>
      <c r="N31" s="659"/>
      <c r="O31" s="659"/>
    </row>
    <row r="32" spans="1:12" s="548" customFormat="1" ht="23.25" customHeight="1">
      <c r="A32" s="517"/>
      <c r="B32" s="518"/>
      <c r="C32" s="518"/>
      <c r="D32" s="1060" t="s">
        <v>838</v>
      </c>
      <c r="E32" s="1061"/>
      <c r="F32" s="1061"/>
      <c r="G32" s="1061"/>
      <c r="H32" s="1061"/>
      <c r="I32" s="1061"/>
      <c r="J32" s="1061"/>
      <c r="K32" s="1061"/>
      <c r="L32" s="1062"/>
    </row>
    <row r="33" spans="2:12" s="642" customFormat="1" ht="31.5" customHeight="1">
      <c r="B33" s="643" t="s">
        <v>52</v>
      </c>
      <c r="C33" s="643"/>
      <c r="D33" s="644" t="s">
        <v>406</v>
      </c>
      <c r="E33" s="645" t="s">
        <v>552</v>
      </c>
      <c r="F33" s="647">
        <v>0</v>
      </c>
      <c r="G33" s="647">
        <v>0</v>
      </c>
      <c r="H33" s="647">
        <v>1100000</v>
      </c>
      <c r="I33" s="647">
        <v>0</v>
      </c>
      <c r="J33" s="647">
        <v>0</v>
      </c>
      <c r="K33" s="647">
        <v>0</v>
      </c>
      <c r="L33" s="648">
        <f>SUM(F33:K33)</f>
        <v>1100000</v>
      </c>
    </row>
    <row r="34" spans="2:12" s="642" customFormat="1" ht="23.25" customHeight="1">
      <c r="B34" s="643" t="s">
        <v>53</v>
      </c>
      <c r="C34" s="643"/>
      <c r="D34" s="644" t="s">
        <v>407</v>
      </c>
      <c r="E34" s="645" t="s">
        <v>391</v>
      </c>
      <c r="F34" s="647">
        <v>2629600</v>
      </c>
      <c r="G34" s="647">
        <v>512772</v>
      </c>
      <c r="H34" s="647">
        <v>289700</v>
      </c>
      <c r="I34" s="647">
        <v>0</v>
      </c>
      <c r="J34" s="647">
        <v>0</v>
      </c>
      <c r="K34" s="647">
        <v>0</v>
      </c>
      <c r="L34" s="648">
        <f>SUM(F34:K34)</f>
        <v>3432072</v>
      </c>
    </row>
    <row r="35" spans="2:12" s="642" customFormat="1" ht="33" customHeight="1">
      <c r="B35" s="643"/>
      <c r="C35" s="643"/>
      <c r="D35" s="644" t="s">
        <v>408</v>
      </c>
      <c r="E35" s="645" t="s">
        <v>805</v>
      </c>
      <c r="F35" s="647">
        <f>7774800+1500000-1+600000</f>
        <v>9874799</v>
      </c>
      <c r="G35" s="647">
        <f>1539290+775525</f>
        <v>2314815</v>
      </c>
      <c r="H35" s="647">
        <f>13067490-1270000+622539+7367584+614391+300000+81000+558800+203200-8000-783939-600000</f>
        <v>20153065</v>
      </c>
      <c r="I35" s="647">
        <v>0</v>
      </c>
      <c r="J35" s="647">
        <f>635000+783939</f>
        <v>1418939</v>
      </c>
      <c r="K35" s="647">
        <v>0</v>
      </c>
      <c r="L35" s="648">
        <f>SUM(F35:K35)</f>
        <v>33761618</v>
      </c>
    </row>
    <row r="36" spans="2:12" s="642" customFormat="1" ht="15">
      <c r="B36" s="643"/>
      <c r="C36" s="643"/>
      <c r="D36" s="644" t="s">
        <v>409</v>
      </c>
      <c r="E36" s="645" t="s">
        <v>1071</v>
      </c>
      <c r="F36" s="646">
        <f>223500+1</f>
        <v>223501</v>
      </c>
      <c r="G36" s="646">
        <f>39112</f>
        <v>39112</v>
      </c>
      <c r="H36" s="646">
        <v>8000</v>
      </c>
      <c r="I36" s="647">
        <v>0</v>
      </c>
      <c r="J36" s="646">
        <v>0</v>
      </c>
      <c r="K36" s="647">
        <v>0</v>
      </c>
      <c r="L36" s="648">
        <f>SUM(F36:K36)</f>
        <v>270613</v>
      </c>
    </row>
    <row r="37" spans="2:12" s="642" customFormat="1" ht="33" customHeight="1" thickBot="1">
      <c r="B37" s="643"/>
      <c r="C37" s="643"/>
      <c r="D37" s="649" t="s">
        <v>410</v>
      </c>
      <c r="E37" s="650" t="s">
        <v>879</v>
      </c>
      <c r="F37" s="651">
        <v>6761296</v>
      </c>
      <c r="G37" s="651">
        <v>1646453</v>
      </c>
      <c r="H37" s="651">
        <v>14095151</v>
      </c>
      <c r="I37" s="651">
        <v>0</v>
      </c>
      <c r="J37" s="651">
        <v>2497100</v>
      </c>
      <c r="K37" s="651">
        <v>0</v>
      </c>
      <c r="L37" s="652">
        <f>SUM(F37:K37)</f>
        <v>25000000</v>
      </c>
    </row>
    <row r="38" spans="1:15" s="653" customFormat="1" ht="24" customHeight="1" thickBot="1">
      <c r="A38" s="653">
        <v>999997</v>
      </c>
      <c r="B38" s="654"/>
      <c r="D38" s="655" t="s">
        <v>411</v>
      </c>
      <c r="E38" s="656" t="s">
        <v>371</v>
      </c>
      <c r="F38" s="657">
        <f>SUM(F32:F37)</f>
        <v>19489196</v>
      </c>
      <c r="G38" s="657">
        <f aca="true" t="shared" si="4" ref="G38:L38">SUM(G32:G37)</f>
        <v>4513152</v>
      </c>
      <c r="H38" s="657">
        <f t="shared" si="4"/>
        <v>35645916</v>
      </c>
      <c r="I38" s="657">
        <f t="shared" si="4"/>
        <v>0</v>
      </c>
      <c r="J38" s="657">
        <f t="shared" si="4"/>
        <v>3916039</v>
      </c>
      <c r="K38" s="657">
        <f t="shared" si="4"/>
        <v>0</v>
      </c>
      <c r="L38" s="803">
        <f t="shared" si="4"/>
        <v>63564303</v>
      </c>
      <c r="M38" s="658">
        <f>SUM(F38:K38)</f>
        <v>63564303</v>
      </c>
      <c r="N38" s="659"/>
      <c r="O38" s="659"/>
    </row>
  </sheetData>
  <sheetProtection/>
  <mergeCells count="10">
    <mergeCell ref="D4:L4"/>
    <mergeCell ref="D19:L19"/>
    <mergeCell ref="D32:L32"/>
    <mergeCell ref="C1:C4"/>
    <mergeCell ref="J1:L1"/>
    <mergeCell ref="D7:D9"/>
    <mergeCell ref="E7:E9"/>
    <mergeCell ref="F7:K7"/>
    <mergeCell ref="L7:L9"/>
    <mergeCell ref="D10:L10"/>
  </mergeCells>
  <printOptions horizontalCentered="1"/>
  <pageMargins left="0.11811023622047245" right="0.11811023622047245" top="0.9448818897637796" bottom="0.9448818897637796" header="0.31496062992125984" footer="0.31496062992125984"/>
  <pageSetup horizontalDpi="600" verticalDpi="600" orientation="portrait" paperSize="9" scale="65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A93"/>
  <sheetViews>
    <sheetView workbookViewId="0" topLeftCell="A1">
      <selection activeCell="G2" sqref="G2"/>
    </sheetView>
  </sheetViews>
  <sheetFormatPr defaultColWidth="9.00390625" defaultRowHeight="12.75"/>
  <cols>
    <col min="1" max="1" width="7.75390625" style="187" customWidth="1"/>
    <col min="2" max="2" width="31.75390625" style="187" customWidth="1"/>
    <col min="3" max="3" width="14.375" style="187" customWidth="1"/>
    <col min="4" max="4" width="16.25390625" style="187" bestFit="1" customWidth="1"/>
    <col min="5" max="5" width="14.625" style="187" bestFit="1" customWidth="1"/>
    <col min="6" max="6" width="16.375" style="187" bestFit="1" customWidth="1"/>
    <col min="7" max="8" width="14.75390625" style="187" bestFit="1" customWidth="1"/>
    <col min="9" max="9" width="16.375" style="187" bestFit="1" customWidth="1"/>
    <col min="10" max="11" width="12.875" style="187" customWidth="1"/>
    <col min="12" max="12" width="15.00390625" style="187" customWidth="1"/>
    <col min="13" max="13" width="17.125" style="187" bestFit="1" customWidth="1"/>
    <col min="14" max="15" width="9.125" style="187" customWidth="1"/>
    <col min="16" max="16" width="12.875" style="187" bestFit="1" customWidth="1"/>
    <col min="17" max="16384" width="9.125" style="187" customWidth="1"/>
  </cols>
  <sheetData>
    <row r="1" spans="1:21" ht="12.75">
      <c r="A1" s="254"/>
      <c r="B1" s="255"/>
      <c r="C1" s="256"/>
      <c r="D1" s="256"/>
      <c r="E1" s="256"/>
      <c r="F1" s="256"/>
      <c r="G1" s="1063" t="s">
        <v>1158</v>
      </c>
      <c r="H1" s="1063"/>
      <c r="I1" s="1064"/>
      <c r="J1" s="1064"/>
      <c r="K1" s="1064"/>
      <c r="L1" s="1064"/>
      <c r="M1" s="1064"/>
      <c r="N1" s="255"/>
      <c r="O1" s="255"/>
      <c r="P1" s="255"/>
      <c r="Q1" s="255"/>
      <c r="R1" s="257"/>
      <c r="S1" s="257"/>
      <c r="T1" s="257"/>
      <c r="U1" s="255"/>
    </row>
    <row r="2" spans="1:21" ht="12.75">
      <c r="A2" s="254"/>
      <c r="B2" s="255"/>
      <c r="C2" s="256"/>
      <c r="D2" s="256"/>
      <c r="E2" s="256"/>
      <c r="F2" s="256"/>
      <c r="G2" s="258"/>
      <c r="H2" s="258"/>
      <c r="I2" s="259"/>
      <c r="J2" s="259"/>
      <c r="K2" s="259"/>
      <c r="L2" s="259"/>
      <c r="M2" s="259"/>
      <c r="N2" s="255"/>
      <c r="O2" s="255"/>
      <c r="P2" s="255"/>
      <c r="Q2" s="255"/>
      <c r="R2" s="257"/>
      <c r="S2" s="257"/>
      <c r="T2" s="257"/>
      <c r="U2" s="255"/>
    </row>
    <row r="3" spans="1:27" ht="15.75" customHeight="1">
      <c r="A3" s="1077" t="s">
        <v>934</v>
      </c>
      <c r="B3" s="1077"/>
      <c r="C3" s="1077"/>
      <c r="D3" s="1077"/>
      <c r="E3" s="1077"/>
      <c r="F3" s="1077"/>
      <c r="G3" s="1077"/>
      <c r="H3" s="1077"/>
      <c r="I3" s="1077"/>
      <c r="J3" s="1077"/>
      <c r="K3" s="1077"/>
      <c r="L3" s="1077"/>
      <c r="M3" s="1077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</row>
    <row r="4" spans="1:27" ht="13.5" customHeight="1" thickBot="1">
      <c r="A4" s="936"/>
      <c r="B4" s="936"/>
      <c r="C4" s="936"/>
      <c r="D4" s="936"/>
      <c r="E4" s="936"/>
      <c r="F4" s="936"/>
      <c r="G4" s="936"/>
      <c r="H4" s="936"/>
      <c r="I4" s="936"/>
      <c r="J4" s="936"/>
      <c r="K4" s="936"/>
      <c r="L4" s="936"/>
      <c r="M4" s="936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</row>
    <row r="5" spans="1:27" ht="16.5" thickBot="1">
      <c r="A5" s="1090" t="s">
        <v>446</v>
      </c>
      <c r="B5" s="1087" t="s">
        <v>367</v>
      </c>
      <c r="C5" s="1093" t="s">
        <v>494</v>
      </c>
      <c r="D5" s="1093"/>
      <c r="E5" s="1093"/>
      <c r="F5" s="1093"/>
      <c r="G5" s="1093"/>
      <c r="H5" s="1093"/>
      <c r="I5" s="1093"/>
      <c r="J5" s="1093"/>
      <c r="K5" s="1093"/>
      <c r="L5" s="1093"/>
      <c r="M5" s="1094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62"/>
    </row>
    <row r="6" spans="1:13" ht="12.75" customHeight="1">
      <c r="A6" s="1091"/>
      <c r="B6" s="1088"/>
      <c r="C6" s="1068" t="s">
        <v>495</v>
      </c>
      <c r="D6" s="1071" t="s">
        <v>496</v>
      </c>
      <c r="E6" s="1072"/>
      <c r="F6" s="1073"/>
      <c r="G6" s="1071" t="s">
        <v>497</v>
      </c>
      <c r="H6" s="1072"/>
      <c r="I6" s="1073"/>
      <c r="J6" s="1071" t="s">
        <v>498</v>
      </c>
      <c r="K6" s="1072"/>
      <c r="L6" s="1073"/>
      <c r="M6" s="1065" t="s">
        <v>376</v>
      </c>
    </row>
    <row r="7" spans="1:13" ht="7.5" customHeight="1">
      <c r="A7" s="1091"/>
      <c r="B7" s="1088"/>
      <c r="C7" s="1069"/>
      <c r="D7" s="1074"/>
      <c r="E7" s="1075"/>
      <c r="F7" s="1076"/>
      <c r="G7" s="1074"/>
      <c r="H7" s="1075"/>
      <c r="I7" s="1076"/>
      <c r="J7" s="1074"/>
      <c r="K7" s="1075"/>
      <c r="L7" s="1076"/>
      <c r="M7" s="1066"/>
    </row>
    <row r="8" spans="1:13" ht="18.75" customHeight="1" thickBot="1">
      <c r="A8" s="1092"/>
      <c r="B8" s="1089"/>
      <c r="C8" s="1070"/>
      <c r="D8" s="263" t="s">
        <v>84</v>
      </c>
      <c r="E8" s="264" t="s">
        <v>85</v>
      </c>
      <c r="F8" s="265" t="s">
        <v>86</v>
      </c>
      <c r="G8" s="266" t="s">
        <v>84</v>
      </c>
      <c r="H8" s="264" t="s">
        <v>85</v>
      </c>
      <c r="I8" s="265" t="s">
        <v>86</v>
      </c>
      <c r="J8" s="266" t="s">
        <v>84</v>
      </c>
      <c r="K8" s="264" t="s">
        <v>85</v>
      </c>
      <c r="L8" s="265" t="s">
        <v>86</v>
      </c>
      <c r="M8" s="1067"/>
    </row>
    <row r="9" spans="1:13" ht="29.25" customHeight="1">
      <c r="A9" s="267" t="s">
        <v>406</v>
      </c>
      <c r="B9" s="268" t="s">
        <v>59</v>
      </c>
      <c r="C9" s="269" t="s">
        <v>735</v>
      </c>
      <c r="D9" s="270">
        <f>55669529+45000+23349000+20900+4081-2108200-413+754380+248400+23576063-367914</f>
        <v>101190826</v>
      </c>
      <c r="E9" s="271">
        <f>94270+367914</f>
        <v>462184</v>
      </c>
      <c r="F9" s="272">
        <f aca="true" t="shared" si="0" ref="F9:F56">SUM(D9:E9)</f>
        <v>101653010</v>
      </c>
      <c r="G9" s="666"/>
      <c r="H9" s="661"/>
      <c r="I9" s="272">
        <f aca="true" t="shared" si="1" ref="I9:I56">SUM(G9:H9)</f>
        <v>0</v>
      </c>
      <c r="J9" s="274"/>
      <c r="K9" s="275"/>
      <c r="L9" s="272">
        <f aca="true" t="shared" si="2" ref="L9:L45">SUM(J9:K9)</f>
        <v>0</v>
      </c>
      <c r="M9" s="276">
        <f aca="true" t="shared" si="3" ref="M9:M56">SUM(F9+I9+L9)</f>
        <v>101653010</v>
      </c>
    </row>
    <row r="10" spans="1:13" ht="29.25" customHeight="1">
      <c r="A10" s="277" t="s">
        <v>407</v>
      </c>
      <c r="B10" s="542" t="s">
        <v>938</v>
      </c>
      <c r="C10" s="278" t="s">
        <v>724</v>
      </c>
      <c r="D10" s="270">
        <v>100000</v>
      </c>
      <c r="E10" s="661"/>
      <c r="F10" s="272">
        <f t="shared" si="0"/>
        <v>100000</v>
      </c>
      <c r="G10" s="666"/>
      <c r="H10" s="661"/>
      <c r="I10" s="272">
        <f t="shared" si="1"/>
        <v>0</v>
      </c>
      <c r="J10" s="274"/>
      <c r="K10" s="275"/>
      <c r="L10" s="272">
        <f t="shared" si="2"/>
        <v>0</v>
      </c>
      <c r="M10" s="276">
        <f t="shared" si="3"/>
        <v>100000</v>
      </c>
    </row>
    <row r="11" spans="1:13" ht="29.25" customHeight="1">
      <c r="A11" s="277" t="s">
        <v>408</v>
      </c>
      <c r="B11" s="279" t="s">
        <v>56</v>
      </c>
      <c r="C11" s="278" t="s">
        <v>723</v>
      </c>
      <c r="D11" s="270">
        <f>62555863-700000+8618030+88787+200000</f>
        <v>70762680</v>
      </c>
      <c r="E11" s="271">
        <f>13299520+16000000</f>
        <v>29299520</v>
      </c>
      <c r="F11" s="272">
        <f t="shared" si="0"/>
        <v>100062200</v>
      </c>
      <c r="G11" s="273">
        <f>7875000+40000</f>
        <v>7915000</v>
      </c>
      <c r="H11" s="271">
        <f>682185231-23410448</f>
        <v>658774783</v>
      </c>
      <c r="I11" s="272">
        <f t="shared" si="1"/>
        <v>666689783</v>
      </c>
      <c r="J11" s="274"/>
      <c r="K11" s="275"/>
      <c r="L11" s="272">
        <f t="shared" si="2"/>
        <v>0</v>
      </c>
      <c r="M11" s="276">
        <f t="shared" si="3"/>
        <v>766751983</v>
      </c>
    </row>
    <row r="12" spans="1:13" ht="29.25" customHeight="1">
      <c r="A12" s="277" t="s">
        <v>409</v>
      </c>
      <c r="B12" s="279" t="s">
        <v>385</v>
      </c>
      <c r="C12" s="280"/>
      <c r="D12" s="660"/>
      <c r="E12" s="661"/>
      <c r="F12" s="272">
        <f t="shared" si="0"/>
        <v>0</v>
      </c>
      <c r="G12" s="273">
        <f>823750+1500000+575000+1875000+6019800</f>
        <v>10793550</v>
      </c>
      <c r="H12" s="661"/>
      <c r="I12" s="272">
        <f t="shared" si="1"/>
        <v>10793550</v>
      </c>
      <c r="J12" s="274"/>
      <c r="K12" s="275"/>
      <c r="L12" s="272">
        <f t="shared" si="2"/>
        <v>0</v>
      </c>
      <c r="M12" s="276">
        <f t="shared" si="3"/>
        <v>10793550</v>
      </c>
    </row>
    <row r="13" spans="1:13" ht="29.25" customHeight="1">
      <c r="A13" s="898" t="s">
        <v>410</v>
      </c>
      <c r="B13" s="279" t="s">
        <v>1023</v>
      </c>
      <c r="C13" s="272" t="s">
        <v>808</v>
      </c>
      <c r="D13" s="270">
        <f>46343378+586418</f>
        <v>46929796</v>
      </c>
      <c r="E13" s="661"/>
      <c r="F13" s="272">
        <f t="shared" si="0"/>
        <v>46929796</v>
      </c>
      <c r="G13" s="273"/>
      <c r="H13" s="661"/>
      <c r="I13" s="272"/>
      <c r="J13" s="274"/>
      <c r="K13" s="275"/>
      <c r="L13" s="272"/>
      <c r="M13" s="276">
        <f t="shared" si="3"/>
        <v>46929796</v>
      </c>
    </row>
    <row r="14" spans="1:13" ht="21.75" customHeight="1">
      <c r="A14" s="277" t="s">
        <v>411</v>
      </c>
      <c r="B14" s="295" t="s">
        <v>650</v>
      </c>
      <c r="C14" s="272" t="s">
        <v>808</v>
      </c>
      <c r="D14" s="282">
        <f>17347428+413+128723+17097</f>
        <v>17493661</v>
      </c>
      <c r="E14" s="663"/>
      <c r="F14" s="272">
        <f t="shared" si="0"/>
        <v>17493661</v>
      </c>
      <c r="G14" s="667"/>
      <c r="H14" s="663"/>
      <c r="I14" s="272">
        <f t="shared" si="1"/>
        <v>0</v>
      </c>
      <c r="J14" s="285"/>
      <c r="K14" s="286"/>
      <c r="L14" s="272">
        <f t="shared" si="2"/>
        <v>0</v>
      </c>
      <c r="M14" s="276">
        <f t="shared" si="3"/>
        <v>17493661</v>
      </c>
    </row>
    <row r="15" spans="1:13" ht="29.25" customHeight="1">
      <c r="A15" s="277" t="s">
        <v>412</v>
      </c>
      <c r="B15" s="279" t="s">
        <v>64</v>
      </c>
      <c r="C15" s="272" t="s">
        <v>1128</v>
      </c>
      <c r="D15" s="660"/>
      <c r="E15" s="661"/>
      <c r="F15" s="272">
        <f t="shared" si="0"/>
        <v>0</v>
      </c>
      <c r="G15" s="666"/>
      <c r="H15" s="661"/>
      <c r="I15" s="272">
        <f t="shared" si="1"/>
        <v>0</v>
      </c>
      <c r="J15" s="274">
        <f>20091100-34818+10858846-1618094</f>
        <v>29297034</v>
      </c>
      <c r="K15" s="275"/>
      <c r="L15" s="272">
        <f t="shared" si="2"/>
        <v>29297034</v>
      </c>
      <c r="M15" s="276">
        <f t="shared" si="3"/>
        <v>29297034</v>
      </c>
    </row>
    <row r="16" spans="1:13" ht="29.25" customHeight="1">
      <c r="A16" s="277" t="s">
        <v>413</v>
      </c>
      <c r="B16" s="279" t="s">
        <v>795</v>
      </c>
      <c r="C16" s="278" t="s">
        <v>806</v>
      </c>
      <c r="D16" s="270">
        <f>10633011+11080125+1080288+4347090+1059890+92742+106606</f>
        <v>28399752</v>
      </c>
      <c r="E16" s="271">
        <f>289870+138684-106606</f>
        <v>321948</v>
      </c>
      <c r="F16" s="272">
        <f t="shared" si="0"/>
        <v>28721700</v>
      </c>
      <c r="G16" s="666"/>
      <c r="H16" s="661"/>
      <c r="I16" s="272">
        <f t="shared" si="1"/>
        <v>0</v>
      </c>
      <c r="J16" s="274"/>
      <c r="K16" s="275"/>
      <c r="L16" s="272">
        <f t="shared" si="2"/>
        <v>0</v>
      </c>
      <c r="M16" s="276">
        <f t="shared" si="3"/>
        <v>28721700</v>
      </c>
    </row>
    <row r="17" spans="1:13" ht="29.25" customHeight="1">
      <c r="A17" s="277" t="s">
        <v>414</v>
      </c>
      <c r="B17" s="279" t="s">
        <v>796</v>
      </c>
      <c r="C17" s="278" t="s">
        <v>806</v>
      </c>
      <c r="D17" s="270">
        <f>12480966+36347085+3543768+2730247+3179670+278226</f>
        <v>58559962</v>
      </c>
      <c r="E17" s="661"/>
      <c r="F17" s="272">
        <f t="shared" si="0"/>
        <v>58559962</v>
      </c>
      <c r="G17" s="666"/>
      <c r="H17" s="661"/>
      <c r="I17" s="272">
        <f t="shared" si="1"/>
        <v>0</v>
      </c>
      <c r="J17" s="274"/>
      <c r="K17" s="275"/>
      <c r="L17" s="272">
        <f t="shared" si="2"/>
        <v>0</v>
      </c>
      <c r="M17" s="276">
        <f t="shared" si="3"/>
        <v>58559962</v>
      </c>
    </row>
    <row r="18" spans="1:13" ht="21.75" customHeight="1">
      <c r="A18" s="277" t="s">
        <v>415</v>
      </c>
      <c r="B18" s="550" t="s">
        <v>1103</v>
      </c>
      <c r="C18" s="278" t="s">
        <v>724</v>
      </c>
      <c r="D18" s="662"/>
      <c r="E18" s="283">
        <v>12223750</v>
      </c>
      <c r="F18" s="272">
        <f t="shared" si="0"/>
        <v>12223750</v>
      </c>
      <c r="G18" s="667"/>
      <c r="H18" s="283"/>
      <c r="I18" s="272">
        <f t="shared" si="1"/>
        <v>0</v>
      </c>
      <c r="J18" s="285"/>
      <c r="K18" s="286"/>
      <c r="L18" s="272">
        <f t="shared" si="2"/>
        <v>0</v>
      </c>
      <c r="M18" s="276">
        <f t="shared" si="3"/>
        <v>12223750</v>
      </c>
    </row>
    <row r="19" spans="1:13" ht="29.25" customHeight="1">
      <c r="A19" s="281" t="s">
        <v>416</v>
      </c>
      <c r="B19" s="279" t="s">
        <v>347</v>
      </c>
      <c r="C19" s="278" t="s">
        <v>724</v>
      </c>
      <c r="D19" s="270">
        <f>15352369+1</f>
        <v>15352370</v>
      </c>
      <c r="E19" s="271"/>
      <c r="F19" s="272">
        <f t="shared" si="0"/>
        <v>15352370</v>
      </c>
      <c r="G19" s="666"/>
      <c r="H19" s="661"/>
      <c r="I19" s="272">
        <f t="shared" si="1"/>
        <v>0</v>
      </c>
      <c r="J19" s="274"/>
      <c r="K19" s="275"/>
      <c r="L19" s="272">
        <f t="shared" si="2"/>
        <v>0</v>
      </c>
      <c r="M19" s="276">
        <f t="shared" si="3"/>
        <v>15352370</v>
      </c>
    </row>
    <row r="20" spans="1:13" ht="29.25" customHeight="1">
      <c r="A20" s="277" t="s">
        <v>417</v>
      </c>
      <c r="B20" s="279" t="s">
        <v>66</v>
      </c>
      <c r="C20" s="278" t="s">
        <v>725</v>
      </c>
      <c r="D20" s="270">
        <f>1000000+1208400+40000+254000</f>
        <v>2502400</v>
      </c>
      <c r="E20" s="271">
        <f>106961800+1077031</f>
        <v>108038831</v>
      </c>
      <c r="F20" s="272">
        <f t="shared" si="0"/>
        <v>110541231</v>
      </c>
      <c r="G20" s="666"/>
      <c r="H20" s="661"/>
      <c r="I20" s="272">
        <f t="shared" si="1"/>
        <v>0</v>
      </c>
      <c r="J20" s="274"/>
      <c r="K20" s="275"/>
      <c r="L20" s="272">
        <f t="shared" si="2"/>
        <v>0</v>
      </c>
      <c r="M20" s="276">
        <f t="shared" si="3"/>
        <v>110541231</v>
      </c>
    </row>
    <row r="21" spans="1:13" ht="29.25" customHeight="1">
      <c r="A21" s="277" t="s">
        <v>418</v>
      </c>
      <c r="B21" s="279" t="s">
        <v>886</v>
      </c>
      <c r="C21" s="278"/>
      <c r="D21" s="270"/>
      <c r="E21" s="271"/>
      <c r="F21" s="272">
        <f t="shared" si="0"/>
        <v>0</v>
      </c>
      <c r="G21" s="273">
        <f>40000</f>
        <v>40000</v>
      </c>
      <c r="H21" s="271">
        <v>196302400</v>
      </c>
      <c r="I21" s="272">
        <f t="shared" si="1"/>
        <v>196342400</v>
      </c>
      <c r="J21" s="274"/>
      <c r="K21" s="275"/>
      <c r="L21" s="272">
        <f t="shared" si="2"/>
        <v>0</v>
      </c>
      <c r="M21" s="276">
        <f t="shared" si="3"/>
        <v>196342400</v>
      </c>
    </row>
    <row r="22" spans="1:13" ht="30.75" customHeight="1">
      <c r="A22" s="277" t="s">
        <v>419</v>
      </c>
      <c r="B22" s="279" t="s">
        <v>50</v>
      </c>
      <c r="C22" s="278" t="s">
        <v>726</v>
      </c>
      <c r="D22" s="282">
        <v>2827348</v>
      </c>
      <c r="E22" s="663"/>
      <c r="F22" s="272">
        <f t="shared" si="0"/>
        <v>2827348</v>
      </c>
      <c r="G22" s="667"/>
      <c r="H22" s="663"/>
      <c r="I22" s="272">
        <f t="shared" si="1"/>
        <v>0</v>
      </c>
      <c r="J22" s="285"/>
      <c r="K22" s="286"/>
      <c r="L22" s="272">
        <f t="shared" si="2"/>
        <v>0</v>
      </c>
      <c r="M22" s="276">
        <f t="shared" si="3"/>
        <v>2827348</v>
      </c>
    </row>
    <row r="23" spans="1:13" ht="31.5" customHeight="1">
      <c r="A23" s="277" t="s">
        <v>420</v>
      </c>
      <c r="B23" s="279" t="s">
        <v>383</v>
      </c>
      <c r="C23" s="278" t="s">
        <v>727</v>
      </c>
      <c r="D23" s="282">
        <f>10052423+1</f>
        <v>10052424</v>
      </c>
      <c r="E23" s="663"/>
      <c r="F23" s="272">
        <f t="shared" si="0"/>
        <v>10052424</v>
      </c>
      <c r="G23" s="667"/>
      <c r="H23" s="663"/>
      <c r="I23" s="272">
        <f t="shared" si="1"/>
        <v>0</v>
      </c>
      <c r="J23" s="285"/>
      <c r="K23" s="286"/>
      <c r="L23" s="272">
        <f t="shared" si="2"/>
        <v>0</v>
      </c>
      <c r="M23" s="276">
        <f t="shared" si="3"/>
        <v>10052424</v>
      </c>
    </row>
    <row r="24" spans="1:13" ht="31.5" customHeight="1">
      <c r="A24" s="277" t="s">
        <v>421</v>
      </c>
      <c r="B24" s="279" t="s">
        <v>887</v>
      </c>
      <c r="C24" s="278" t="s">
        <v>935</v>
      </c>
      <c r="D24" s="282">
        <f>5440979+22660742</f>
        <v>28101721</v>
      </c>
      <c r="E24" s="283">
        <f>5000000+5000000</f>
        <v>10000000</v>
      </c>
      <c r="F24" s="272">
        <f t="shared" si="0"/>
        <v>38101721</v>
      </c>
      <c r="G24" s="667"/>
      <c r="H24" s="663"/>
      <c r="I24" s="272">
        <f t="shared" si="1"/>
        <v>0</v>
      </c>
      <c r="J24" s="285"/>
      <c r="K24" s="286"/>
      <c r="L24" s="272">
        <f t="shared" si="2"/>
        <v>0</v>
      </c>
      <c r="M24" s="276">
        <f t="shared" si="3"/>
        <v>38101721</v>
      </c>
    </row>
    <row r="25" spans="1:13" ht="31.5" customHeight="1">
      <c r="A25" s="277" t="s">
        <v>422</v>
      </c>
      <c r="B25" s="279" t="s">
        <v>888</v>
      </c>
      <c r="C25" s="278" t="s">
        <v>725</v>
      </c>
      <c r="D25" s="282">
        <f>40000</f>
        <v>40000</v>
      </c>
      <c r="E25" s="283">
        <f>47550000+829010</f>
        <v>48379010</v>
      </c>
      <c r="F25" s="272">
        <f t="shared" si="0"/>
        <v>48419010</v>
      </c>
      <c r="G25" s="667"/>
      <c r="H25" s="663"/>
      <c r="I25" s="272">
        <f t="shared" si="1"/>
        <v>0</v>
      </c>
      <c r="J25" s="285"/>
      <c r="K25" s="286"/>
      <c r="L25" s="272">
        <f t="shared" si="2"/>
        <v>0</v>
      </c>
      <c r="M25" s="276">
        <f t="shared" si="3"/>
        <v>48419010</v>
      </c>
    </row>
    <row r="26" spans="1:13" ht="31.5" customHeight="1">
      <c r="A26" s="898" t="s">
        <v>423</v>
      </c>
      <c r="B26" s="279" t="s">
        <v>1026</v>
      </c>
      <c r="C26" s="278"/>
      <c r="D26" s="282"/>
      <c r="E26" s="283"/>
      <c r="F26" s="272">
        <f t="shared" si="0"/>
        <v>0</v>
      </c>
      <c r="G26" s="284">
        <f>812250+158389+296854</f>
        <v>1267493</v>
      </c>
      <c r="H26" s="283">
        <f>779383</f>
        <v>779383</v>
      </c>
      <c r="I26" s="272">
        <f t="shared" si="1"/>
        <v>2046876</v>
      </c>
      <c r="J26" s="285"/>
      <c r="K26" s="286"/>
      <c r="L26" s="272">
        <f t="shared" si="2"/>
        <v>0</v>
      </c>
      <c r="M26" s="276">
        <f t="shared" si="3"/>
        <v>2046876</v>
      </c>
    </row>
    <row r="27" spans="1:13" ht="31.5" customHeight="1">
      <c r="A27" s="277" t="s">
        <v>424</v>
      </c>
      <c r="B27" s="279" t="s">
        <v>889</v>
      </c>
      <c r="C27" s="290" t="s">
        <v>936</v>
      </c>
      <c r="D27" s="282">
        <f>40000</f>
        <v>40000</v>
      </c>
      <c r="E27" s="283">
        <f>104006598+1000000</f>
        <v>105006598</v>
      </c>
      <c r="F27" s="272">
        <f t="shared" si="0"/>
        <v>105046598</v>
      </c>
      <c r="G27" s="284">
        <f>516434</f>
        <v>516434</v>
      </c>
      <c r="H27" s="283">
        <v>7085832</v>
      </c>
      <c r="I27" s="272">
        <f t="shared" si="1"/>
        <v>7602266</v>
      </c>
      <c r="J27" s="285"/>
      <c r="K27" s="286"/>
      <c r="L27" s="272">
        <f t="shared" si="2"/>
        <v>0</v>
      </c>
      <c r="M27" s="276">
        <f t="shared" si="3"/>
        <v>112648864</v>
      </c>
    </row>
    <row r="28" spans="1:13" ht="21.75" customHeight="1">
      <c r="A28" s="277" t="s">
        <v>425</v>
      </c>
      <c r="B28" s="295" t="s">
        <v>798</v>
      </c>
      <c r="C28" s="290" t="s">
        <v>807</v>
      </c>
      <c r="D28" s="282"/>
      <c r="E28" s="283">
        <v>6462419</v>
      </c>
      <c r="F28" s="272">
        <f t="shared" si="0"/>
        <v>6462419</v>
      </c>
      <c r="G28" s="667"/>
      <c r="H28" s="663"/>
      <c r="I28" s="272">
        <f t="shared" si="1"/>
        <v>0</v>
      </c>
      <c r="J28" s="285"/>
      <c r="K28" s="286"/>
      <c r="L28" s="272">
        <f t="shared" si="2"/>
        <v>0</v>
      </c>
      <c r="M28" s="276">
        <f t="shared" si="3"/>
        <v>6462419</v>
      </c>
    </row>
    <row r="29" spans="1:13" ht="21.75" customHeight="1">
      <c r="A29" s="277" t="s">
        <v>426</v>
      </c>
      <c r="B29" s="295" t="s">
        <v>386</v>
      </c>
      <c r="C29" s="290" t="s">
        <v>724</v>
      </c>
      <c r="D29" s="282">
        <f>23398480+2794000</f>
        <v>26192480</v>
      </c>
      <c r="E29" s="663"/>
      <c r="F29" s="272">
        <f t="shared" si="0"/>
        <v>26192480</v>
      </c>
      <c r="G29" s="667"/>
      <c r="H29" s="663"/>
      <c r="I29" s="272">
        <f t="shared" si="1"/>
        <v>0</v>
      </c>
      <c r="J29" s="285"/>
      <c r="K29" s="286"/>
      <c r="L29" s="272">
        <f t="shared" si="2"/>
        <v>0</v>
      </c>
      <c r="M29" s="276">
        <f t="shared" si="3"/>
        <v>26192480</v>
      </c>
    </row>
    <row r="30" spans="1:13" ht="21.75" customHeight="1">
      <c r="A30" s="277" t="s">
        <v>427</v>
      </c>
      <c r="B30" s="295" t="s">
        <v>384</v>
      </c>
      <c r="C30" s="290" t="s">
        <v>724</v>
      </c>
      <c r="D30" s="282">
        <v>29975000</v>
      </c>
      <c r="E30" s="283"/>
      <c r="F30" s="272">
        <f t="shared" si="0"/>
        <v>29975000</v>
      </c>
      <c r="G30" s="667"/>
      <c r="H30" s="663"/>
      <c r="I30" s="272">
        <f t="shared" si="1"/>
        <v>0</v>
      </c>
      <c r="J30" s="285"/>
      <c r="K30" s="286"/>
      <c r="L30" s="272">
        <f t="shared" si="2"/>
        <v>0</v>
      </c>
      <c r="M30" s="276">
        <f t="shared" si="3"/>
        <v>29975000</v>
      </c>
    </row>
    <row r="31" spans="1:13" ht="22.5" customHeight="1">
      <c r="A31" s="277" t="s">
        <v>499</v>
      </c>
      <c r="B31" s="295" t="s">
        <v>82</v>
      </c>
      <c r="C31" s="290" t="s">
        <v>728</v>
      </c>
      <c r="D31" s="282">
        <f>25086204-500000+650000+180000+220000+161080</f>
        <v>25797284</v>
      </c>
      <c r="E31" s="283">
        <f>6823000+87249+152749</f>
        <v>7062998</v>
      </c>
      <c r="F31" s="272">
        <f t="shared" si="0"/>
        <v>32860282</v>
      </c>
      <c r="G31" s="284">
        <v>1468526</v>
      </c>
      <c r="H31" s="663"/>
      <c r="I31" s="272">
        <f t="shared" si="1"/>
        <v>1468526</v>
      </c>
      <c r="J31" s="285"/>
      <c r="K31" s="286"/>
      <c r="L31" s="272">
        <f t="shared" si="2"/>
        <v>0</v>
      </c>
      <c r="M31" s="276">
        <f t="shared" si="3"/>
        <v>34328808</v>
      </c>
    </row>
    <row r="32" spans="1:13" ht="23.25" customHeight="1">
      <c r="A32" s="277" t="s">
        <v>500</v>
      </c>
      <c r="B32" s="295" t="s">
        <v>388</v>
      </c>
      <c r="C32" s="290" t="s">
        <v>729</v>
      </c>
      <c r="D32" s="282">
        <v>360000</v>
      </c>
      <c r="E32" s="663"/>
      <c r="F32" s="272">
        <f t="shared" si="0"/>
        <v>360000</v>
      </c>
      <c r="G32" s="667"/>
      <c r="H32" s="663"/>
      <c r="I32" s="272">
        <f t="shared" si="1"/>
        <v>0</v>
      </c>
      <c r="J32" s="285"/>
      <c r="K32" s="286"/>
      <c r="L32" s="272">
        <f t="shared" si="2"/>
        <v>0</v>
      </c>
      <c r="M32" s="276">
        <f t="shared" si="3"/>
        <v>360000</v>
      </c>
    </row>
    <row r="33" spans="1:13" ht="22.5" customHeight="1">
      <c r="A33" s="277" t="s">
        <v>501</v>
      </c>
      <c r="B33" s="295" t="s">
        <v>389</v>
      </c>
      <c r="C33" s="290" t="s">
        <v>729</v>
      </c>
      <c r="D33" s="282">
        <f>10148541+27436735-12000000+46053+4844-4844-12976</f>
        <v>25618353</v>
      </c>
      <c r="E33" s="283">
        <f>12976</f>
        <v>12976</v>
      </c>
      <c r="F33" s="272">
        <f t="shared" si="0"/>
        <v>25631329</v>
      </c>
      <c r="G33" s="667"/>
      <c r="H33" s="663"/>
      <c r="I33" s="272">
        <f t="shared" si="1"/>
        <v>0</v>
      </c>
      <c r="J33" s="285"/>
      <c r="K33" s="286"/>
      <c r="L33" s="272">
        <f t="shared" si="2"/>
        <v>0</v>
      </c>
      <c r="M33" s="276">
        <f t="shared" si="3"/>
        <v>25631329</v>
      </c>
    </row>
    <row r="34" spans="1:13" ht="22.5" customHeight="1">
      <c r="A34" s="277" t="s">
        <v>473</v>
      </c>
      <c r="B34" s="295" t="s">
        <v>390</v>
      </c>
      <c r="C34" s="290" t="s">
        <v>729</v>
      </c>
      <c r="D34" s="282">
        <f>120000+30000</f>
        <v>150000</v>
      </c>
      <c r="E34" s="663"/>
      <c r="F34" s="272">
        <f t="shared" si="0"/>
        <v>150000</v>
      </c>
      <c r="G34" s="667"/>
      <c r="H34" s="663"/>
      <c r="I34" s="272">
        <f t="shared" si="1"/>
        <v>0</v>
      </c>
      <c r="J34" s="285"/>
      <c r="K34" s="286"/>
      <c r="L34" s="272">
        <f t="shared" si="2"/>
        <v>0</v>
      </c>
      <c r="M34" s="276">
        <f t="shared" si="3"/>
        <v>150000</v>
      </c>
    </row>
    <row r="35" spans="1:13" ht="29.25" customHeight="1">
      <c r="A35" s="277" t="s">
        <v>502</v>
      </c>
      <c r="B35" s="279" t="s">
        <v>737</v>
      </c>
      <c r="C35" s="278" t="s">
        <v>729</v>
      </c>
      <c r="D35" s="282">
        <f>24199734+254000+2193899+383932+565720+99001-162937</f>
        <v>27533349</v>
      </c>
      <c r="E35" s="283">
        <f>162937</f>
        <v>162937</v>
      </c>
      <c r="F35" s="272">
        <f t="shared" si="0"/>
        <v>27696286</v>
      </c>
      <c r="G35" s="667"/>
      <c r="H35" s="663"/>
      <c r="I35" s="272">
        <f t="shared" si="1"/>
        <v>0</v>
      </c>
      <c r="J35" s="285"/>
      <c r="K35" s="286"/>
      <c r="L35" s="272">
        <f t="shared" si="2"/>
        <v>0</v>
      </c>
      <c r="M35" s="276">
        <f t="shared" si="3"/>
        <v>27696286</v>
      </c>
    </row>
    <row r="36" spans="1:13" ht="29.25" customHeight="1">
      <c r="A36" s="277" t="s">
        <v>428</v>
      </c>
      <c r="B36" s="287" t="s">
        <v>81</v>
      </c>
      <c r="C36" s="272" t="s">
        <v>730</v>
      </c>
      <c r="D36" s="282">
        <v>18713000</v>
      </c>
      <c r="E36" s="283">
        <f>764084</f>
        <v>764084</v>
      </c>
      <c r="F36" s="272">
        <f t="shared" si="0"/>
        <v>19477084</v>
      </c>
      <c r="G36" s="668"/>
      <c r="H36" s="283"/>
      <c r="I36" s="272">
        <f t="shared" si="1"/>
        <v>0</v>
      </c>
      <c r="J36" s="285"/>
      <c r="K36" s="286"/>
      <c r="L36" s="272">
        <f t="shared" si="2"/>
        <v>0</v>
      </c>
      <c r="M36" s="276">
        <f t="shared" si="3"/>
        <v>19477084</v>
      </c>
    </row>
    <row r="37" spans="1:13" ht="29.25" customHeight="1">
      <c r="A37" s="277" t="s">
        <v>429</v>
      </c>
      <c r="B37" s="287" t="s">
        <v>1129</v>
      </c>
      <c r="C37" s="272"/>
      <c r="D37" s="282"/>
      <c r="E37" s="663"/>
      <c r="F37" s="272">
        <f t="shared" si="0"/>
        <v>0</v>
      </c>
      <c r="G37" s="806">
        <v>15000</v>
      </c>
      <c r="H37" s="283"/>
      <c r="I37" s="272">
        <f t="shared" si="1"/>
        <v>15000</v>
      </c>
      <c r="J37" s="285"/>
      <c r="K37" s="286"/>
      <c r="L37" s="272">
        <f t="shared" si="2"/>
        <v>0</v>
      </c>
      <c r="M37" s="276">
        <f t="shared" si="3"/>
        <v>15000</v>
      </c>
    </row>
    <row r="38" spans="1:13" ht="30.75" customHeight="1">
      <c r="A38" s="277" t="s">
        <v>430</v>
      </c>
      <c r="B38" s="302" t="s">
        <v>620</v>
      </c>
      <c r="C38" s="272"/>
      <c r="D38" s="662"/>
      <c r="E38" s="663"/>
      <c r="F38" s="272">
        <f t="shared" si="0"/>
        <v>0</v>
      </c>
      <c r="G38" s="289">
        <v>1823311</v>
      </c>
      <c r="H38" s="283">
        <v>700000</v>
      </c>
      <c r="I38" s="272">
        <f t="shared" si="1"/>
        <v>2523311</v>
      </c>
      <c r="J38" s="285"/>
      <c r="K38" s="286"/>
      <c r="L38" s="272">
        <f t="shared" si="2"/>
        <v>0</v>
      </c>
      <c r="M38" s="276">
        <f t="shared" si="3"/>
        <v>2523311</v>
      </c>
    </row>
    <row r="39" spans="1:13" ht="21.75" customHeight="1">
      <c r="A39" s="277" t="s">
        <v>503</v>
      </c>
      <c r="B39" s="295" t="s">
        <v>83</v>
      </c>
      <c r="C39" s="290"/>
      <c r="D39" s="282"/>
      <c r="E39" s="663"/>
      <c r="F39" s="272">
        <f t="shared" si="0"/>
        <v>0</v>
      </c>
      <c r="G39" s="284">
        <v>49530</v>
      </c>
      <c r="H39" s="663"/>
      <c r="I39" s="272">
        <f t="shared" si="1"/>
        <v>49530</v>
      </c>
      <c r="J39" s="285"/>
      <c r="K39" s="286"/>
      <c r="L39" s="272">
        <f t="shared" si="2"/>
        <v>0</v>
      </c>
      <c r="M39" s="276">
        <f t="shared" si="3"/>
        <v>49530</v>
      </c>
    </row>
    <row r="40" spans="1:13" ht="23.25" customHeight="1">
      <c r="A40" s="277" t="s">
        <v>431</v>
      </c>
      <c r="B40" s="279" t="s">
        <v>1123</v>
      </c>
      <c r="C40" s="294"/>
      <c r="D40" s="664"/>
      <c r="E40" s="665"/>
      <c r="F40" s="272">
        <f t="shared" si="0"/>
        <v>0</v>
      </c>
      <c r="G40" s="293">
        <f>19772715+55</f>
        <v>19772770</v>
      </c>
      <c r="H40" s="292">
        <f>55-55+1578000</f>
        <v>1578000</v>
      </c>
      <c r="I40" s="272">
        <f t="shared" si="1"/>
        <v>21350770</v>
      </c>
      <c r="J40" s="285"/>
      <c r="K40" s="286"/>
      <c r="L40" s="272">
        <f t="shared" si="2"/>
        <v>0</v>
      </c>
      <c r="M40" s="276">
        <f t="shared" si="3"/>
        <v>21350770</v>
      </c>
    </row>
    <row r="41" spans="1:13" ht="23.25" customHeight="1">
      <c r="A41" s="277" t="s">
        <v>449</v>
      </c>
      <c r="B41" s="279" t="s">
        <v>890</v>
      </c>
      <c r="C41" s="272" t="s">
        <v>736</v>
      </c>
      <c r="D41" s="664"/>
      <c r="E41" s="292">
        <f>19957013+1600000+29999998-228000+228000</f>
        <v>51557011</v>
      </c>
      <c r="F41" s="272">
        <f t="shared" si="0"/>
        <v>51557011</v>
      </c>
      <c r="G41" s="293"/>
      <c r="H41" s="665"/>
      <c r="I41" s="272">
        <f t="shared" si="1"/>
        <v>0</v>
      </c>
      <c r="J41" s="285"/>
      <c r="K41" s="286"/>
      <c r="L41" s="272">
        <f t="shared" si="2"/>
        <v>0</v>
      </c>
      <c r="M41" s="276">
        <f t="shared" si="3"/>
        <v>51557011</v>
      </c>
    </row>
    <row r="42" spans="1:13" ht="23.25" customHeight="1">
      <c r="A42" s="277" t="s">
        <v>504</v>
      </c>
      <c r="B42" s="279" t="s">
        <v>891</v>
      </c>
      <c r="C42" s="294"/>
      <c r="D42" s="664"/>
      <c r="E42" s="292"/>
      <c r="F42" s="272">
        <f t="shared" si="0"/>
        <v>0</v>
      </c>
      <c r="G42" s="293">
        <f>12971925-1725000-301875</f>
        <v>10945050</v>
      </c>
      <c r="H42" s="665"/>
      <c r="I42" s="272">
        <f t="shared" si="1"/>
        <v>10945050</v>
      </c>
      <c r="J42" s="285"/>
      <c r="K42" s="286"/>
      <c r="L42" s="272">
        <f t="shared" si="2"/>
        <v>0</v>
      </c>
      <c r="M42" s="276">
        <f t="shared" si="3"/>
        <v>10945050</v>
      </c>
    </row>
    <row r="43" spans="1:13" ht="24" customHeight="1">
      <c r="A43" s="277" t="s">
        <v>505</v>
      </c>
      <c r="B43" s="279" t="s">
        <v>657</v>
      </c>
      <c r="C43" s="288" t="s">
        <v>740</v>
      </c>
      <c r="D43" s="291">
        <f>58023789+300000</f>
        <v>58323789</v>
      </c>
      <c r="E43" s="292">
        <f>620000+14850</f>
        <v>634850</v>
      </c>
      <c r="F43" s="272">
        <f t="shared" si="0"/>
        <v>58958639</v>
      </c>
      <c r="G43" s="669"/>
      <c r="H43" s="665"/>
      <c r="I43" s="272">
        <f t="shared" si="1"/>
        <v>0</v>
      </c>
      <c r="J43" s="285"/>
      <c r="K43" s="286"/>
      <c r="L43" s="272">
        <f t="shared" si="2"/>
        <v>0</v>
      </c>
      <c r="M43" s="276">
        <f t="shared" si="3"/>
        <v>58958639</v>
      </c>
    </row>
    <row r="44" spans="1:13" ht="24">
      <c r="A44" s="277" t="s">
        <v>901</v>
      </c>
      <c r="B44" s="279" t="s">
        <v>618</v>
      </c>
      <c r="C44" s="278"/>
      <c r="D44" s="664"/>
      <c r="E44" s="665"/>
      <c r="F44" s="272">
        <f>SUM(D44:E44)</f>
        <v>0</v>
      </c>
      <c r="G44" s="293">
        <v>117194</v>
      </c>
      <c r="H44" s="665"/>
      <c r="I44" s="272">
        <f>SUM(G44:H44)</f>
        <v>117194</v>
      </c>
      <c r="J44" s="285"/>
      <c r="K44" s="286"/>
      <c r="L44" s="272">
        <f>SUM(J44:K44)</f>
        <v>0</v>
      </c>
      <c r="M44" s="276">
        <f>SUM(F44+I44+L44)</f>
        <v>117194</v>
      </c>
    </row>
    <row r="45" spans="1:13" ht="21.75" customHeight="1">
      <c r="A45" s="277" t="s">
        <v>902</v>
      </c>
      <c r="B45" s="295" t="s">
        <v>718</v>
      </c>
      <c r="C45" s="290"/>
      <c r="D45" s="662"/>
      <c r="E45" s="663"/>
      <c r="F45" s="272">
        <f t="shared" si="0"/>
        <v>0</v>
      </c>
      <c r="G45" s="284">
        <v>34022000</v>
      </c>
      <c r="H45" s="663"/>
      <c r="I45" s="272">
        <f t="shared" si="1"/>
        <v>34022000</v>
      </c>
      <c r="J45" s="285"/>
      <c r="K45" s="286"/>
      <c r="L45" s="272">
        <f t="shared" si="2"/>
        <v>0</v>
      </c>
      <c r="M45" s="276">
        <f t="shared" si="3"/>
        <v>34022000</v>
      </c>
    </row>
    <row r="46" spans="1:13" ht="21.75" customHeight="1">
      <c r="A46" s="277" t="s">
        <v>903</v>
      </c>
      <c r="B46" s="295" t="s">
        <v>892</v>
      </c>
      <c r="C46" s="290" t="s">
        <v>940</v>
      </c>
      <c r="D46" s="282">
        <v>4417000</v>
      </c>
      <c r="E46" s="663"/>
      <c r="F46" s="272">
        <f>SUM(D46:E46)</f>
        <v>4417000</v>
      </c>
      <c r="G46" s="284"/>
      <c r="H46" s="663"/>
      <c r="I46" s="272">
        <f>SUM(G46:H46)</f>
        <v>0</v>
      </c>
      <c r="J46" s="285"/>
      <c r="K46" s="286"/>
      <c r="L46" s="272">
        <f aca="true" t="shared" si="4" ref="L46:L56">SUM(J46:K46)</f>
        <v>0</v>
      </c>
      <c r="M46" s="276">
        <f>SUM(F46+I46+L46)</f>
        <v>4417000</v>
      </c>
    </row>
    <row r="47" spans="1:13" ht="27" customHeight="1">
      <c r="A47" s="277" t="s">
        <v>904</v>
      </c>
      <c r="B47" s="295" t="s">
        <v>1122</v>
      </c>
      <c r="C47" s="290" t="s">
        <v>745</v>
      </c>
      <c r="D47" s="282">
        <f>1778400-27360</f>
        <v>1751040</v>
      </c>
      <c r="E47" s="663"/>
      <c r="F47" s="272">
        <f>SUM(D47:E47)</f>
        <v>1751040</v>
      </c>
      <c r="G47" s="667"/>
      <c r="H47" s="663"/>
      <c r="I47" s="272">
        <f>SUM(G47:H47)</f>
        <v>0</v>
      </c>
      <c r="J47" s="285"/>
      <c r="K47" s="286"/>
      <c r="L47" s="272">
        <f t="shared" si="4"/>
        <v>0</v>
      </c>
      <c r="M47" s="276">
        <f>SUM(F47+I47+L47)</f>
        <v>1751040</v>
      </c>
    </row>
    <row r="48" spans="1:13" ht="25.5" customHeight="1">
      <c r="A48" s="277" t="s">
        <v>905</v>
      </c>
      <c r="B48" s="295" t="s">
        <v>799</v>
      </c>
      <c r="C48" s="290"/>
      <c r="D48" s="662"/>
      <c r="E48" s="663"/>
      <c r="F48" s="272">
        <f t="shared" si="0"/>
        <v>0</v>
      </c>
      <c r="G48" s="284">
        <f>58227996-338000-65910</f>
        <v>57824086</v>
      </c>
      <c r="H48" s="283">
        <v>11411381</v>
      </c>
      <c r="I48" s="272">
        <f t="shared" si="1"/>
        <v>69235467</v>
      </c>
      <c r="J48" s="285"/>
      <c r="K48" s="286"/>
      <c r="L48" s="272">
        <f t="shared" si="4"/>
        <v>0</v>
      </c>
      <c r="M48" s="276">
        <f t="shared" si="3"/>
        <v>69235467</v>
      </c>
    </row>
    <row r="49" spans="1:13" ht="25.5" customHeight="1">
      <c r="A49" s="277" t="s">
        <v>906</v>
      </c>
      <c r="B49" s="295" t="s">
        <v>941</v>
      </c>
      <c r="C49" s="272" t="s">
        <v>943</v>
      </c>
      <c r="D49" s="662"/>
      <c r="E49" s="663"/>
      <c r="F49" s="272">
        <f t="shared" si="0"/>
        <v>0</v>
      </c>
      <c r="G49" s="284">
        <v>3047000</v>
      </c>
      <c r="H49" s="283"/>
      <c r="I49" s="272">
        <f t="shared" si="1"/>
        <v>3047000</v>
      </c>
      <c r="J49" s="285"/>
      <c r="K49" s="286"/>
      <c r="L49" s="272">
        <f t="shared" si="4"/>
        <v>0</v>
      </c>
      <c r="M49" s="276">
        <f t="shared" si="3"/>
        <v>3047000</v>
      </c>
    </row>
    <row r="50" spans="1:13" ht="21.75" customHeight="1">
      <c r="A50" s="277" t="s">
        <v>907</v>
      </c>
      <c r="B50" s="295" t="s">
        <v>942</v>
      </c>
      <c r="C50" s="290" t="s">
        <v>943</v>
      </c>
      <c r="D50" s="282"/>
      <c r="E50" s="663"/>
      <c r="F50" s="272">
        <f t="shared" si="0"/>
        <v>0</v>
      </c>
      <c r="G50" s="667">
        <v>4852000</v>
      </c>
      <c r="H50" s="663"/>
      <c r="I50" s="272">
        <f t="shared" si="1"/>
        <v>4852000</v>
      </c>
      <c r="J50" s="285"/>
      <c r="K50" s="286"/>
      <c r="L50" s="272">
        <f t="shared" si="4"/>
        <v>0</v>
      </c>
      <c r="M50" s="276">
        <f t="shared" si="3"/>
        <v>4852000</v>
      </c>
    </row>
    <row r="51" spans="1:13" ht="21.75" customHeight="1">
      <c r="A51" s="277" t="s">
        <v>908</v>
      </c>
      <c r="B51" s="295" t="s">
        <v>469</v>
      </c>
      <c r="C51" s="290" t="s">
        <v>733</v>
      </c>
      <c r="D51" s="282">
        <v>6560000</v>
      </c>
      <c r="E51" s="663"/>
      <c r="F51" s="272">
        <f t="shared" si="0"/>
        <v>6560000</v>
      </c>
      <c r="G51" s="667"/>
      <c r="H51" s="663"/>
      <c r="I51" s="272">
        <f t="shared" si="1"/>
        <v>0</v>
      </c>
      <c r="J51" s="285"/>
      <c r="K51" s="286"/>
      <c r="L51" s="272">
        <f t="shared" si="4"/>
        <v>0</v>
      </c>
      <c r="M51" s="276">
        <f t="shared" si="3"/>
        <v>6560000</v>
      </c>
    </row>
    <row r="52" spans="1:13" ht="21.75" customHeight="1">
      <c r="A52" s="277" t="s">
        <v>939</v>
      </c>
      <c r="B52" s="295" t="s">
        <v>898</v>
      </c>
      <c r="C52" s="290" t="s">
        <v>944</v>
      </c>
      <c r="D52" s="282">
        <v>2738000</v>
      </c>
      <c r="E52" s="663"/>
      <c r="F52" s="272">
        <f t="shared" si="0"/>
        <v>2738000</v>
      </c>
      <c r="G52" s="667"/>
      <c r="H52" s="663"/>
      <c r="I52" s="272">
        <f t="shared" si="1"/>
        <v>0</v>
      </c>
      <c r="J52" s="285"/>
      <c r="K52" s="286"/>
      <c r="L52" s="272">
        <f t="shared" si="4"/>
        <v>0</v>
      </c>
      <c r="M52" s="276">
        <f t="shared" si="3"/>
        <v>2738000</v>
      </c>
    </row>
    <row r="53" spans="1:13" ht="26.25" customHeight="1">
      <c r="A53" s="277" t="s">
        <v>945</v>
      </c>
      <c r="B53" s="279" t="s">
        <v>621</v>
      </c>
      <c r="C53" s="272" t="s">
        <v>741</v>
      </c>
      <c r="D53" s="282">
        <f>3804900+8004000</f>
        <v>11808900</v>
      </c>
      <c r="E53" s="663"/>
      <c r="F53" s="272">
        <f t="shared" si="0"/>
        <v>11808900</v>
      </c>
      <c r="G53" s="667"/>
      <c r="H53" s="663"/>
      <c r="I53" s="272">
        <f t="shared" si="1"/>
        <v>0</v>
      </c>
      <c r="J53" s="285"/>
      <c r="K53" s="286"/>
      <c r="L53" s="272">
        <f t="shared" si="4"/>
        <v>0</v>
      </c>
      <c r="M53" s="276">
        <f t="shared" si="3"/>
        <v>11808900</v>
      </c>
    </row>
    <row r="54" spans="1:13" ht="26.25" customHeight="1">
      <c r="A54" s="277" t="s">
        <v>946</v>
      </c>
      <c r="B54" s="279" t="s">
        <v>900</v>
      </c>
      <c r="C54" s="278"/>
      <c r="D54" s="282"/>
      <c r="E54" s="663"/>
      <c r="F54" s="272">
        <f t="shared" si="0"/>
        <v>0</v>
      </c>
      <c r="G54" s="284">
        <f>76044041-2666710-520008+24000000+4680000-28680000</f>
        <v>72857323</v>
      </c>
      <c r="H54" s="283">
        <v>5319730</v>
      </c>
      <c r="I54" s="272">
        <f t="shared" si="1"/>
        <v>78177053</v>
      </c>
      <c r="J54" s="285"/>
      <c r="K54" s="285"/>
      <c r="L54" s="272">
        <f t="shared" si="4"/>
        <v>0</v>
      </c>
      <c r="M54" s="276">
        <f t="shared" si="3"/>
        <v>78177053</v>
      </c>
    </row>
    <row r="55" spans="1:13" s="248" customFormat="1" ht="27.75" customHeight="1">
      <c r="A55" s="277" t="s">
        <v>1036</v>
      </c>
      <c r="B55" s="279" t="s">
        <v>387</v>
      </c>
      <c r="C55" s="278" t="s">
        <v>734</v>
      </c>
      <c r="D55" s="282">
        <f>2350000-1000000-180000-220000+926229-512000+1618094-603515</f>
        <v>2378808</v>
      </c>
      <c r="E55" s="283"/>
      <c r="F55" s="272">
        <f t="shared" si="0"/>
        <v>2378808</v>
      </c>
      <c r="G55" s="282">
        <f>200000+2036448-200000</f>
        <v>2036448</v>
      </c>
      <c r="H55" s="663"/>
      <c r="I55" s="272">
        <f t="shared" si="1"/>
        <v>2036448</v>
      </c>
      <c r="J55" s="297"/>
      <c r="K55" s="297"/>
      <c r="L55" s="272">
        <f t="shared" si="4"/>
        <v>0</v>
      </c>
      <c r="M55" s="276">
        <f t="shared" si="3"/>
        <v>4415256</v>
      </c>
    </row>
    <row r="56" spans="1:13" ht="24.75" customHeight="1" thickBot="1">
      <c r="A56" s="277" t="s">
        <v>1037</v>
      </c>
      <c r="B56" s="279" t="s">
        <v>619</v>
      </c>
      <c r="C56" s="299"/>
      <c r="D56" s="673"/>
      <c r="E56" s="674"/>
      <c r="F56" s="306">
        <f t="shared" si="0"/>
        <v>0</v>
      </c>
      <c r="G56" s="675">
        <f>8285000-165615</f>
        <v>8119385</v>
      </c>
      <c r="H56" s="674"/>
      <c r="I56" s="306">
        <f t="shared" si="1"/>
        <v>8119385</v>
      </c>
      <c r="J56" s="676"/>
      <c r="K56" s="676"/>
      <c r="L56" s="306">
        <f t="shared" si="4"/>
        <v>0</v>
      </c>
      <c r="M56" s="677">
        <f t="shared" si="3"/>
        <v>8119385</v>
      </c>
    </row>
    <row r="57" spans="1:16" s="248" customFormat="1" ht="14.25" thickBot="1">
      <c r="A57" s="1081" t="s">
        <v>719</v>
      </c>
      <c r="B57" s="1082"/>
      <c r="C57" s="1083"/>
      <c r="D57" s="304">
        <f aca="true" t="shared" si="5" ref="D57:M57">SUM(D9:D56)</f>
        <v>624669943</v>
      </c>
      <c r="E57" s="678">
        <f t="shared" si="5"/>
        <v>380389116</v>
      </c>
      <c r="F57" s="679">
        <f t="shared" si="5"/>
        <v>1005059059</v>
      </c>
      <c r="G57" s="678">
        <f t="shared" si="5"/>
        <v>237482100</v>
      </c>
      <c r="H57" s="678">
        <f t="shared" si="5"/>
        <v>881951509</v>
      </c>
      <c r="I57" s="679">
        <f t="shared" si="5"/>
        <v>1119433609</v>
      </c>
      <c r="J57" s="678">
        <f t="shared" si="5"/>
        <v>29297034</v>
      </c>
      <c r="K57" s="678">
        <f t="shared" si="5"/>
        <v>0</v>
      </c>
      <c r="L57" s="679">
        <f t="shared" si="5"/>
        <v>29297034</v>
      </c>
      <c r="M57" s="679">
        <f t="shared" si="5"/>
        <v>2153789702</v>
      </c>
      <c r="P57" s="515">
        <f>SUM(L57,I57,F57)</f>
        <v>2153789702</v>
      </c>
    </row>
    <row r="58" spans="1:13" ht="30.75" customHeight="1">
      <c r="A58" s="281" t="s">
        <v>406</v>
      </c>
      <c r="B58" s="279" t="s">
        <v>59</v>
      </c>
      <c r="C58" s="269" t="s">
        <v>735</v>
      </c>
      <c r="D58" s="300">
        <f>142790403+2326520+453671+1537859+200000+39000+2108200-829010-6147</f>
        <v>148620496</v>
      </c>
      <c r="E58" s="301">
        <v>1016000</v>
      </c>
      <c r="F58" s="272">
        <f>SUM(D58:E58)</f>
        <v>149636496</v>
      </c>
      <c r="G58" s="300"/>
      <c r="H58" s="301"/>
      <c r="I58" s="897">
        <f aca="true" t="shared" si="6" ref="I58:I64">SUM(G58:H58)</f>
        <v>0</v>
      </c>
      <c r="J58" s="300"/>
      <c r="K58" s="301"/>
      <c r="L58" s="897">
        <f aca="true" t="shared" si="7" ref="L58:L64">SUM(J58:K58)</f>
        <v>0</v>
      </c>
      <c r="M58" s="276">
        <f aca="true" t="shared" si="8" ref="M58:M64">SUM(L58,I58,F58)</f>
        <v>149636496</v>
      </c>
    </row>
    <row r="59" spans="1:13" ht="30.75" customHeight="1">
      <c r="A59" s="281" t="s">
        <v>407</v>
      </c>
      <c r="B59" s="279" t="s">
        <v>1032</v>
      </c>
      <c r="C59" s="278" t="s">
        <v>1034</v>
      </c>
      <c r="D59" s="270">
        <f>1420400+293204+247115+47334+2742+6213-8955+6147</f>
        <v>2014200</v>
      </c>
      <c r="E59" s="271"/>
      <c r="F59" s="272">
        <f>SUM(D59:E59)</f>
        <v>2014200</v>
      </c>
      <c r="G59" s="270"/>
      <c r="H59" s="271"/>
      <c r="I59" s="272">
        <f t="shared" si="6"/>
        <v>0</v>
      </c>
      <c r="J59" s="270"/>
      <c r="K59" s="271"/>
      <c r="L59" s="272">
        <f t="shared" si="7"/>
        <v>0</v>
      </c>
      <c r="M59" s="276">
        <f t="shared" si="8"/>
        <v>2014200</v>
      </c>
    </row>
    <row r="60" spans="1:13" ht="48">
      <c r="A60" s="281" t="s">
        <v>408</v>
      </c>
      <c r="B60" s="279" t="s">
        <v>1094</v>
      </c>
      <c r="C60" s="278" t="s">
        <v>1034</v>
      </c>
      <c r="D60" s="270">
        <f>2156000+325371+33428+76049</f>
        <v>2590848</v>
      </c>
      <c r="E60" s="271"/>
      <c r="F60" s="272">
        <f>SUM(D60:E60)</f>
        <v>2590848</v>
      </c>
      <c r="G60" s="270"/>
      <c r="H60" s="271"/>
      <c r="I60" s="272">
        <f t="shared" si="6"/>
        <v>0</v>
      </c>
      <c r="J60" s="270"/>
      <c r="K60" s="271"/>
      <c r="L60" s="278">
        <f t="shared" si="7"/>
        <v>0</v>
      </c>
      <c r="M60" s="276">
        <f t="shared" si="8"/>
        <v>2590848</v>
      </c>
    </row>
    <row r="61" spans="1:13" ht="48">
      <c r="A61" s="281" t="s">
        <v>409</v>
      </c>
      <c r="B61" s="279" t="s">
        <v>878</v>
      </c>
      <c r="C61" s="278"/>
      <c r="D61" s="270"/>
      <c r="E61" s="271"/>
      <c r="F61" s="272">
        <f>SUM(D61:E61)</f>
        <v>0</v>
      </c>
      <c r="G61" s="270">
        <f>4015200+1725000+301875</f>
        <v>6042075</v>
      </c>
      <c r="H61" s="271"/>
      <c r="I61" s="272">
        <f t="shared" si="6"/>
        <v>6042075</v>
      </c>
      <c r="J61" s="270"/>
      <c r="K61" s="271"/>
      <c r="L61" s="272">
        <f t="shared" si="7"/>
        <v>0</v>
      </c>
      <c r="M61" s="276">
        <f t="shared" si="8"/>
        <v>6042075</v>
      </c>
    </row>
    <row r="62" spans="1:13" ht="36">
      <c r="A62" s="281" t="s">
        <v>410</v>
      </c>
      <c r="B62" s="279" t="s">
        <v>1033</v>
      </c>
      <c r="C62" s="278"/>
      <c r="D62" s="270"/>
      <c r="E62" s="271"/>
      <c r="F62" s="272">
        <f>SUM(D62:E62)</f>
        <v>0</v>
      </c>
      <c r="G62" s="270">
        <f>338000+65910</f>
        <v>403910</v>
      </c>
      <c r="H62" s="271"/>
      <c r="I62" s="272">
        <f t="shared" si="6"/>
        <v>403910</v>
      </c>
      <c r="J62" s="270"/>
      <c r="K62" s="271"/>
      <c r="L62" s="272">
        <f t="shared" si="7"/>
        <v>0</v>
      </c>
      <c r="M62" s="276">
        <f t="shared" si="8"/>
        <v>403910</v>
      </c>
    </row>
    <row r="63" spans="1:13" ht="48">
      <c r="A63" s="281" t="s">
        <v>411</v>
      </c>
      <c r="B63" s="279" t="s">
        <v>1070</v>
      </c>
      <c r="C63" s="278"/>
      <c r="D63" s="270"/>
      <c r="E63" s="271"/>
      <c r="F63" s="272"/>
      <c r="G63" s="270">
        <f>2666710+520008</f>
        <v>3186718</v>
      </c>
      <c r="H63" s="271"/>
      <c r="I63" s="272">
        <f t="shared" si="6"/>
        <v>3186718</v>
      </c>
      <c r="J63" s="270"/>
      <c r="K63" s="271"/>
      <c r="L63" s="272">
        <f t="shared" si="7"/>
        <v>0</v>
      </c>
      <c r="M63" s="276">
        <f t="shared" si="8"/>
        <v>3186718</v>
      </c>
    </row>
    <row r="64" spans="1:13" ht="30.75" customHeight="1" thickBot="1">
      <c r="A64" s="281" t="s">
        <v>412</v>
      </c>
      <c r="B64" s="302" t="s">
        <v>833</v>
      </c>
      <c r="C64" s="303" t="s">
        <v>625</v>
      </c>
      <c r="D64" s="282">
        <f>7430000-7430000</f>
        <v>0</v>
      </c>
      <c r="E64" s="283"/>
      <c r="F64" s="272">
        <f>SUM(D64:E64)</f>
        <v>0</v>
      </c>
      <c r="G64" s="282"/>
      <c r="H64" s="283"/>
      <c r="I64" s="278">
        <f t="shared" si="6"/>
        <v>0</v>
      </c>
      <c r="J64" s="282"/>
      <c r="K64" s="283"/>
      <c r="L64" s="272">
        <f t="shared" si="7"/>
        <v>0</v>
      </c>
      <c r="M64" s="276">
        <f t="shared" si="8"/>
        <v>0</v>
      </c>
    </row>
    <row r="65" spans="1:16" s="248" customFormat="1" ht="14.25" thickBot="1">
      <c r="A65" s="1081" t="s">
        <v>506</v>
      </c>
      <c r="B65" s="1082"/>
      <c r="C65" s="1083"/>
      <c r="D65" s="304">
        <f aca="true" t="shared" si="9" ref="D65:M65">SUM(D58:D64)</f>
        <v>153225544</v>
      </c>
      <c r="E65" s="678">
        <f t="shared" si="9"/>
        <v>1016000</v>
      </c>
      <c r="F65" s="679">
        <f t="shared" si="9"/>
        <v>154241544</v>
      </c>
      <c r="G65" s="678">
        <f t="shared" si="9"/>
        <v>9632703</v>
      </c>
      <c r="H65" s="678">
        <f t="shared" si="9"/>
        <v>0</v>
      </c>
      <c r="I65" s="679">
        <f t="shared" si="9"/>
        <v>9632703</v>
      </c>
      <c r="J65" s="678">
        <f t="shared" si="9"/>
        <v>0</v>
      </c>
      <c r="K65" s="678">
        <f t="shared" si="9"/>
        <v>0</v>
      </c>
      <c r="L65" s="679">
        <f t="shared" si="9"/>
        <v>0</v>
      </c>
      <c r="M65" s="679">
        <f t="shared" si="9"/>
        <v>163874247</v>
      </c>
      <c r="P65" s="515"/>
    </row>
    <row r="66" spans="1:13" ht="23.25" customHeight="1">
      <c r="A66" s="267" t="s">
        <v>406</v>
      </c>
      <c r="B66" s="307" t="s">
        <v>507</v>
      </c>
      <c r="C66" s="288" t="s">
        <v>740</v>
      </c>
      <c r="D66" s="308">
        <f>34363647-36576</f>
        <v>34327071</v>
      </c>
      <c r="E66" s="309">
        <v>36576</v>
      </c>
      <c r="F66" s="306">
        <f aca="true" t="shared" si="10" ref="F66:F76">SUM(D66:E66)</f>
        <v>34363647</v>
      </c>
      <c r="G66" s="308"/>
      <c r="H66" s="309"/>
      <c r="I66" s="306">
        <f aca="true" t="shared" si="11" ref="I66:I76">SUM(G66:H66)</f>
        <v>0</v>
      </c>
      <c r="J66" s="308"/>
      <c r="K66" s="309"/>
      <c r="L66" s="306">
        <f aca="true" t="shared" si="12" ref="L66:L76">SUM(J66:K66)</f>
        <v>0</v>
      </c>
      <c r="M66" s="276">
        <f aca="true" t="shared" si="13" ref="M66:M76">SUM(L66,I66,F66)</f>
        <v>34363647</v>
      </c>
    </row>
    <row r="67" spans="1:13" ht="23.25" customHeight="1">
      <c r="A67" s="281" t="s">
        <v>407</v>
      </c>
      <c r="B67" s="279" t="s">
        <v>947</v>
      </c>
      <c r="C67" s="321" t="s">
        <v>736</v>
      </c>
      <c r="D67" s="291">
        <f>126783640-1359950+656145+220000+42900-600000-889000-273095+889000-91000-592498+69342-3-39600</f>
        <v>124815881</v>
      </c>
      <c r="E67" s="292">
        <f>552450+273095+592498-108966</f>
        <v>1309077</v>
      </c>
      <c r="F67" s="272">
        <f t="shared" si="10"/>
        <v>126124958</v>
      </c>
      <c r="G67" s="298"/>
      <c r="H67" s="296"/>
      <c r="I67" s="272">
        <f t="shared" si="11"/>
        <v>0</v>
      </c>
      <c r="J67" s="285"/>
      <c r="K67" s="285"/>
      <c r="L67" s="272">
        <f t="shared" si="12"/>
        <v>0</v>
      </c>
      <c r="M67" s="276">
        <f t="shared" si="13"/>
        <v>126124958</v>
      </c>
    </row>
    <row r="68" spans="1:13" ht="23.25" customHeight="1">
      <c r="A68" s="277" t="s">
        <v>408</v>
      </c>
      <c r="B68" s="279" t="s">
        <v>593</v>
      </c>
      <c r="C68" s="321" t="s">
        <v>624</v>
      </c>
      <c r="D68" s="291">
        <f>28507248+45000-46143+49530</f>
        <v>28555635</v>
      </c>
      <c r="E68" s="292">
        <f>152400+46143-39624</f>
        <v>158919</v>
      </c>
      <c r="F68" s="272">
        <f t="shared" si="10"/>
        <v>28714554</v>
      </c>
      <c r="G68" s="298"/>
      <c r="H68" s="296"/>
      <c r="I68" s="272">
        <f t="shared" si="11"/>
        <v>0</v>
      </c>
      <c r="J68" s="285"/>
      <c r="K68" s="285"/>
      <c r="L68" s="272">
        <f t="shared" si="12"/>
        <v>0</v>
      </c>
      <c r="M68" s="276">
        <f t="shared" si="13"/>
        <v>28714554</v>
      </c>
    </row>
    <row r="69" spans="1:13" ht="23.25" customHeight="1">
      <c r="A69" s="277" t="s">
        <v>409</v>
      </c>
      <c r="B69" s="279" t="s">
        <v>720</v>
      </c>
      <c r="C69" s="321" t="s">
        <v>742</v>
      </c>
      <c r="D69" s="291">
        <f>20738697+10000+69342</f>
        <v>20818039</v>
      </c>
      <c r="E69" s="292">
        <f>241300-69342</f>
        <v>171958</v>
      </c>
      <c r="F69" s="272">
        <f t="shared" si="10"/>
        <v>20989997</v>
      </c>
      <c r="G69" s="298"/>
      <c r="H69" s="296"/>
      <c r="I69" s="272">
        <f t="shared" si="11"/>
        <v>0</v>
      </c>
      <c r="J69" s="285"/>
      <c r="K69" s="285"/>
      <c r="L69" s="272">
        <f t="shared" si="12"/>
        <v>0</v>
      </c>
      <c r="M69" s="276">
        <f t="shared" si="13"/>
        <v>20989997</v>
      </c>
    </row>
    <row r="70" spans="1:13" ht="23.25" customHeight="1">
      <c r="A70" s="277" t="s">
        <v>410</v>
      </c>
      <c r="B70" s="279" t="s">
        <v>721</v>
      </c>
      <c r="C70" s="321" t="s">
        <v>743</v>
      </c>
      <c r="D70" s="293">
        <f>12163522+56100+10940+24000+9906</f>
        <v>12264468</v>
      </c>
      <c r="E70" s="292"/>
      <c r="F70" s="272">
        <f t="shared" si="10"/>
        <v>12264468</v>
      </c>
      <c r="G70" s="293"/>
      <c r="H70" s="292"/>
      <c r="I70" s="272">
        <f t="shared" si="11"/>
        <v>0</v>
      </c>
      <c r="J70" s="285"/>
      <c r="K70" s="285"/>
      <c r="L70" s="272">
        <f t="shared" si="12"/>
        <v>0</v>
      </c>
      <c r="M70" s="276">
        <f t="shared" si="13"/>
        <v>12264468</v>
      </c>
    </row>
    <row r="71" spans="1:13" ht="23.25" customHeight="1">
      <c r="A71" s="277" t="s">
        <v>411</v>
      </c>
      <c r="B71" s="279" t="s">
        <v>722</v>
      </c>
      <c r="C71" s="288" t="s">
        <v>740</v>
      </c>
      <c r="D71" s="293">
        <v>3260222</v>
      </c>
      <c r="E71" s="292"/>
      <c r="F71" s="272">
        <f t="shared" si="10"/>
        <v>3260222</v>
      </c>
      <c r="G71" s="293"/>
      <c r="H71" s="292"/>
      <c r="I71" s="272">
        <f t="shared" si="11"/>
        <v>0</v>
      </c>
      <c r="J71" s="285"/>
      <c r="K71" s="285"/>
      <c r="L71" s="272">
        <f t="shared" si="12"/>
        <v>0</v>
      </c>
      <c r="M71" s="276">
        <f t="shared" si="13"/>
        <v>3260222</v>
      </c>
    </row>
    <row r="72" spans="1:13" ht="23.25" customHeight="1">
      <c r="A72" s="281" t="s">
        <v>412</v>
      </c>
      <c r="B72" s="307" t="s">
        <v>553</v>
      </c>
      <c r="C72" s="288" t="s">
        <v>744</v>
      </c>
      <c r="D72" s="807"/>
      <c r="E72" s="808"/>
      <c r="F72" s="272">
        <f t="shared" si="10"/>
        <v>0</v>
      </c>
      <c r="G72" s="675">
        <f>6245111+889000+1166000-889000+12000+19812</f>
        <v>7442923</v>
      </c>
      <c r="H72" s="808"/>
      <c r="I72" s="272">
        <f t="shared" si="11"/>
        <v>7442923</v>
      </c>
      <c r="J72" s="676"/>
      <c r="K72" s="676"/>
      <c r="L72" s="272">
        <f t="shared" si="12"/>
        <v>0</v>
      </c>
      <c r="M72" s="276">
        <f t="shared" si="13"/>
        <v>7442923</v>
      </c>
    </row>
    <row r="73" spans="1:13" ht="23.25" customHeight="1">
      <c r="A73" s="281" t="s">
        <v>413</v>
      </c>
      <c r="B73" s="287" t="s">
        <v>1071</v>
      </c>
      <c r="C73" s="288"/>
      <c r="D73" s="807"/>
      <c r="E73" s="808"/>
      <c r="F73" s="272">
        <v>0</v>
      </c>
      <c r="G73" s="675">
        <f>1229250+215116+3+39600</f>
        <v>1483969</v>
      </c>
      <c r="H73" s="808"/>
      <c r="I73" s="272">
        <f t="shared" si="11"/>
        <v>1483969</v>
      </c>
      <c r="J73" s="676"/>
      <c r="K73" s="676"/>
      <c r="L73" s="272">
        <f t="shared" si="12"/>
        <v>0</v>
      </c>
      <c r="M73" s="276">
        <f t="shared" si="13"/>
        <v>1483969</v>
      </c>
    </row>
    <row r="74" spans="1:13" ht="23.25" customHeight="1">
      <c r="A74" s="281" t="s">
        <v>414</v>
      </c>
      <c r="B74" s="874" t="s">
        <v>1096</v>
      </c>
      <c r="C74" s="288"/>
      <c r="D74" s="807"/>
      <c r="E74" s="808"/>
      <c r="F74" s="272">
        <f t="shared" si="10"/>
        <v>0</v>
      </c>
      <c r="G74" s="675">
        <v>6883200</v>
      </c>
      <c r="H74" s="808"/>
      <c r="I74" s="272">
        <f t="shared" si="11"/>
        <v>6883200</v>
      </c>
      <c r="J74" s="676"/>
      <c r="K74" s="676"/>
      <c r="L74" s="272">
        <f t="shared" si="12"/>
        <v>0</v>
      </c>
      <c r="M74" s="276">
        <f t="shared" si="13"/>
        <v>6883200</v>
      </c>
    </row>
    <row r="75" spans="1:13" ht="23.25" customHeight="1">
      <c r="A75" s="281" t="s">
        <v>415</v>
      </c>
      <c r="B75" s="874" t="s">
        <v>993</v>
      </c>
      <c r="C75" s="288"/>
      <c r="D75" s="807"/>
      <c r="E75" s="808"/>
      <c r="F75" s="272">
        <f t="shared" si="10"/>
        <v>0</v>
      </c>
      <c r="G75" s="675">
        <f>5459106+4697+61868-66565</f>
        <v>5459106</v>
      </c>
      <c r="H75" s="808"/>
      <c r="I75" s="272">
        <f t="shared" si="11"/>
        <v>5459106</v>
      </c>
      <c r="J75" s="676"/>
      <c r="K75" s="676"/>
      <c r="L75" s="272">
        <f t="shared" si="12"/>
        <v>0</v>
      </c>
      <c r="M75" s="276">
        <f t="shared" si="13"/>
        <v>5459106</v>
      </c>
    </row>
    <row r="76" spans="1:13" ht="27" customHeight="1" thickBot="1">
      <c r="A76" s="809" t="s">
        <v>416</v>
      </c>
      <c r="B76" s="279" t="s">
        <v>994</v>
      </c>
      <c r="C76" s="288"/>
      <c r="D76" s="308"/>
      <c r="E76" s="309"/>
      <c r="F76" s="306">
        <f t="shared" si="10"/>
        <v>0</v>
      </c>
      <c r="G76" s="308">
        <f>27430982+10500000</f>
        <v>37930982</v>
      </c>
      <c r="H76" s="309"/>
      <c r="I76" s="306">
        <f t="shared" si="11"/>
        <v>37930982</v>
      </c>
      <c r="J76" s="308"/>
      <c r="K76" s="309"/>
      <c r="L76" s="306">
        <f t="shared" si="12"/>
        <v>0</v>
      </c>
      <c r="M76" s="276">
        <f t="shared" si="13"/>
        <v>37930982</v>
      </c>
    </row>
    <row r="77" spans="1:16" ht="27.75" customHeight="1" thickBot="1">
      <c r="A77" s="1084" t="s">
        <v>811</v>
      </c>
      <c r="B77" s="1085"/>
      <c r="C77" s="1086"/>
      <c r="D77" s="310">
        <f aca="true" t="shared" si="14" ref="D77:M77">SUM(D66:D76)</f>
        <v>224041316</v>
      </c>
      <c r="E77" s="513">
        <f t="shared" si="14"/>
        <v>1676530</v>
      </c>
      <c r="F77" s="512">
        <f t="shared" si="14"/>
        <v>225717846</v>
      </c>
      <c r="G77" s="310">
        <f t="shared" si="14"/>
        <v>59200180</v>
      </c>
      <c r="H77" s="513">
        <f t="shared" si="14"/>
        <v>0</v>
      </c>
      <c r="I77" s="512">
        <f t="shared" si="14"/>
        <v>59200180</v>
      </c>
      <c r="J77" s="310">
        <f t="shared" si="14"/>
        <v>0</v>
      </c>
      <c r="K77" s="513">
        <f t="shared" si="14"/>
        <v>0</v>
      </c>
      <c r="L77" s="512">
        <f t="shared" si="14"/>
        <v>0</v>
      </c>
      <c r="M77" s="305">
        <f t="shared" si="14"/>
        <v>284918026</v>
      </c>
      <c r="P77" s="516">
        <f>SUM(L77,I77,F77)</f>
        <v>284918026</v>
      </c>
    </row>
    <row r="78" spans="1:13" ht="31.5" customHeight="1">
      <c r="A78" s="277" t="s">
        <v>406</v>
      </c>
      <c r="B78" s="287" t="s">
        <v>552</v>
      </c>
      <c r="C78" s="278" t="s">
        <v>731</v>
      </c>
      <c r="D78" s="282">
        <v>1100000</v>
      </c>
      <c r="E78" s="283"/>
      <c r="F78" s="272">
        <f>SUM(D78:E78)</f>
        <v>1100000</v>
      </c>
      <c r="G78" s="284"/>
      <c r="H78" s="283"/>
      <c r="I78" s="272">
        <f>SUM(G78:H78)</f>
        <v>0</v>
      </c>
      <c r="J78" s="285"/>
      <c r="K78" s="286"/>
      <c r="L78" s="272">
        <f>SUM(J78:K78)</f>
        <v>0</v>
      </c>
      <c r="M78" s="276">
        <f>SUM(F78+I78+L78)</f>
        <v>1100000</v>
      </c>
    </row>
    <row r="79" spans="1:13" ht="22.5" customHeight="1">
      <c r="A79" s="277" t="s">
        <v>407</v>
      </c>
      <c r="B79" s="295" t="s">
        <v>391</v>
      </c>
      <c r="C79" s="290" t="s">
        <v>731</v>
      </c>
      <c r="D79" s="282">
        <v>3432072</v>
      </c>
      <c r="E79" s="283"/>
      <c r="F79" s="272">
        <f>SUM(D79:E79)</f>
        <v>3432072</v>
      </c>
      <c r="G79" s="284"/>
      <c r="H79" s="283"/>
      <c r="I79" s="272">
        <f>SUM(G79:H79)</f>
        <v>0</v>
      </c>
      <c r="J79" s="285"/>
      <c r="K79" s="286"/>
      <c r="L79" s="272">
        <f>SUM(J79:K79)</f>
        <v>0</v>
      </c>
      <c r="M79" s="276">
        <f>SUM(F79+I79+L79)</f>
        <v>3432072</v>
      </c>
    </row>
    <row r="80" spans="1:13" ht="33.75" customHeight="1">
      <c r="A80" s="277" t="s">
        <v>408</v>
      </c>
      <c r="B80" s="279" t="s">
        <v>79</v>
      </c>
      <c r="C80" s="294" t="s">
        <v>732</v>
      </c>
      <c r="D80" s="291">
        <f>22381580-1270000+622539+1500000+775525+7367584+614391+300000+81000+558800+203200+1-1+8000-8000-783939+600000-600000</f>
        <v>32350680</v>
      </c>
      <c r="E80" s="292">
        <f>635000+783939</f>
        <v>1418939</v>
      </c>
      <c r="F80" s="272">
        <f>SUM(D80:E80)</f>
        <v>33769619</v>
      </c>
      <c r="G80" s="293"/>
      <c r="H80" s="292"/>
      <c r="I80" s="272">
        <f>SUM(G80:H80)</f>
        <v>0</v>
      </c>
      <c r="J80" s="285"/>
      <c r="K80" s="286"/>
      <c r="L80" s="272">
        <f>SUM(J80:K80)</f>
        <v>0</v>
      </c>
      <c r="M80" s="276">
        <f>SUM(F80+I80+L80)</f>
        <v>33769619</v>
      </c>
    </row>
    <row r="81" spans="1:13" ht="22.5" customHeight="1">
      <c r="A81" s="277" t="s">
        <v>409</v>
      </c>
      <c r="B81" s="295" t="s">
        <v>900</v>
      </c>
      <c r="C81" s="290"/>
      <c r="D81" s="282"/>
      <c r="E81" s="283"/>
      <c r="F81" s="272">
        <f>SUM(D81:E81)</f>
        <v>0</v>
      </c>
      <c r="G81" s="284">
        <v>22502900</v>
      </c>
      <c r="H81" s="283">
        <v>2497100</v>
      </c>
      <c r="I81" s="272">
        <f>SUM(G81:H81)</f>
        <v>25000000</v>
      </c>
      <c r="J81" s="285"/>
      <c r="K81" s="286"/>
      <c r="L81" s="272">
        <f>SUM(J81:K81)</f>
        <v>0</v>
      </c>
      <c r="M81" s="276">
        <f>SUM(F81+I81+L81)</f>
        <v>25000000</v>
      </c>
    </row>
    <row r="82" spans="1:13" ht="24.75" customHeight="1" thickBot="1">
      <c r="A82" s="277" t="s">
        <v>410</v>
      </c>
      <c r="B82" s="279" t="s">
        <v>1071</v>
      </c>
      <c r="C82" s="294"/>
      <c r="D82" s="291"/>
      <c r="E82" s="292"/>
      <c r="F82" s="272">
        <f>SUM(D82:E82)</f>
        <v>0</v>
      </c>
      <c r="G82" s="293">
        <f>223500+39112</f>
        <v>262612</v>
      </c>
      <c r="H82" s="292"/>
      <c r="I82" s="272">
        <f>SUM(G82:H82)</f>
        <v>262612</v>
      </c>
      <c r="J82" s="285"/>
      <c r="K82" s="286"/>
      <c r="L82" s="272">
        <f>SUM(J82:K82)</f>
        <v>0</v>
      </c>
      <c r="M82" s="276">
        <f>SUM(F82+I82+L82)</f>
        <v>262612</v>
      </c>
    </row>
    <row r="83" spans="1:16" ht="27.75" customHeight="1" thickBot="1">
      <c r="A83" s="1084" t="s">
        <v>839</v>
      </c>
      <c r="B83" s="1085"/>
      <c r="C83" s="1086"/>
      <c r="D83" s="310">
        <f>SUM(D78:D82)</f>
        <v>36882752</v>
      </c>
      <c r="E83" s="513">
        <f aca="true" t="shared" si="15" ref="E83:K83">SUM(E78:E82)</f>
        <v>1418939</v>
      </c>
      <c r="F83" s="512">
        <f t="shared" si="15"/>
        <v>38301691</v>
      </c>
      <c r="G83" s="310">
        <f t="shared" si="15"/>
        <v>22765512</v>
      </c>
      <c r="H83" s="513">
        <f t="shared" si="15"/>
        <v>2497100</v>
      </c>
      <c r="I83" s="512">
        <f t="shared" si="15"/>
        <v>25262612</v>
      </c>
      <c r="J83" s="310">
        <f t="shared" si="15"/>
        <v>0</v>
      </c>
      <c r="K83" s="513">
        <f t="shared" si="15"/>
        <v>0</v>
      </c>
      <c r="L83" s="512">
        <f>SUM(L78:L82)</f>
        <v>0</v>
      </c>
      <c r="M83" s="305">
        <f>SUM(M78:M82)</f>
        <v>63564303</v>
      </c>
      <c r="P83" s="516"/>
    </row>
    <row r="84" spans="1:13" s="252" customFormat="1" ht="16.5" thickBot="1">
      <c r="A84" s="1078" t="s">
        <v>508</v>
      </c>
      <c r="B84" s="1079"/>
      <c r="C84" s="1080"/>
      <c r="D84" s="311">
        <f aca="true" t="shared" si="16" ref="D84:M84">D57+D65+D77+D83</f>
        <v>1038819555</v>
      </c>
      <c r="E84" s="311">
        <f t="shared" si="16"/>
        <v>384500585</v>
      </c>
      <c r="F84" s="670">
        <f t="shared" si="16"/>
        <v>1423320140</v>
      </c>
      <c r="G84" s="311">
        <f t="shared" si="16"/>
        <v>329080495</v>
      </c>
      <c r="H84" s="311">
        <f t="shared" si="16"/>
        <v>884448609</v>
      </c>
      <c r="I84" s="312">
        <f t="shared" si="16"/>
        <v>1213529104</v>
      </c>
      <c r="J84" s="514">
        <f t="shared" si="16"/>
        <v>29297034</v>
      </c>
      <c r="K84" s="671">
        <f t="shared" si="16"/>
        <v>0</v>
      </c>
      <c r="L84" s="672">
        <f t="shared" si="16"/>
        <v>29297034</v>
      </c>
      <c r="M84" s="313">
        <f t="shared" si="16"/>
        <v>2666146278</v>
      </c>
    </row>
    <row r="86" spans="1:2" ht="12.75">
      <c r="A86" s="187" t="s">
        <v>509</v>
      </c>
      <c r="B86" s="187" t="s">
        <v>510</v>
      </c>
    </row>
    <row r="87" spans="1:2" ht="12.75">
      <c r="A87" s="187" t="s">
        <v>511</v>
      </c>
      <c r="B87" s="187" t="s">
        <v>512</v>
      </c>
    </row>
    <row r="88" spans="1:2" ht="12.75">
      <c r="A88" s="187" t="s">
        <v>513</v>
      </c>
      <c r="B88" s="187" t="s">
        <v>514</v>
      </c>
    </row>
    <row r="89" spans="1:2" ht="12.75">
      <c r="A89" s="187" t="s">
        <v>515</v>
      </c>
      <c r="B89" s="187" t="s">
        <v>516</v>
      </c>
    </row>
    <row r="90" spans="1:2" ht="12.75">
      <c r="A90" s="187" t="s">
        <v>517</v>
      </c>
      <c r="B90" s="187" t="s">
        <v>518</v>
      </c>
    </row>
    <row r="91" spans="1:2" ht="12.75">
      <c r="A91" s="187" t="s">
        <v>809</v>
      </c>
      <c r="B91" s="187" t="s">
        <v>810</v>
      </c>
    </row>
    <row r="92" spans="1:2" ht="12.75">
      <c r="A92" s="187" t="s">
        <v>623</v>
      </c>
      <c r="B92" s="187" t="s">
        <v>622</v>
      </c>
    </row>
    <row r="93" spans="1:2" ht="12.75">
      <c r="A93" s="187" t="s">
        <v>1034</v>
      </c>
      <c r="B93" s="187" t="s">
        <v>1035</v>
      </c>
    </row>
  </sheetData>
  <sheetProtection/>
  <mergeCells count="15">
    <mergeCell ref="A84:C84"/>
    <mergeCell ref="A65:C65"/>
    <mergeCell ref="D6:F7"/>
    <mergeCell ref="A77:C77"/>
    <mergeCell ref="B5:B8"/>
    <mergeCell ref="A5:A8"/>
    <mergeCell ref="C5:M5"/>
    <mergeCell ref="A57:C57"/>
    <mergeCell ref="A83:C83"/>
    <mergeCell ref="G1:M1"/>
    <mergeCell ref="M6:M8"/>
    <mergeCell ref="C6:C8"/>
    <mergeCell ref="G6:I7"/>
    <mergeCell ref="J6:L7"/>
    <mergeCell ref="A3:M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O96"/>
  <sheetViews>
    <sheetView zoomScalePageLayoutView="0" workbookViewId="0" topLeftCell="T1">
      <pane ySplit="7" topLeftCell="A8" activePane="bottomLeft" state="frozen"/>
      <selection pane="topLeft" activeCell="A1" sqref="A1"/>
      <selection pane="bottomLeft" activeCell="T2" sqref="T2"/>
    </sheetView>
  </sheetViews>
  <sheetFormatPr defaultColWidth="9.00390625" defaultRowHeight="12.75"/>
  <cols>
    <col min="1" max="2" width="9.125" style="187" customWidth="1"/>
    <col min="3" max="3" width="22.375" style="187" customWidth="1"/>
    <col min="4" max="6" width="18.00390625" style="187" bestFit="1" customWidth="1"/>
    <col min="7" max="7" width="12.625" style="187" customWidth="1"/>
    <col min="8" max="8" width="18.875" style="187" customWidth="1"/>
    <col min="9" max="9" width="9.25390625" style="187" bestFit="1" customWidth="1"/>
    <col min="10" max="10" width="11.375" style="187" bestFit="1" customWidth="1"/>
    <col min="11" max="11" width="19.25390625" style="187" customWidth="1"/>
    <col min="12" max="12" width="9.75390625" style="187" customWidth="1"/>
    <col min="13" max="13" width="9.125" style="187" customWidth="1"/>
    <col min="14" max="14" width="12.625" style="187" customWidth="1"/>
    <col min="15" max="15" width="8.125" style="187" customWidth="1"/>
    <col min="16" max="16" width="10.375" style="187" bestFit="1" customWidth="1"/>
    <col min="17" max="17" width="14.00390625" style="187" bestFit="1" customWidth="1"/>
    <col min="18" max="20" width="9.125" style="187" customWidth="1"/>
    <col min="21" max="21" width="9.875" style="187" customWidth="1"/>
    <col min="22" max="22" width="13.125" style="187" customWidth="1"/>
    <col min="23" max="23" width="16.625" style="187" bestFit="1" customWidth="1"/>
    <col min="24" max="24" width="18.00390625" style="322" bestFit="1" customWidth="1"/>
    <col min="25" max="25" width="18.25390625" style="322" customWidth="1"/>
    <col min="26" max="26" width="18.75390625" style="322" customWidth="1"/>
    <col min="27" max="27" width="19.75390625" style="322" bestFit="1" customWidth="1"/>
    <col min="28" max="28" width="17.375" style="322" bestFit="1" customWidth="1"/>
    <col min="29" max="29" width="19.75390625" style="322" bestFit="1" customWidth="1"/>
    <col min="30" max="223" width="9.125" style="322" customWidth="1"/>
    <col min="224" max="16384" width="9.125" style="187" customWidth="1"/>
  </cols>
  <sheetData>
    <row r="1" spans="1:28" ht="15">
      <c r="A1" s="254"/>
      <c r="B1" s="255"/>
      <c r="C1" s="256"/>
      <c r="H1" s="255"/>
      <c r="I1" s="255"/>
      <c r="J1" s="255"/>
      <c r="K1" s="257"/>
      <c r="L1" s="257"/>
      <c r="M1" s="257"/>
      <c r="N1" s="255"/>
      <c r="T1" s="1244" t="s">
        <v>1160</v>
      </c>
      <c r="U1" s="1245"/>
      <c r="V1" s="1245"/>
      <c r="W1" s="1245"/>
      <c r="X1" s="1246"/>
      <c r="Y1" s="1246"/>
      <c r="Z1" s="1246"/>
      <c r="AA1" s="1246"/>
      <c r="AB1" s="1246"/>
    </row>
    <row r="2" spans="1:14" ht="12.75">
      <c r="A2" s="254"/>
      <c r="B2" s="255"/>
      <c r="C2" s="256"/>
      <c r="D2" s="258"/>
      <c r="E2" s="259"/>
      <c r="F2" s="259"/>
      <c r="G2" s="259"/>
      <c r="H2" s="255"/>
      <c r="I2" s="255"/>
      <c r="J2" s="255"/>
      <c r="K2" s="257"/>
      <c r="L2" s="257"/>
      <c r="M2" s="257"/>
      <c r="N2" s="255"/>
    </row>
    <row r="3" spans="1:29" ht="15.75" customHeight="1">
      <c r="A3" s="1257" t="s">
        <v>948</v>
      </c>
      <c r="B3" s="1257"/>
      <c r="C3" s="1257"/>
      <c r="D3" s="1257"/>
      <c r="E3" s="1257"/>
      <c r="F3" s="1257"/>
      <c r="G3" s="1257"/>
      <c r="H3" s="1257"/>
      <c r="I3" s="1257"/>
      <c r="J3" s="1257"/>
      <c r="K3" s="1257"/>
      <c r="L3" s="1257"/>
      <c r="M3" s="1257"/>
      <c r="N3" s="1257"/>
      <c r="O3" s="1257"/>
      <c r="P3" s="1257"/>
      <c r="Q3" s="1257"/>
      <c r="R3" s="1257"/>
      <c r="S3" s="1257"/>
      <c r="T3" s="1257"/>
      <c r="U3" s="1257"/>
      <c r="V3" s="1257"/>
      <c r="W3" s="1257"/>
      <c r="X3" s="1257"/>
      <c r="Y3" s="1257"/>
      <c r="Z3" s="1257"/>
      <c r="AA3" s="1257"/>
      <c r="AB3" s="1257"/>
      <c r="AC3" s="1257"/>
    </row>
    <row r="4" spans="1:29" ht="15.75" customHeight="1">
      <c r="A4" s="508"/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</row>
    <row r="5" spans="1:29" ht="13.5" customHeight="1" thickBot="1">
      <c r="A5" s="509"/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</row>
    <row r="6" spans="1:223" s="323" customFormat="1" ht="15" customHeight="1" thickBot="1" thickTop="1">
      <c r="A6" s="1146" t="s">
        <v>87</v>
      </c>
      <c r="B6" s="1147"/>
      <c r="C6" s="1147"/>
      <c r="D6" s="1152" t="s">
        <v>368</v>
      </c>
      <c r="E6" s="1153"/>
      <c r="F6" s="1154"/>
      <c r="G6" s="1164" t="s">
        <v>519</v>
      </c>
      <c r="H6" s="1252"/>
      <c r="I6" s="1252"/>
      <c r="J6" s="1252"/>
      <c r="K6" s="1253"/>
      <c r="L6" s="1140" t="s">
        <v>520</v>
      </c>
      <c r="M6" s="1141"/>
      <c r="N6" s="1141"/>
      <c r="O6" s="1141"/>
      <c r="P6" s="1141"/>
      <c r="Q6" s="1191"/>
      <c r="R6" s="1140" t="s">
        <v>521</v>
      </c>
      <c r="S6" s="1141"/>
      <c r="T6" s="1141"/>
      <c r="U6" s="1141"/>
      <c r="V6" s="1141"/>
      <c r="W6" s="1141"/>
      <c r="X6" s="1247" t="s">
        <v>522</v>
      </c>
      <c r="Y6" s="1114"/>
      <c r="Z6" s="1114"/>
      <c r="AA6" s="1110" t="s">
        <v>88</v>
      </c>
      <c r="AB6" s="1111"/>
      <c r="AC6" s="111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2"/>
      <c r="CO6" s="322"/>
      <c r="CP6" s="322"/>
      <c r="CQ6" s="322"/>
      <c r="CR6" s="322"/>
      <c r="CS6" s="322"/>
      <c r="CT6" s="322"/>
      <c r="CU6" s="322"/>
      <c r="CV6" s="322"/>
      <c r="CW6" s="322"/>
      <c r="CX6" s="322"/>
      <c r="CY6" s="322"/>
      <c r="CZ6" s="322"/>
      <c r="DA6" s="322"/>
      <c r="DB6" s="322"/>
      <c r="DC6" s="322"/>
      <c r="DD6" s="322"/>
      <c r="DE6" s="322"/>
      <c r="DF6" s="322"/>
      <c r="DG6" s="322"/>
      <c r="DH6" s="322"/>
      <c r="DI6" s="322"/>
      <c r="DJ6" s="322"/>
      <c r="DK6" s="322"/>
      <c r="DL6" s="322"/>
      <c r="DM6" s="322"/>
      <c r="DN6" s="322"/>
      <c r="DO6" s="322"/>
      <c r="DP6" s="322"/>
      <c r="DQ6" s="322"/>
      <c r="DR6" s="322"/>
      <c r="DS6" s="322"/>
      <c r="DT6" s="322"/>
      <c r="DU6" s="322"/>
      <c r="DV6" s="322"/>
      <c r="DW6" s="322"/>
      <c r="DX6" s="322"/>
      <c r="DY6" s="322"/>
      <c r="DZ6" s="322"/>
      <c r="EA6" s="322"/>
      <c r="EB6" s="322"/>
      <c r="EC6" s="322"/>
      <c r="ED6" s="322"/>
      <c r="EE6" s="322"/>
      <c r="EF6" s="322"/>
      <c r="EG6" s="322"/>
      <c r="EH6" s="322"/>
      <c r="EI6" s="322"/>
      <c r="EJ6" s="322"/>
      <c r="EK6" s="322"/>
      <c r="EL6" s="322"/>
      <c r="EM6" s="322"/>
      <c r="EN6" s="322"/>
      <c r="EO6" s="322"/>
      <c r="EP6" s="322"/>
      <c r="EQ6" s="322"/>
      <c r="ER6" s="322"/>
      <c r="ES6" s="322"/>
      <c r="ET6" s="322"/>
      <c r="EU6" s="322"/>
      <c r="EV6" s="322"/>
      <c r="EW6" s="322"/>
      <c r="EX6" s="322"/>
      <c r="EY6" s="322"/>
      <c r="EZ6" s="322"/>
      <c r="FA6" s="322"/>
      <c r="FB6" s="322"/>
      <c r="FC6" s="322"/>
      <c r="FD6" s="322"/>
      <c r="FE6" s="322"/>
      <c r="FF6" s="322"/>
      <c r="FG6" s="322"/>
      <c r="FH6" s="322"/>
      <c r="FI6" s="322"/>
      <c r="FJ6" s="322"/>
      <c r="FK6" s="322"/>
      <c r="FL6" s="322"/>
      <c r="FM6" s="322"/>
      <c r="FN6" s="322"/>
      <c r="FO6" s="322"/>
      <c r="FP6" s="322"/>
      <c r="FQ6" s="322"/>
      <c r="FR6" s="322"/>
      <c r="FS6" s="322"/>
      <c r="FT6" s="322"/>
      <c r="FU6" s="322"/>
      <c r="FV6" s="322"/>
      <c r="FW6" s="322"/>
      <c r="FX6" s="322"/>
      <c r="FY6" s="322"/>
      <c r="FZ6" s="322"/>
      <c r="GA6" s="322"/>
      <c r="GB6" s="322"/>
      <c r="GC6" s="322"/>
      <c r="GD6" s="322"/>
      <c r="GE6" s="322"/>
      <c r="GF6" s="322"/>
      <c r="GG6" s="322"/>
      <c r="GH6" s="322"/>
      <c r="GI6" s="322"/>
      <c r="GJ6" s="322"/>
      <c r="GK6" s="322"/>
      <c r="GL6" s="322"/>
      <c r="GM6" s="322"/>
      <c r="GN6" s="322"/>
      <c r="GO6" s="322"/>
      <c r="GP6" s="322"/>
      <c r="GQ6" s="322"/>
      <c r="GR6" s="322"/>
      <c r="GS6" s="322"/>
      <c r="GT6" s="322"/>
      <c r="GU6" s="322"/>
      <c r="GV6" s="322"/>
      <c r="GW6" s="322"/>
      <c r="GX6" s="322"/>
      <c r="GY6" s="322"/>
      <c r="GZ6" s="322"/>
      <c r="HA6" s="322"/>
      <c r="HB6" s="322"/>
      <c r="HC6" s="322"/>
      <c r="HD6" s="322"/>
      <c r="HE6" s="322"/>
      <c r="HF6" s="322"/>
      <c r="HG6" s="322"/>
      <c r="HH6" s="322"/>
      <c r="HI6" s="322"/>
      <c r="HJ6" s="322"/>
      <c r="HK6" s="322"/>
      <c r="HL6" s="322"/>
      <c r="HM6" s="322"/>
      <c r="HN6" s="322"/>
      <c r="HO6" s="322"/>
    </row>
    <row r="7" spans="1:29" s="322" customFormat="1" ht="16.5" customHeight="1" thickBot="1">
      <c r="A7" s="1148"/>
      <c r="B7" s="1149"/>
      <c r="C7" s="1149"/>
      <c r="D7" s="471" t="s">
        <v>89</v>
      </c>
      <c r="E7" s="789" t="s">
        <v>85</v>
      </c>
      <c r="F7" s="325" t="s">
        <v>90</v>
      </c>
      <c r="G7" s="1254"/>
      <c r="H7" s="1255"/>
      <c r="I7" s="1255"/>
      <c r="J7" s="1255"/>
      <c r="K7" s="1256"/>
      <c r="L7" s="1143"/>
      <c r="M7" s="1144"/>
      <c r="N7" s="1144"/>
      <c r="O7" s="1144"/>
      <c r="P7" s="1144"/>
      <c r="Q7" s="1192"/>
      <c r="R7" s="1143"/>
      <c r="S7" s="1144"/>
      <c r="T7" s="1144"/>
      <c r="U7" s="1144"/>
      <c r="V7" s="1144"/>
      <c r="W7" s="1144"/>
      <c r="X7" s="324" t="s">
        <v>89</v>
      </c>
      <c r="Y7" s="471" t="s">
        <v>85</v>
      </c>
      <c r="Z7" s="776" t="s">
        <v>90</v>
      </c>
      <c r="AA7" s="324" t="s">
        <v>89</v>
      </c>
      <c r="AB7" s="471" t="s">
        <v>85</v>
      </c>
      <c r="AC7" s="325" t="s">
        <v>90</v>
      </c>
    </row>
    <row r="8" spans="1:29" s="340" customFormat="1" ht="26.25" customHeight="1">
      <c r="A8" s="326"/>
      <c r="B8" s="327"/>
      <c r="C8" s="328"/>
      <c r="D8" s="329"/>
      <c r="E8" s="327"/>
      <c r="F8" s="330"/>
      <c r="G8" s="1196" t="s">
        <v>665</v>
      </c>
      <c r="H8" s="1170"/>
      <c r="I8" s="1170"/>
      <c r="J8" s="506">
        <f>67592700</f>
        <v>67592700</v>
      </c>
      <c r="K8" s="1099">
        <f>SUM(J8:J18)</f>
        <v>169361925</v>
      </c>
      <c r="L8" s="1258"/>
      <c r="M8" s="1139"/>
      <c r="N8" s="1139"/>
      <c r="O8" s="1139"/>
      <c r="P8" s="332"/>
      <c r="Q8" s="1261">
        <f>SUM(P8:P18)</f>
        <v>98776767</v>
      </c>
      <c r="R8" s="1115" t="s">
        <v>236</v>
      </c>
      <c r="S8" s="1116"/>
      <c r="T8" s="1116"/>
      <c r="U8" s="1116"/>
      <c r="V8" s="506">
        <v>254780000</v>
      </c>
      <c r="W8" s="1180">
        <f>SUM(V8:V18)</f>
        <v>412209645</v>
      </c>
      <c r="X8" s="334"/>
      <c r="Y8" s="335"/>
      <c r="Z8" s="336"/>
      <c r="AA8" s="337"/>
      <c r="AB8" s="338"/>
      <c r="AC8" s="339"/>
    </row>
    <row r="9" spans="1:29" s="340" customFormat="1" ht="27" customHeight="1">
      <c r="A9" s="326"/>
      <c r="B9" s="327"/>
      <c r="C9" s="329"/>
      <c r="D9" s="329"/>
      <c r="E9" s="327"/>
      <c r="F9" s="330"/>
      <c r="G9" s="1168" t="s">
        <v>627</v>
      </c>
      <c r="H9" s="1096"/>
      <c r="I9" s="1096"/>
      <c r="J9" s="506">
        <f>1778400-27360</f>
        <v>1751040</v>
      </c>
      <c r="K9" s="1100"/>
      <c r="L9" s="1175" t="s">
        <v>1132</v>
      </c>
      <c r="M9" s="1176"/>
      <c r="N9" s="1176"/>
      <c r="O9" s="1176"/>
      <c r="P9" s="506">
        <v>1710029</v>
      </c>
      <c r="Q9" s="1262"/>
      <c r="R9" s="1115" t="s">
        <v>110</v>
      </c>
      <c r="S9" s="1116"/>
      <c r="T9" s="1116"/>
      <c r="U9" s="1116"/>
      <c r="V9" s="506">
        <f>9471380+540000</f>
        <v>10011380</v>
      </c>
      <c r="W9" s="1181"/>
      <c r="X9" s="341"/>
      <c r="Y9" s="335"/>
      <c r="Z9" s="342"/>
      <c r="AA9" s="326"/>
      <c r="AB9" s="343"/>
      <c r="AC9" s="344"/>
    </row>
    <row r="10" spans="1:29" s="340" customFormat="1" ht="24.75" customHeight="1">
      <c r="A10" s="345"/>
      <c r="B10" s="346"/>
      <c r="C10" s="347" t="s">
        <v>496</v>
      </c>
      <c r="D10" s="348">
        <f>SUM('6. kiadások megbontása'!D57)</f>
        <v>624669943</v>
      </c>
      <c r="E10" s="349">
        <f>SUM('6. kiadások megbontása'!E57)</f>
        <v>380389116</v>
      </c>
      <c r="F10" s="350">
        <f>SUM(D10:E10)</f>
        <v>1005059059</v>
      </c>
      <c r="G10" s="1168" t="s">
        <v>755</v>
      </c>
      <c r="H10" s="1096"/>
      <c r="I10" s="1096"/>
      <c r="J10" s="506">
        <f>48302876+1924152</f>
        <v>50227028</v>
      </c>
      <c r="K10" s="1100"/>
      <c r="L10" s="1175" t="s">
        <v>1133</v>
      </c>
      <c r="M10" s="1176"/>
      <c r="N10" s="1176"/>
      <c r="O10" s="1176"/>
      <c r="P10" s="506">
        <f>21228000+2577831</f>
        <v>23805831</v>
      </c>
      <c r="Q10" s="1262"/>
      <c r="R10" s="797" t="s">
        <v>817</v>
      </c>
      <c r="S10" s="804"/>
      <c r="T10" s="804"/>
      <c r="U10" s="804"/>
      <c r="V10" s="506">
        <v>60000</v>
      </c>
      <c r="W10" s="1181"/>
      <c r="X10" s="351"/>
      <c r="Y10" s="352"/>
      <c r="Z10" s="342"/>
      <c r="AA10" s="353"/>
      <c r="AB10" s="354"/>
      <c r="AC10" s="355"/>
    </row>
    <row r="11" spans="1:29" s="340" customFormat="1" ht="14.25" customHeight="1">
      <c r="A11" s="345"/>
      <c r="B11" s="346"/>
      <c r="C11" s="347"/>
      <c r="D11" s="348"/>
      <c r="E11" s="349"/>
      <c r="F11" s="350"/>
      <c r="G11" s="1104" t="s">
        <v>554</v>
      </c>
      <c r="H11" s="1104"/>
      <c r="I11" s="1104"/>
      <c r="J11" s="506">
        <v>49762591</v>
      </c>
      <c r="K11" s="1100"/>
      <c r="L11" s="797" t="s">
        <v>950</v>
      </c>
      <c r="M11" s="798"/>
      <c r="N11" s="798"/>
      <c r="O11" s="798"/>
      <c r="P11" s="506">
        <f>10633011-6854236+16507503+1152632</f>
        <v>21438910</v>
      </c>
      <c r="Q11" s="1262"/>
      <c r="R11" s="1259" t="s">
        <v>1134</v>
      </c>
      <c r="S11" s="1260"/>
      <c r="T11" s="1260"/>
      <c r="U11" s="1260"/>
      <c r="V11" s="506">
        <v>696400</v>
      </c>
      <c r="W11" s="1181"/>
      <c r="X11" s="351"/>
      <c r="Y11" s="352"/>
      <c r="Z11" s="342"/>
      <c r="AA11" s="353"/>
      <c r="AB11" s="354"/>
      <c r="AC11" s="355"/>
    </row>
    <row r="12" spans="1:29" s="340" customFormat="1" ht="14.25" customHeight="1">
      <c r="A12" s="345"/>
      <c r="B12" s="346"/>
      <c r="C12" s="347"/>
      <c r="D12" s="348"/>
      <c r="E12" s="349"/>
      <c r="F12" s="350"/>
      <c r="G12" s="1168" t="s">
        <v>1097</v>
      </c>
      <c r="H12" s="1096"/>
      <c r="I12" s="1096"/>
      <c r="J12" s="331">
        <f>3585+20900+4081</f>
        <v>28566</v>
      </c>
      <c r="K12" s="1100"/>
      <c r="L12" s="1115" t="s">
        <v>951</v>
      </c>
      <c r="M12" s="1116"/>
      <c r="N12" s="1116"/>
      <c r="O12" s="1116"/>
      <c r="P12" s="502">
        <f>12480966-6737965+42621100+3457896</f>
        <v>51821997</v>
      </c>
      <c r="Q12" s="1262"/>
      <c r="R12" s="1115" t="s">
        <v>1078</v>
      </c>
      <c r="S12" s="1116"/>
      <c r="T12" s="1116"/>
      <c r="U12" s="1116"/>
      <c r="V12" s="506">
        <f>30000+664721+78901+516434+128723+109120</f>
        <v>1527899</v>
      </c>
      <c r="W12" s="1181"/>
      <c r="X12" s="351"/>
      <c r="Y12" s="352"/>
      <c r="Z12" s="342"/>
      <c r="AA12" s="353"/>
      <c r="AB12" s="354"/>
      <c r="AC12" s="355"/>
    </row>
    <row r="13" spans="1:29" s="340" customFormat="1" ht="15" customHeight="1">
      <c r="A13" s="345"/>
      <c r="B13" s="346"/>
      <c r="C13" s="347"/>
      <c r="D13" s="348"/>
      <c r="E13" s="349"/>
      <c r="F13" s="350"/>
      <c r="G13" s="1263"/>
      <c r="H13" s="1264"/>
      <c r="I13" s="1264"/>
      <c r="J13" s="506"/>
      <c r="K13" s="1100"/>
      <c r="L13" s="1265"/>
      <c r="M13" s="1266"/>
      <c r="N13" s="1266"/>
      <c r="O13" s="1266"/>
      <c r="P13" s="506"/>
      <c r="Q13" s="1262"/>
      <c r="R13" s="1115" t="s">
        <v>1077</v>
      </c>
      <c r="S13" s="1116"/>
      <c r="T13" s="1116"/>
      <c r="U13" s="1116"/>
      <c r="V13" s="506">
        <f>3548380+920000+248400</f>
        <v>4716780</v>
      </c>
      <c r="W13" s="1181"/>
      <c r="X13" s="351"/>
      <c r="Y13" s="352"/>
      <c r="Z13" s="342"/>
      <c r="AA13" s="353"/>
      <c r="AB13" s="354"/>
      <c r="AC13" s="355"/>
    </row>
    <row r="14" spans="1:29" s="340" customFormat="1" ht="16.5" customHeight="1">
      <c r="A14" s="356"/>
      <c r="B14" s="357"/>
      <c r="C14" s="358"/>
      <c r="D14" s="358"/>
      <c r="E14" s="327"/>
      <c r="F14" s="330"/>
      <c r="G14" s="1104"/>
      <c r="H14" s="1104"/>
      <c r="I14" s="1104"/>
      <c r="J14" s="506"/>
      <c r="K14" s="1100"/>
      <c r="L14" s="797"/>
      <c r="M14" s="798"/>
      <c r="N14" s="798"/>
      <c r="O14" s="798"/>
      <c r="P14" s="506"/>
      <c r="Q14" s="1262"/>
      <c r="R14" s="797" t="s">
        <v>277</v>
      </c>
      <c r="S14" s="804"/>
      <c r="T14" s="804"/>
      <c r="U14" s="804"/>
      <c r="V14" s="506">
        <f>706000+123120+15000</f>
        <v>844120</v>
      </c>
      <c r="W14" s="1181"/>
      <c r="X14" s="351"/>
      <c r="Y14" s="352"/>
      <c r="Z14" s="342"/>
      <c r="AA14" s="353"/>
      <c r="AB14" s="354"/>
      <c r="AC14" s="355"/>
    </row>
    <row r="15" spans="1:29" s="340" customFormat="1" ht="18.75" customHeight="1">
      <c r="A15" s="356"/>
      <c r="B15" s="357"/>
      <c r="C15" s="358"/>
      <c r="D15" s="358"/>
      <c r="E15" s="327"/>
      <c r="F15" s="330"/>
      <c r="G15" s="1168"/>
      <c r="H15" s="1096"/>
      <c r="I15" s="1096"/>
      <c r="J15" s="331"/>
      <c r="K15" s="1100"/>
      <c r="L15" s="1115"/>
      <c r="M15" s="1116"/>
      <c r="N15" s="1116"/>
      <c r="O15" s="1116"/>
      <c r="P15" s="502"/>
      <c r="Q15" s="1262"/>
      <c r="R15" s="797" t="s">
        <v>752</v>
      </c>
      <c r="S15" s="804"/>
      <c r="T15" s="804"/>
      <c r="U15" s="804"/>
      <c r="V15" s="506">
        <f>2840247+537587+853440</f>
        <v>4231274</v>
      </c>
      <c r="W15" s="1181"/>
      <c r="X15" s="351"/>
      <c r="Y15" s="352"/>
      <c r="Z15" s="342"/>
      <c r="AA15" s="353"/>
      <c r="AB15" s="354"/>
      <c r="AC15" s="355"/>
    </row>
    <row r="16" spans="1:29" s="340" customFormat="1" ht="15.75" customHeight="1">
      <c r="A16" s="356"/>
      <c r="B16" s="357"/>
      <c r="C16" s="358"/>
      <c r="D16" s="358"/>
      <c r="E16" s="327"/>
      <c r="F16" s="330"/>
      <c r="G16" s="1104"/>
      <c r="H16" s="1104"/>
      <c r="I16" s="1104"/>
      <c r="J16" s="331"/>
      <c r="K16" s="1100"/>
      <c r="L16" s="1115"/>
      <c r="M16" s="1116"/>
      <c r="N16" s="1116"/>
      <c r="O16" s="1116"/>
      <c r="P16" s="502"/>
      <c r="Q16" s="1262"/>
      <c r="R16" s="797" t="s">
        <v>815</v>
      </c>
      <c r="S16" s="798"/>
      <c r="T16" s="798"/>
      <c r="U16" s="798"/>
      <c r="V16" s="756">
        <v>6592967</v>
      </c>
      <c r="W16" s="1181"/>
      <c r="X16" s="351"/>
      <c r="Y16" s="352"/>
      <c r="Z16" s="342"/>
      <c r="AA16" s="353"/>
      <c r="AB16" s="354"/>
      <c r="AC16" s="355"/>
    </row>
    <row r="17" spans="1:29" s="340" customFormat="1" ht="16.5" customHeight="1">
      <c r="A17" s="356"/>
      <c r="B17" s="357"/>
      <c r="C17" s="358"/>
      <c r="D17" s="358"/>
      <c r="E17" s="327"/>
      <c r="F17" s="359"/>
      <c r="G17" s="1104"/>
      <c r="H17" s="1104"/>
      <c r="I17" s="1104"/>
      <c r="J17" s="331"/>
      <c r="K17" s="1100"/>
      <c r="L17" s="1103"/>
      <c r="M17" s="1104"/>
      <c r="N17" s="1104"/>
      <c r="O17" s="1104"/>
      <c r="Q17" s="1262"/>
      <c r="R17" s="1115" t="s">
        <v>753</v>
      </c>
      <c r="S17" s="1116"/>
      <c r="T17" s="1116"/>
      <c r="U17" s="1116"/>
      <c r="V17" s="756">
        <v>500</v>
      </c>
      <c r="W17" s="1181"/>
      <c r="X17" s="361">
        <f>SUM(W8,Q8,K8)</f>
        <v>680348337</v>
      </c>
      <c r="Y17" s="362">
        <f>SUM(W19+Q19+K19)</f>
        <v>419586892</v>
      </c>
      <c r="Z17" s="363">
        <f>SUM(Y17,X17)</f>
        <v>1099935229</v>
      </c>
      <c r="AA17" s="361">
        <f>X17-D10</f>
        <v>55678394</v>
      </c>
      <c r="AB17" s="362">
        <f>Y17-E10</f>
        <v>39197776</v>
      </c>
      <c r="AC17" s="364">
        <f>SUM(AA17:AB17)</f>
        <v>94876170</v>
      </c>
    </row>
    <row r="18" spans="1:29" s="322" customFormat="1" ht="17.25" customHeight="1" thickBot="1">
      <c r="A18" s="365"/>
      <c r="B18" s="366"/>
      <c r="C18" s="367"/>
      <c r="D18" s="367"/>
      <c r="E18" s="368"/>
      <c r="F18" s="369"/>
      <c r="G18" s="1168"/>
      <c r="H18" s="1096"/>
      <c r="I18" s="1096"/>
      <c r="J18" s="937"/>
      <c r="K18" s="1100"/>
      <c r="L18" s="1103"/>
      <c r="M18" s="1104"/>
      <c r="N18" s="1104"/>
      <c r="O18" s="1104"/>
      <c r="P18" s="360"/>
      <c r="Q18" s="1262"/>
      <c r="R18" s="1115" t="s">
        <v>754</v>
      </c>
      <c r="S18" s="1116"/>
      <c r="T18" s="1116"/>
      <c r="U18" s="1116"/>
      <c r="V18" s="756">
        <f>29101707+97110256+2940272-403910</f>
        <v>128748325</v>
      </c>
      <c r="W18" s="1181"/>
      <c r="X18" s="351"/>
      <c r="Y18" s="352"/>
      <c r="Z18" s="342"/>
      <c r="AA18" s="353"/>
      <c r="AB18" s="354"/>
      <c r="AC18" s="355"/>
    </row>
    <row r="19" spans="1:29" s="322" customFormat="1" ht="65.25" customHeight="1">
      <c r="A19" s="365"/>
      <c r="B19" s="366"/>
      <c r="C19" s="367"/>
      <c r="D19" s="367"/>
      <c r="E19" s="368"/>
      <c r="F19" s="369"/>
      <c r="G19" s="1196" t="s">
        <v>1088</v>
      </c>
      <c r="H19" s="1170"/>
      <c r="I19" s="1170"/>
      <c r="J19" s="506">
        <v>29999998</v>
      </c>
      <c r="K19" s="1099">
        <f>SUM(J19)</f>
        <v>29999998</v>
      </c>
      <c r="L19" s="1169" t="s">
        <v>1131</v>
      </c>
      <c r="M19" s="1170"/>
      <c r="N19" s="1170"/>
      <c r="O19" s="1170"/>
      <c r="P19" s="753">
        <f>9999992</f>
        <v>9999992</v>
      </c>
      <c r="Q19" s="1119">
        <f>SUM(P19:P21)</f>
        <v>28885379</v>
      </c>
      <c r="R19" s="1210" t="s">
        <v>92</v>
      </c>
      <c r="S19" s="1211"/>
      <c r="T19" s="1211"/>
      <c r="U19" s="1211"/>
      <c r="V19" s="507">
        <f>78841508+140105-900000+88787+200000-8458000-2581377</f>
        <v>67331023</v>
      </c>
      <c r="W19" s="1180">
        <f>SUM(V19:V21)</f>
        <v>360701515</v>
      </c>
      <c r="X19" s="351"/>
      <c r="Y19" s="352"/>
      <c r="Z19" s="342"/>
      <c r="AA19" s="353"/>
      <c r="AB19" s="354"/>
      <c r="AC19" s="355"/>
    </row>
    <row r="20" spans="1:29" s="322" customFormat="1" ht="24" customHeight="1">
      <c r="A20" s="365"/>
      <c r="B20" s="366"/>
      <c r="C20" s="367"/>
      <c r="D20" s="367"/>
      <c r="E20" s="368"/>
      <c r="F20" s="369"/>
      <c r="G20" s="977"/>
      <c r="H20" s="635"/>
      <c r="I20" s="635"/>
      <c r="J20" s="506"/>
      <c r="K20" s="1100"/>
      <c r="L20" s="1095" t="s">
        <v>1105</v>
      </c>
      <c r="M20" s="1096"/>
      <c r="N20" s="1096"/>
      <c r="O20" s="1096"/>
      <c r="P20" s="502">
        <f>16000000+1331031+401078+764084</f>
        <v>18496193</v>
      </c>
      <c r="Q20" s="1120"/>
      <c r="R20" s="797"/>
      <c r="S20" s="798"/>
      <c r="T20" s="798"/>
      <c r="U20" s="798"/>
      <c r="V20" s="504"/>
      <c r="W20" s="1181"/>
      <c r="X20" s="351"/>
      <c r="Y20" s="352"/>
      <c r="Z20" s="342"/>
      <c r="AA20" s="353"/>
      <c r="AB20" s="354"/>
      <c r="AC20" s="355"/>
    </row>
    <row r="21" spans="1:29" s="322" customFormat="1" ht="18.75" customHeight="1" thickBot="1">
      <c r="A21" s="365"/>
      <c r="B21" s="366"/>
      <c r="C21" s="367"/>
      <c r="D21" s="367"/>
      <c r="E21" s="368"/>
      <c r="F21" s="369"/>
      <c r="G21" s="371"/>
      <c r="H21" s="372"/>
      <c r="I21" s="372"/>
      <c r="J21" s="374"/>
      <c r="K21" s="1100"/>
      <c r="L21" s="1103" t="s">
        <v>952</v>
      </c>
      <c r="M21" s="1104"/>
      <c r="N21" s="1104"/>
      <c r="O21" s="1104"/>
      <c r="P21" s="360">
        <f>289870-39360+138684</f>
        <v>389194</v>
      </c>
      <c r="Q21" s="1120"/>
      <c r="R21" s="1175" t="s">
        <v>749</v>
      </c>
      <c r="S21" s="1176"/>
      <c r="T21" s="1176"/>
      <c r="U21" s="1176"/>
      <c r="V21" s="504">
        <f>288331132+5039360</f>
        <v>293370492</v>
      </c>
      <c r="W21" s="1181"/>
      <c r="X21" s="351"/>
      <c r="Y21" s="352"/>
      <c r="Z21" s="342"/>
      <c r="AA21" s="353"/>
      <c r="AB21" s="354"/>
      <c r="AC21" s="355"/>
    </row>
    <row r="22" spans="1:29" s="322" customFormat="1" ht="18" customHeight="1" thickTop="1">
      <c r="A22" s="510"/>
      <c r="B22" s="375"/>
      <c r="C22" s="376"/>
      <c r="D22" s="376"/>
      <c r="E22" s="377"/>
      <c r="F22" s="378"/>
      <c r="G22" s="1105" t="s">
        <v>1079</v>
      </c>
      <c r="H22" s="1106"/>
      <c r="I22" s="1106"/>
      <c r="J22" s="511">
        <v>10858846</v>
      </c>
      <c r="K22" s="1101">
        <f>SUM(J22:J23)</f>
        <v>10858846</v>
      </c>
      <c r="L22" s="1236" t="s">
        <v>523</v>
      </c>
      <c r="M22" s="1237"/>
      <c r="N22" s="1237"/>
      <c r="O22" s="1237"/>
      <c r="P22" s="754"/>
      <c r="Q22" s="1101">
        <f>SUM(P22:P23)</f>
        <v>0</v>
      </c>
      <c r="R22" s="380"/>
      <c r="S22" s="381"/>
      <c r="T22" s="381"/>
      <c r="U22" s="381"/>
      <c r="V22" s="382"/>
      <c r="W22" s="383"/>
      <c r="X22" s="384"/>
      <c r="Y22" s="385"/>
      <c r="Z22" s="386"/>
      <c r="AA22" s="387"/>
      <c r="AB22" s="388"/>
      <c r="AC22" s="389"/>
    </row>
    <row r="23" spans="1:223" s="477" customFormat="1" ht="19.5" customHeight="1" thickBot="1">
      <c r="A23" s="779"/>
      <c r="B23" s="1239" t="s">
        <v>93</v>
      </c>
      <c r="C23" s="1240"/>
      <c r="D23" s="780">
        <f>SUM('6. kiadások megbontása'!J57)</f>
        <v>29297034</v>
      </c>
      <c r="E23" s="781">
        <f>SUM('6. kiadások megbontása'!K57)</f>
        <v>0</v>
      </c>
      <c r="F23" s="782">
        <f>SUM(D23:E23)</f>
        <v>29297034</v>
      </c>
      <c r="G23" s="1107"/>
      <c r="H23" s="1108"/>
      <c r="I23" s="1108"/>
      <c r="J23" s="783"/>
      <c r="K23" s="1102"/>
      <c r="L23" s="1271" t="s">
        <v>628</v>
      </c>
      <c r="M23" s="1272"/>
      <c r="N23" s="1272"/>
      <c r="O23" s="1272"/>
      <c r="P23" s="755"/>
      <c r="Q23" s="1102"/>
      <c r="R23" s="1271"/>
      <c r="S23" s="1272"/>
      <c r="T23" s="1272"/>
      <c r="U23" s="1272"/>
      <c r="V23" s="784"/>
      <c r="W23" s="785">
        <f>SUM(V23)</f>
        <v>0</v>
      </c>
      <c r="X23" s="786">
        <f>SUM(W23,Q22,K22)</f>
        <v>10858846</v>
      </c>
      <c r="Y23" s="787">
        <v>0</v>
      </c>
      <c r="Z23" s="788">
        <f>SUM(X23:Y23)</f>
        <v>10858846</v>
      </c>
      <c r="AA23" s="786">
        <f>X23-D23</f>
        <v>-18438188</v>
      </c>
      <c r="AB23" s="787">
        <f>Y23-E23</f>
        <v>0</v>
      </c>
      <c r="AC23" s="390">
        <f>SUM(AA23:AB23)</f>
        <v>-18438188</v>
      </c>
      <c r="AD23" s="497"/>
      <c r="AE23" s="497"/>
      <c r="AF23" s="497"/>
      <c r="AG23" s="497"/>
      <c r="AH23" s="497"/>
      <c r="AI23" s="497"/>
      <c r="AJ23" s="497"/>
      <c r="AK23" s="497"/>
      <c r="AL23" s="497"/>
      <c r="AM23" s="497"/>
      <c r="AN23" s="497"/>
      <c r="AO23" s="497"/>
      <c r="AP23" s="497"/>
      <c r="AQ23" s="497"/>
      <c r="AR23" s="497"/>
      <c r="AS23" s="497"/>
      <c r="AT23" s="497"/>
      <c r="AU23" s="497"/>
      <c r="AV23" s="497"/>
      <c r="AW23" s="497"/>
      <c r="AX23" s="497"/>
      <c r="AY23" s="497"/>
      <c r="AZ23" s="497"/>
      <c r="BA23" s="497"/>
      <c r="BB23" s="497"/>
      <c r="BC23" s="497"/>
      <c r="BD23" s="497"/>
      <c r="BE23" s="497"/>
      <c r="BF23" s="497"/>
      <c r="BG23" s="497"/>
      <c r="BH23" s="497"/>
      <c r="BI23" s="497"/>
      <c r="BJ23" s="497"/>
      <c r="BK23" s="497"/>
      <c r="BL23" s="497"/>
      <c r="BM23" s="497"/>
      <c r="BN23" s="497"/>
      <c r="BO23" s="497"/>
      <c r="BP23" s="497"/>
      <c r="BQ23" s="497"/>
      <c r="BR23" s="497"/>
      <c r="BS23" s="497"/>
      <c r="BT23" s="497"/>
      <c r="BU23" s="497"/>
      <c r="BV23" s="497"/>
      <c r="BW23" s="497"/>
      <c r="BX23" s="497"/>
      <c r="BY23" s="497"/>
      <c r="BZ23" s="497"/>
      <c r="CA23" s="497"/>
      <c r="CB23" s="497"/>
      <c r="CC23" s="497"/>
      <c r="CD23" s="497"/>
      <c r="CE23" s="497"/>
      <c r="CF23" s="497"/>
      <c r="CG23" s="497"/>
      <c r="CH23" s="497"/>
      <c r="CI23" s="497"/>
      <c r="CJ23" s="497"/>
      <c r="CK23" s="497"/>
      <c r="CL23" s="497"/>
      <c r="CM23" s="497"/>
      <c r="CN23" s="497"/>
      <c r="CO23" s="497"/>
      <c r="CP23" s="497"/>
      <c r="CQ23" s="497"/>
      <c r="CR23" s="497"/>
      <c r="CS23" s="497"/>
      <c r="CT23" s="497"/>
      <c r="CU23" s="497"/>
      <c r="CV23" s="497"/>
      <c r="CW23" s="497"/>
      <c r="CX23" s="497"/>
      <c r="CY23" s="497"/>
      <c r="CZ23" s="497"/>
      <c r="DA23" s="497"/>
      <c r="DB23" s="497"/>
      <c r="DC23" s="497"/>
      <c r="DD23" s="497"/>
      <c r="DE23" s="497"/>
      <c r="DF23" s="497"/>
      <c r="DG23" s="497"/>
      <c r="DH23" s="497"/>
      <c r="DI23" s="497"/>
      <c r="DJ23" s="497"/>
      <c r="DK23" s="497"/>
      <c r="DL23" s="497"/>
      <c r="DM23" s="497"/>
      <c r="DN23" s="497"/>
      <c r="DO23" s="497"/>
      <c r="DP23" s="497"/>
      <c r="DQ23" s="497"/>
      <c r="DR23" s="497"/>
      <c r="DS23" s="497"/>
      <c r="DT23" s="497"/>
      <c r="DU23" s="497"/>
      <c r="DV23" s="497"/>
      <c r="DW23" s="497"/>
      <c r="DX23" s="497"/>
      <c r="DY23" s="497"/>
      <c r="DZ23" s="497"/>
      <c r="EA23" s="497"/>
      <c r="EB23" s="497"/>
      <c r="EC23" s="497"/>
      <c r="ED23" s="497"/>
      <c r="EE23" s="497"/>
      <c r="EF23" s="497"/>
      <c r="EG23" s="497"/>
      <c r="EH23" s="497"/>
      <c r="EI23" s="497"/>
      <c r="EJ23" s="497"/>
      <c r="EK23" s="497"/>
      <c r="EL23" s="497"/>
      <c r="EM23" s="497"/>
      <c r="EN23" s="497"/>
      <c r="EO23" s="497"/>
      <c r="EP23" s="497"/>
      <c r="EQ23" s="497"/>
      <c r="ER23" s="497"/>
      <c r="ES23" s="497"/>
      <c r="ET23" s="497"/>
      <c r="EU23" s="497"/>
      <c r="EV23" s="497"/>
      <c r="EW23" s="497"/>
      <c r="EX23" s="497"/>
      <c r="EY23" s="497"/>
      <c r="EZ23" s="497"/>
      <c r="FA23" s="497"/>
      <c r="FB23" s="497"/>
      <c r="FC23" s="497"/>
      <c r="FD23" s="497"/>
      <c r="FE23" s="497"/>
      <c r="FF23" s="497"/>
      <c r="FG23" s="497"/>
      <c r="FH23" s="497"/>
      <c r="FI23" s="497"/>
      <c r="FJ23" s="497"/>
      <c r="FK23" s="497"/>
      <c r="FL23" s="497"/>
      <c r="FM23" s="497"/>
      <c r="FN23" s="497"/>
      <c r="FO23" s="497"/>
      <c r="FP23" s="497"/>
      <c r="FQ23" s="497"/>
      <c r="FR23" s="497"/>
      <c r="FS23" s="497"/>
      <c r="FT23" s="497"/>
      <c r="FU23" s="497"/>
      <c r="FV23" s="497"/>
      <c r="FW23" s="497"/>
      <c r="FX23" s="497"/>
      <c r="FY23" s="497"/>
      <c r="FZ23" s="497"/>
      <c r="GA23" s="497"/>
      <c r="GB23" s="497"/>
      <c r="GC23" s="497"/>
      <c r="GD23" s="497"/>
      <c r="GE23" s="497"/>
      <c r="GF23" s="497"/>
      <c r="GG23" s="497"/>
      <c r="GH23" s="497"/>
      <c r="GI23" s="497"/>
      <c r="GJ23" s="497"/>
      <c r="GK23" s="497"/>
      <c r="GL23" s="497"/>
      <c r="GM23" s="497"/>
      <c r="GN23" s="497"/>
      <c r="GO23" s="497"/>
      <c r="GP23" s="497"/>
      <c r="GQ23" s="497"/>
      <c r="GR23" s="497"/>
      <c r="GS23" s="497"/>
      <c r="GT23" s="497"/>
      <c r="GU23" s="497"/>
      <c r="GV23" s="497"/>
      <c r="GW23" s="497"/>
      <c r="GX23" s="497"/>
      <c r="GY23" s="497"/>
      <c r="GZ23" s="497"/>
      <c r="HA23" s="497"/>
      <c r="HB23" s="497"/>
      <c r="HC23" s="497"/>
      <c r="HD23" s="497"/>
      <c r="HE23" s="497"/>
      <c r="HF23" s="497"/>
      <c r="HG23" s="497"/>
      <c r="HH23" s="497"/>
      <c r="HI23" s="497"/>
      <c r="HJ23" s="497"/>
      <c r="HK23" s="497"/>
      <c r="HL23" s="497"/>
      <c r="HM23" s="497"/>
      <c r="HN23" s="497"/>
      <c r="HO23" s="497"/>
    </row>
    <row r="24" spans="1:29" ht="24.75" customHeight="1" thickTop="1">
      <c r="A24" s="411"/>
      <c r="B24" s="368"/>
      <c r="C24" s="392"/>
      <c r="D24" s="393"/>
      <c r="E24" s="393"/>
      <c r="F24" s="369"/>
      <c r="G24" s="371"/>
      <c r="H24" s="372"/>
      <c r="I24" s="372"/>
      <c r="J24" s="394"/>
      <c r="K24" s="1101">
        <f>SUM(J24:J27)</f>
        <v>0</v>
      </c>
      <c r="L24" s="1115" t="s">
        <v>109</v>
      </c>
      <c r="M24" s="1116"/>
      <c r="N24" s="1116"/>
      <c r="O24" s="1116"/>
      <c r="P24" s="331">
        <v>2000000</v>
      </c>
      <c r="Q24" s="1101">
        <f>SUM(P24:P27)</f>
        <v>63735594</v>
      </c>
      <c r="R24" s="1175" t="s">
        <v>750</v>
      </c>
      <c r="S24" s="1176"/>
      <c r="T24" s="1176"/>
      <c r="U24" s="1176"/>
      <c r="V24" s="504">
        <v>8000000</v>
      </c>
      <c r="W24" s="1250">
        <f>SUM(V24:V27)</f>
        <v>143956417</v>
      </c>
      <c r="X24" s="395"/>
      <c r="Y24" s="396"/>
      <c r="Z24" s="397"/>
      <c r="AA24" s="395"/>
      <c r="AB24" s="396"/>
      <c r="AC24" s="378"/>
    </row>
    <row r="25" spans="1:29" ht="24.75" customHeight="1">
      <c r="A25" s="411"/>
      <c r="B25" s="368"/>
      <c r="C25" s="392"/>
      <c r="D25" s="393"/>
      <c r="E25" s="368"/>
      <c r="F25" s="369"/>
      <c r="G25" s="371"/>
      <c r="H25" s="372"/>
      <c r="I25" s="372"/>
      <c r="J25" s="394"/>
      <c r="K25" s="1100"/>
      <c r="L25" s="1095" t="s">
        <v>816</v>
      </c>
      <c r="M25" s="1096"/>
      <c r="N25" s="1096"/>
      <c r="O25" s="1096"/>
      <c r="P25" s="331">
        <v>52411853</v>
      </c>
      <c r="Q25" s="1100"/>
      <c r="R25" s="1175" t="s">
        <v>1135</v>
      </c>
      <c r="S25" s="1176"/>
      <c r="T25" s="1176"/>
      <c r="U25" s="1176"/>
      <c r="V25" s="504">
        <f>117194+3110236+839764</f>
        <v>4067194</v>
      </c>
      <c r="W25" s="1120"/>
      <c r="X25" s="823"/>
      <c r="Y25" s="393"/>
      <c r="Z25" s="368"/>
      <c r="AA25" s="411"/>
      <c r="AB25" s="393"/>
      <c r="AC25" s="369"/>
    </row>
    <row r="26" spans="1:29" ht="24.75" customHeight="1">
      <c r="A26" s="411"/>
      <c r="B26" s="368"/>
      <c r="C26" s="392"/>
      <c r="D26" s="393"/>
      <c r="E26" s="368"/>
      <c r="F26" s="369"/>
      <c r="G26" s="371"/>
      <c r="H26" s="372"/>
      <c r="I26" s="372"/>
      <c r="J26" s="394"/>
      <c r="K26" s="1100"/>
      <c r="L26" s="1095" t="s">
        <v>1038</v>
      </c>
      <c r="M26" s="1096"/>
      <c r="N26" s="1096"/>
      <c r="O26" s="1096"/>
      <c r="P26" s="331">
        <v>3303941</v>
      </c>
      <c r="Q26" s="1100"/>
      <c r="R26" s="1115" t="s">
        <v>754</v>
      </c>
      <c r="S26" s="1116"/>
      <c r="T26" s="1116"/>
      <c r="U26" s="1116"/>
      <c r="V26" s="504">
        <f>130189368-4015200+55</f>
        <v>126174223</v>
      </c>
      <c r="W26" s="1120"/>
      <c r="X26" s="823"/>
      <c r="Y26" s="393"/>
      <c r="Z26" s="368"/>
      <c r="AA26" s="411"/>
      <c r="AB26" s="393"/>
      <c r="AC26" s="369"/>
    </row>
    <row r="27" spans="1:29" ht="25.5" customHeight="1" thickBot="1">
      <c r="A27" s="1137" t="s">
        <v>497</v>
      </c>
      <c r="B27" s="1127"/>
      <c r="C27" s="1128"/>
      <c r="D27" s="398">
        <f>SUM('6. kiadások megbontása'!G57)</f>
        <v>237482100</v>
      </c>
      <c r="E27" s="349">
        <f>SUM('6. kiadások megbontása'!H57)</f>
        <v>881951509</v>
      </c>
      <c r="F27" s="350">
        <f>SUM(D27:E27)</f>
        <v>1119433609</v>
      </c>
      <c r="G27" s="399"/>
      <c r="H27" s="333"/>
      <c r="I27" s="333"/>
      <c r="J27" s="360"/>
      <c r="K27" s="1109"/>
      <c r="L27" s="1095" t="s">
        <v>1130</v>
      </c>
      <c r="M27" s="1096"/>
      <c r="N27" s="1096"/>
      <c r="O27" s="1096"/>
      <c r="P27" s="331">
        <v>6019800</v>
      </c>
      <c r="Q27" s="1109"/>
      <c r="R27" s="1150" t="s">
        <v>751</v>
      </c>
      <c r="S27" s="1151"/>
      <c r="T27" s="1151"/>
      <c r="U27" s="1151"/>
      <c r="V27" s="503">
        <v>5715000</v>
      </c>
      <c r="W27" s="1251"/>
      <c r="X27" s="400">
        <f>SUM(W24,Q24,K24)</f>
        <v>207692011</v>
      </c>
      <c r="Y27" s="362">
        <f>SUM(Q28,W28,K28)</f>
        <v>894585233</v>
      </c>
      <c r="Z27" s="363">
        <f>SUM(X27:Y27)</f>
        <v>1102277244</v>
      </c>
      <c r="AA27" s="361">
        <f>X27-D27</f>
        <v>-29790089</v>
      </c>
      <c r="AB27" s="362">
        <f>Y27-E27</f>
        <v>12633724</v>
      </c>
      <c r="AC27" s="364">
        <f>SUM(AA27:AB27)</f>
        <v>-17156365</v>
      </c>
    </row>
    <row r="28" spans="1:29" ht="29.25" customHeight="1">
      <c r="A28" s="345"/>
      <c r="B28" s="346"/>
      <c r="C28" s="347"/>
      <c r="D28" s="398"/>
      <c r="E28" s="349"/>
      <c r="F28" s="350"/>
      <c r="G28" s="636"/>
      <c r="H28" s="637"/>
      <c r="I28" s="637"/>
      <c r="J28" s="373"/>
      <c r="K28" s="1099">
        <f>SUM(J28)</f>
        <v>0</v>
      </c>
      <c r="L28" s="1169" t="s">
        <v>953</v>
      </c>
      <c r="M28" s="1170"/>
      <c r="N28" s="1170"/>
      <c r="O28" s="1170"/>
      <c r="P28" s="753">
        <v>4990349</v>
      </c>
      <c r="Q28" s="1099">
        <f>SUM(P28:P32)</f>
        <v>18058791</v>
      </c>
      <c r="R28" s="1175" t="s">
        <v>749</v>
      </c>
      <c r="S28" s="1176"/>
      <c r="T28" s="1176"/>
      <c r="U28" s="1176"/>
      <c r="V28" s="505">
        <f>876526497-55</f>
        <v>876526442</v>
      </c>
      <c r="W28" s="1248">
        <f>SUM(V28:V32)</f>
        <v>876526442</v>
      </c>
      <c r="X28" s="401"/>
      <c r="Y28" s="362"/>
      <c r="Z28" s="363"/>
      <c r="AA28" s="361"/>
      <c r="AB28" s="362"/>
      <c r="AC28" s="364"/>
    </row>
    <row r="29" spans="1:29" ht="29.25" customHeight="1">
      <c r="A29" s="345"/>
      <c r="B29" s="346"/>
      <c r="C29" s="347"/>
      <c r="D29" s="398"/>
      <c r="E29" s="349"/>
      <c r="F29" s="350"/>
      <c r="G29" s="399"/>
      <c r="H29" s="333"/>
      <c r="I29" s="333"/>
      <c r="J29" s="360"/>
      <c r="K29" s="1100"/>
      <c r="L29" s="1095" t="s">
        <v>814</v>
      </c>
      <c r="M29" s="1096"/>
      <c r="N29" s="1096"/>
      <c r="O29" s="1096"/>
      <c r="P29" s="502">
        <v>9889960</v>
      </c>
      <c r="Q29" s="1100"/>
      <c r="R29" s="882"/>
      <c r="S29" s="804"/>
      <c r="T29" s="804"/>
      <c r="U29" s="804"/>
      <c r="V29" s="505"/>
      <c r="W29" s="1249"/>
      <c r="X29" s="401"/>
      <c r="Y29" s="362"/>
      <c r="Z29" s="363"/>
      <c r="AA29" s="361"/>
      <c r="AB29" s="362"/>
      <c r="AC29" s="364"/>
    </row>
    <row r="30" spans="1:29" ht="29.25" customHeight="1">
      <c r="A30" s="345"/>
      <c r="B30" s="346"/>
      <c r="C30" s="347"/>
      <c r="D30" s="398"/>
      <c r="E30" s="349"/>
      <c r="F30" s="350"/>
      <c r="G30" s="399"/>
      <c r="H30" s="333"/>
      <c r="I30" s="333"/>
      <c r="J30" s="360"/>
      <c r="K30" s="1100"/>
      <c r="L30" s="1095" t="s">
        <v>1038</v>
      </c>
      <c r="M30" s="1096"/>
      <c r="N30" s="1096"/>
      <c r="O30" s="1096"/>
      <c r="P30" s="331">
        <v>779383</v>
      </c>
      <c r="Q30" s="1100"/>
      <c r="R30" s="882"/>
      <c r="S30" s="804"/>
      <c r="T30" s="804"/>
      <c r="U30" s="804"/>
      <c r="V30" s="505"/>
      <c r="W30" s="1249"/>
      <c r="X30" s="401"/>
      <c r="Y30" s="362"/>
      <c r="Z30" s="363"/>
      <c r="AA30" s="361"/>
      <c r="AB30" s="362"/>
      <c r="AC30" s="364"/>
    </row>
    <row r="31" spans="1:29" ht="29.25" customHeight="1">
      <c r="A31" s="345"/>
      <c r="B31" s="346"/>
      <c r="C31" s="347"/>
      <c r="D31" s="398"/>
      <c r="E31" s="349"/>
      <c r="F31" s="350"/>
      <c r="G31" s="399"/>
      <c r="H31" s="333"/>
      <c r="I31" s="333"/>
      <c r="J31" s="360"/>
      <c r="K31" s="1100"/>
      <c r="L31" s="1095" t="s">
        <v>1080</v>
      </c>
      <c r="M31" s="1096"/>
      <c r="N31" s="1096"/>
      <c r="O31" s="1096"/>
      <c r="P31" s="331">
        <v>1499099</v>
      </c>
      <c r="Q31" s="1100"/>
      <c r="R31" s="882"/>
      <c r="S31" s="804"/>
      <c r="T31" s="804"/>
      <c r="U31" s="804"/>
      <c r="V31" s="505"/>
      <c r="W31" s="1249"/>
      <c r="X31" s="401"/>
      <c r="Y31" s="362"/>
      <c r="Z31" s="363"/>
      <c r="AA31" s="361"/>
      <c r="AB31" s="362"/>
      <c r="AC31" s="364"/>
    </row>
    <row r="32" spans="1:29" ht="25.5" customHeight="1" thickBot="1">
      <c r="A32" s="345"/>
      <c r="B32" s="346"/>
      <c r="C32" s="347"/>
      <c r="D32" s="398"/>
      <c r="E32" s="349"/>
      <c r="F32" s="350"/>
      <c r="G32" s="399"/>
      <c r="H32" s="333"/>
      <c r="I32" s="333"/>
      <c r="J32" s="360"/>
      <c r="K32" s="1100"/>
      <c r="L32" s="1150" t="s">
        <v>1043</v>
      </c>
      <c r="M32" s="1151"/>
      <c r="N32" s="1151"/>
      <c r="O32" s="1151"/>
      <c r="P32" s="680">
        <v>900000</v>
      </c>
      <c r="Q32" s="1100"/>
      <c r="R32" s="478"/>
      <c r="S32" s="635"/>
      <c r="T32" s="635"/>
      <c r="U32" s="635"/>
      <c r="V32" s="504"/>
      <c r="W32" s="1249"/>
      <c r="X32" s="401"/>
      <c r="Y32" s="362"/>
      <c r="Z32" s="363"/>
      <c r="AA32" s="361"/>
      <c r="AB32" s="362"/>
      <c r="AC32" s="364"/>
    </row>
    <row r="33" spans="1:223" s="477" customFormat="1" ht="25.5" customHeight="1" thickBot="1">
      <c r="A33" s="1241" t="s">
        <v>94</v>
      </c>
      <c r="B33" s="1242"/>
      <c r="C33" s="1243"/>
      <c r="D33" s="757">
        <f>SUM(D9:D32)</f>
        <v>891449077</v>
      </c>
      <c r="E33" s="758">
        <f>SUM(E8:E32)</f>
        <v>1262340625</v>
      </c>
      <c r="F33" s="759">
        <f>SUM(F8:F32)</f>
        <v>2153789702</v>
      </c>
      <c r="G33" s="492"/>
      <c r="H33" s="1134" t="s">
        <v>95</v>
      </c>
      <c r="I33" s="1135"/>
      <c r="J33" s="1136"/>
      <c r="K33" s="791">
        <f>SUM(K8:K32)</f>
        <v>210220769</v>
      </c>
      <c r="L33" s="490"/>
      <c r="M33" s="1117" t="s">
        <v>96</v>
      </c>
      <c r="N33" s="1117"/>
      <c r="O33" s="1117"/>
      <c r="P33" s="1118"/>
      <c r="Q33" s="791">
        <f>SUM(Q8:Q32)</f>
        <v>209456531</v>
      </c>
      <c r="R33" s="490"/>
      <c r="S33" s="1117" t="s">
        <v>97</v>
      </c>
      <c r="T33" s="1117"/>
      <c r="U33" s="1117"/>
      <c r="V33" s="1118"/>
      <c r="W33" s="791">
        <f>SUM(W8:W32)</f>
        <v>1793394019</v>
      </c>
      <c r="X33" s="792">
        <f>SUM(X8:X32)</f>
        <v>898899194</v>
      </c>
      <c r="Y33" s="764">
        <f>SUM(Y8:Y32)</f>
        <v>1314172125</v>
      </c>
      <c r="Z33" s="765">
        <f>SUM(X33:Y33)</f>
        <v>2213071319</v>
      </c>
      <c r="AA33" s="766">
        <f>SUM(AA14:AA32)</f>
        <v>7450117</v>
      </c>
      <c r="AB33" s="767">
        <f>SUM(AB10:AB32)</f>
        <v>51831500</v>
      </c>
      <c r="AC33" s="793">
        <f>SUM(AA33:AB33)</f>
        <v>59281617</v>
      </c>
      <c r="AD33" s="497"/>
      <c r="AE33" s="497"/>
      <c r="AF33" s="497"/>
      <c r="AG33" s="497"/>
      <c r="AH33" s="497"/>
      <c r="AI33" s="497"/>
      <c r="AJ33" s="497"/>
      <c r="AK33" s="497"/>
      <c r="AL33" s="497"/>
      <c r="AM33" s="497"/>
      <c r="AN33" s="497"/>
      <c r="AO33" s="497"/>
      <c r="AP33" s="497"/>
      <c r="AQ33" s="497"/>
      <c r="AR33" s="497"/>
      <c r="AS33" s="497"/>
      <c r="AT33" s="497"/>
      <c r="AU33" s="497"/>
      <c r="AV33" s="497"/>
      <c r="AW33" s="497"/>
      <c r="AX33" s="497"/>
      <c r="AY33" s="497"/>
      <c r="AZ33" s="497"/>
      <c r="BA33" s="497"/>
      <c r="BB33" s="497"/>
      <c r="BC33" s="497"/>
      <c r="BD33" s="497"/>
      <c r="BE33" s="497"/>
      <c r="BF33" s="497"/>
      <c r="BG33" s="497"/>
      <c r="BH33" s="497"/>
      <c r="BI33" s="497"/>
      <c r="BJ33" s="497"/>
      <c r="BK33" s="497"/>
      <c r="BL33" s="497"/>
      <c r="BM33" s="497"/>
      <c r="BN33" s="497"/>
      <c r="BO33" s="497"/>
      <c r="BP33" s="497"/>
      <c r="BQ33" s="497"/>
      <c r="BR33" s="497"/>
      <c r="BS33" s="497"/>
      <c r="BT33" s="497"/>
      <c r="BU33" s="497"/>
      <c r="BV33" s="497"/>
      <c r="BW33" s="497"/>
      <c r="BX33" s="497"/>
      <c r="BY33" s="497"/>
      <c r="BZ33" s="497"/>
      <c r="CA33" s="497"/>
      <c r="CB33" s="497"/>
      <c r="CC33" s="497"/>
      <c r="CD33" s="497"/>
      <c r="CE33" s="497"/>
      <c r="CF33" s="497"/>
      <c r="CG33" s="497"/>
      <c r="CH33" s="497"/>
      <c r="CI33" s="497"/>
      <c r="CJ33" s="497"/>
      <c r="CK33" s="497"/>
      <c r="CL33" s="497"/>
      <c r="CM33" s="497"/>
      <c r="CN33" s="497"/>
      <c r="CO33" s="497"/>
      <c r="CP33" s="497"/>
      <c r="CQ33" s="497"/>
      <c r="CR33" s="497"/>
      <c r="CS33" s="497"/>
      <c r="CT33" s="497"/>
      <c r="CU33" s="497"/>
      <c r="CV33" s="497"/>
      <c r="CW33" s="497"/>
      <c r="CX33" s="497"/>
      <c r="CY33" s="497"/>
      <c r="CZ33" s="497"/>
      <c r="DA33" s="497"/>
      <c r="DB33" s="497"/>
      <c r="DC33" s="497"/>
      <c r="DD33" s="497"/>
      <c r="DE33" s="497"/>
      <c r="DF33" s="497"/>
      <c r="DG33" s="497"/>
      <c r="DH33" s="497"/>
      <c r="DI33" s="497"/>
      <c r="DJ33" s="497"/>
      <c r="DK33" s="497"/>
      <c r="DL33" s="497"/>
      <c r="DM33" s="497"/>
      <c r="DN33" s="497"/>
      <c r="DO33" s="497"/>
      <c r="DP33" s="497"/>
      <c r="DQ33" s="497"/>
      <c r="DR33" s="497"/>
      <c r="DS33" s="497"/>
      <c r="DT33" s="497"/>
      <c r="DU33" s="497"/>
      <c r="DV33" s="497"/>
      <c r="DW33" s="497"/>
      <c r="DX33" s="497"/>
      <c r="DY33" s="497"/>
      <c r="DZ33" s="497"/>
      <c r="EA33" s="497"/>
      <c r="EB33" s="497"/>
      <c r="EC33" s="497"/>
      <c r="ED33" s="497"/>
      <c r="EE33" s="497"/>
      <c r="EF33" s="497"/>
      <c r="EG33" s="497"/>
      <c r="EH33" s="497"/>
      <c r="EI33" s="497"/>
      <c r="EJ33" s="497"/>
      <c r="EK33" s="497"/>
      <c r="EL33" s="497"/>
      <c r="EM33" s="497"/>
      <c r="EN33" s="497"/>
      <c r="EO33" s="497"/>
      <c r="EP33" s="497"/>
      <c r="EQ33" s="497"/>
      <c r="ER33" s="497"/>
      <c r="ES33" s="497"/>
      <c r="ET33" s="497"/>
      <c r="EU33" s="497"/>
      <c r="EV33" s="497"/>
      <c r="EW33" s="497"/>
      <c r="EX33" s="497"/>
      <c r="EY33" s="497"/>
      <c r="EZ33" s="497"/>
      <c r="FA33" s="497"/>
      <c r="FB33" s="497"/>
      <c r="FC33" s="497"/>
      <c r="FD33" s="497"/>
      <c r="FE33" s="497"/>
      <c r="FF33" s="497"/>
      <c r="FG33" s="497"/>
      <c r="FH33" s="497"/>
      <c r="FI33" s="497"/>
      <c r="FJ33" s="497"/>
      <c r="FK33" s="497"/>
      <c r="FL33" s="497"/>
      <c r="FM33" s="497"/>
      <c r="FN33" s="497"/>
      <c r="FO33" s="497"/>
      <c r="FP33" s="497"/>
      <c r="FQ33" s="497"/>
      <c r="FR33" s="497"/>
      <c r="FS33" s="497"/>
      <c r="FT33" s="497"/>
      <c r="FU33" s="497"/>
      <c r="FV33" s="497"/>
      <c r="FW33" s="497"/>
      <c r="FX33" s="497"/>
      <c r="FY33" s="497"/>
      <c r="FZ33" s="497"/>
      <c r="GA33" s="497"/>
      <c r="GB33" s="497"/>
      <c r="GC33" s="497"/>
      <c r="GD33" s="497"/>
      <c r="GE33" s="497"/>
      <c r="GF33" s="497"/>
      <c r="GG33" s="497"/>
      <c r="GH33" s="497"/>
      <c r="GI33" s="497"/>
      <c r="GJ33" s="497"/>
      <c r="GK33" s="497"/>
      <c r="GL33" s="497"/>
      <c r="GM33" s="497"/>
      <c r="GN33" s="497"/>
      <c r="GO33" s="497"/>
      <c r="GP33" s="497"/>
      <c r="GQ33" s="497"/>
      <c r="GR33" s="497"/>
      <c r="GS33" s="497"/>
      <c r="GT33" s="497"/>
      <c r="GU33" s="497"/>
      <c r="GV33" s="497"/>
      <c r="GW33" s="497"/>
      <c r="GX33" s="497"/>
      <c r="GY33" s="497"/>
      <c r="GZ33" s="497"/>
      <c r="HA33" s="497"/>
      <c r="HB33" s="497"/>
      <c r="HC33" s="497"/>
      <c r="HD33" s="497"/>
      <c r="HE33" s="497"/>
      <c r="HF33" s="497"/>
      <c r="HG33" s="497"/>
      <c r="HH33" s="497"/>
      <c r="HI33" s="497"/>
      <c r="HJ33" s="497"/>
      <c r="HK33" s="497"/>
      <c r="HL33" s="497"/>
      <c r="HM33" s="497"/>
      <c r="HN33" s="497"/>
      <c r="HO33" s="497"/>
    </row>
    <row r="34" spans="1:29" ht="27.75" customHeight="1" thickBot="1" thickTop="1">
      <c r="A34" s="1146" t="s">
        <v>1098</v>
      </c>
      <c r="B34" s="1155"/>
      <c r="C34" s="1156"/>
      <c r="D34" s="1152" t="s">
        <v>368</v>
      </c>
      <c r="E34" s="1153"/>
      <c r="F34" s="1154"/>
      <c r="G34" s="1164" t="s">
        <v>519</v>
      </c>
      <c r="H34" s="1153"/>
      <c r="I34" s="1153"/>
      <c r="J34" s="1153"/>
      <c r="K34" s="1162"/>
      <c r="L34" s="1140" t="s">
        <v>520</v>
      </c>
      <c r="M34" s="1153"/>
      <c r="N34" s="1153"/>
      <c r="O34" s="1153"/>
      <c r="P34" s="1153"/>
      <c r="Q34" s="1162"/>
      <c r="R34" s="1140" t="s">
        <v>521</v>
      </c>
      <c r="S34" s="1153"/>
      <c r="T34" s="1153"/>
      <c r="U34" s="1153"/>
      <c r="V34" s="1153"/>
      <c r="W34" s="1154"/>
      <c r="X34" s="1113" t="s">
        <v>522</v>
      </c>
      <c r="Y34" s="1114"/>
      <c r="Z34" s="1114"/>
      <c r="AA34" s="1110" t="s">
        <v>88</v>
      </c>
      <c r="AB34" s="1111"/>
      <c r="AC34" s="1112"/>
    </row>
    <row r="35" spans="1:223" s="407" customFormat="1" ht="18.75" customHeight="1" thickBot="1" thickTop="1">
      <c r="A35" s="1157"/>
      <c r="B35" s="1158"/>
      <c r="C35" s="1159"/>
      <c r="D35" s="473" t="s">
        <v>89</v>
      </c>
      <c r="E35" s="790" t="s">
        <v>85</v>
      </c>
      <c r="F35" s="325" t="s">
        <v>90</v>
      </c>
      <c r="G35" s="1165"/>
      <c r="H35" s="1161"/>
      <c r="I35" s="1161"/>
      <c r="J35" s="1166"/>
      <c r="K35" s="1163"/>
      <c r="L35" s="1160"/>
      <c r="M35" s="1161"/>
      <c r="N35" s="1161"/>
      <c r="O35" s="1161"/>
      <c r="P35" s="1161"/>
      <c r="Q35" s="1163"/>
      <c r="R35" s="1160"/>
      <c r="S35" s="1161"/>
      <c r="T35" s="1161"/>
      <c r="U35" s="1161"/>
      <c r="V35" s="1161"/>
      <c r="W35" s="1238"/>
      <c r="X35" s="775" t="s">
        <v>89</v>
      </c>
      <c r="Y35" s="778" t="s">
        <v>85</v>
      </c>
      <c r="Z35" s="325" t="s">
        <v>90</v>
      </c>
      <c r="AA35" s="769" t="s">
        <v>89</v>
      </c>
      <c r="AB35" s="473" t="s">
        <v>85</v>
      </c>
      <c r="AC35" s="325" t="s">
        <v>90</v>
      </c>
      <c r="AD35" s="322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22"/>
      <c r="AS35" s="322"/>
      <c r="AT35" s="322"/>
      <c r="AU35" s="322"/>
      <c r="AV35" s="322"/>
      <c r="AW35" s="322"/>
      <c r="AX35" s="322"/>
      <c r="AY35" s="322"/>
      <c r="AZ35" s="322"/>
      <c r="BA35" s="322"/>
      <c r="BB35" s="322"/>
      <c r="BC35" s="322"/>
      <c r="BD35" s="322"/>
      <c r="BE35" s="322"/>
      <c r="BF35" s="322"/>
      <c r="BG35" s="322"/>
      <c r="BH35" s="322"/>
      <c r="BI35" s="322"/>
      <c r="BJ35" s="322"/>
      <c r="BK35" s="322"/>
      <c r="BL35" s="322"/>
      <c r="BM35" s="322"/>
      <c r="BN35" s="322"/>
      <c r="BO35" s="322"/>
      <c r="BP35" s="322"/>
      <c r="BQ35" s="322"/>
      <c r="BR35" s="322"/>
      <c r="BS35" s="322"/>
      <c r="BT35" s="322"/>
      <c r="BU35" s="322"/>
      <c r="BV35" s="322"/>
      <c r="BW35" s="322"/>
      <c r="BX35" s="322"/>
      <c r="BY35" s="322"/>
      <c r="BZ35" s="322"/>
      <c r="CA35" s="322"/>
      <c r="CB35" s="322"/>
      <c r="CC35" s="322"/>
      <c r="CD35" s="322"/>
      <c r="CE35" s="322"/>
      <c r="CF35" s="322"/>
      <c r="CG35" s="322"/>
      <c r="CH35" s="322"/>
      <c r="CI35" s="322"/>
      <c r="CJ35" s="322"/>
      <c r="CK35" s="322"/>
      <c r="CL35" s="322"/>
      <c r="CM35" s="322"/>
      <c r="CN35" s="322"/>
      <c r="CO35" s="322"/>
      <c r="CP35" s="322"/>
      <c r="CQ35" s="322"/>
      <c r="CR35" s="322"/>
      <c r="CS35" s="322"/>
      <c r="CT35" s="322"/>
      <c r="CU35" s="322"/>
      <c r="CV35" s="322"/>
      <c r="CW35" s="322"/>
      <c r="CX35" s="322"/>
      <c r="CY35" s="322"/>
      <c r="CZ35" s="322"/>
      <c r="DA35" s="322"/>
      <c r="DB35" s="322"/>
      <c r="DC35" s="322"/>
      <c r="DD35" s="322"/>
      <c r="DE35" s="322"/>
      <c r="DF35" s="322"/>
      <c r="DG35" s="322"/>
      <c r="DH35" s="322"/>
      <c r="DI35" s="322"/>
      <c r="DJ35" s="322"/>
      <c r="DK35" s="322"/>
      <c r="DL35" s="322"/>
      <c r="DM35" s="322"/>
      <c r="DN35" s="322"/>
      <c r="DO35" s="322"/>
      <c r="DP35" s="322"/>
      <c r="DQ35" s="322"/>
      <c r="DR35" s="322"/>
      <c r="DS35" s="322"/>
      <c r="DT35" s="322"/>
      <c r="DU35" s="322"/>
      <c r="DV35" s="322"/>
      <c r="DW35" s="322"/>
      <c r="DX35" s="322"/>
      <c r="DY35" s="322"/>
      <c r="DZ35" s="322"/>
      <c r="EA35" s="322"/>
      <c r="EB35" s="322"/>
      <c r="EC35" s="322"/>
      <c r="ED35" s="322"/>
      <c r="EE35" s="322"/>
      <c r="EF35" s="322"/>
      <c r="EG35" s="322"/>
      <c r="EH35" s="322"/>
      <c r="EI35" s="322"/>
      <c r="EJ35" s="322"/>
      <c r="EK35" s="322"/>
      <c r="EL35" s="322"/>
      <c r="EM35" s="322"/>
      <c r="EN35" s="322"/>
      <c r="EO35" s="322"/>
      <c r="EP35" s="322"/>
      <c r="EQ35" s="322"/>
      <c r="ER35" s="322"/>
      <c r="ES35" s="322"/>
      <c r="ET35" s="322"/>
      <c r="EU35" s="322"/>
      <c r="EV35" s="322"/>
      <c r="EW35" s="322"/>
      <c r="EX35" s="322"/>
      <c r="EY35" s="322"/>
      <c r="EZ35" s="322"/>
      <c r="FA35" s="322"/>
      <c r="FB35" s="322"/>
      <c r="FC35" s="322"/>
      <c r="FD35" s="322"/>
      <c r="FE35" s="322"/>
      <c r="FF35" s="322"/>
      <c r="FG35" s="322"/>
      <c r="FH35" s="322"/>
      <c r="FI35" s="322"/>
      <c r="FJ35" s="322"/>
      <c r="FK35" s="322"/>
      <c r="FL35" s="322"/>
      <c r="FM35" s="322"/>
      <c r="FN35" s="322"/>
      <c r="FO35" s="322"/>
      <c r="FP35" s="322"/>
      <c r="FQ35" s="322"/>
      <c r="FR35" s="322"/>
      <c r="FS35" s="322"/>
      <c r="FT35" s="322"/>
      <c r="FU35" s="322"/>
      <c r="FV35" s="322"/>
      <c r="FW35" s="322"/>
      <c r="FX35" s="322"/>
      <c r="FY35" s="322"/>
      <c r="FZ35" s="322"/>
      <c r="GA35" s="322"/>
      <c r="GB35" s="322"/>
      <c r="GC35" s="322"/>
      <c r="GD35" s="322"/>
      <c r="GE35" s="322"/>
      <c r="GF35" s="322"/>
      <c r="GG35" s="322"/>
      <c r="GH35" s="322"/>
      <c r="GI35" s="322"/>
      <c r="GJ35" s="322"/>
      <c r="GK35" s="322"/>
      <c r="GL35" s="322"/>
      <c r="GM35" s="322"/>
      <c r="GN35" s="322"/>
      <c r="GO35" s="322"/>
      <c r="GP35" s="322"/>
      <c r="GQ35" s="322"/>
      <c r="GR35" s="322"/>
      <c r="GS35" s="322"/>
      <c r="GT35" s="322"/>
      <c r="GU35" s="322"/>
      <c r="GV35" s="322"/>
      <c r="GW35" s="322"/>
      <c r="GX35" s="322"/>
      <c r="GY35" s="322"/>
      <c r="GZ35" s="322"/>
      <c r="HA35" s="322"/>
      <c r="HB35" s="322"/>
      <c r="HC35" s="322"/>
      <c r="HD35" s="322"/>
      <c r="HE35" s="322"/>
      <c r="HF35" s="322"/>
      <c r="HG35" s="322"/>
      <c r="HH35" s="322"/>
      <c r="HI35" s="322"/>
      <c r="HJ35" s="322"/>
      <c r="HK35" s="322"/>
      <c r="HL35" s="322"/>
      <c r="HM35" s="322"/>
      <c r="HN35" s="322"/>
      <c r="HO35" s="322"/>
    </row>
    <row r="36" spans="1:29" ht="12.75" customHeight="1">
      <c r="A36" s="326"/>
      <c r="B36" s="368"/>
      <c r="C36" s="368"/>
      <c r="D36" s="393"/>
      <c r="E36" s="368"/>
      <c r="F36" s="330"/>
      <c r="G36" s="1230" t="s">
        <v>477</v>
      </c>
      <c r="H36" s="1211"/>
      <c r="I36" s="1211"/>
      <c r="J36" s="1231">
        <f>119812800+3401000</f>
        <v>123213800</v>
      </c>
      <c r="K36" s="1229">
        <f>SUM(J36:J39)</f>
        <v>133950619</v>
      </c>
      <c r="L36" s="1216" t="s">
        <v>748</v>
      </c>
      <c r="M36" s="1217"/>
      <c r="N36" s="1217"/>
      <c r="O36" s="1217"/>
      <c r="P36" s="1121">
        <f>7430000-7430000</f>
        <v>0</v>
      </c>
      <c r="Q36" s="1099">
        <f>SUM(P36:P39)</f>
        <v>4598901</v>
      </c>
      <c r="R36" s="1210" t="s">
        <v>841</v>
      </c>
      <c r="S36" s="1211"/>
      <c r="T36" s="1211"/>
      <c r="U36" s="1211"/>
      <c r="V36" s="1121">
        <v>250000</v>
      </c>
      <c r="W36" s="1180">
        <f>SUM(V36:V39)</f>
        <v>8587068</v>
      </c>
      <c r="X36" s="408"/>
      <c r="Y36" s="409"/>
      <c r="Z36" s="410"/>
      <c r="AA36" s="326"/>
      <c r="AB36" s="343"/>
      <c r="AC36" s="344"/>
    </row>
    <row r="37" spans="1:29" ht="12.75" customHeight="1">
      <c r="A37" s="411"/>
      <c r="B37" s="366"/>
      <c r="C37" s="366"/>
      <c r="D37" s="412"/>
      <c r="E37" s="368"/>
      <c r="F37" s="369"/>
      <c r="G37" s="1215"/>
      <c r="H37" s="1116"/>
      <c r="I37" s="1116"/>
      <c r="J37" s="1232"/>
      <c r="K37" s="1100"/>
      <c r="L37" s="1175"/>
      <c r="M37" s="1176"/>
      <c r="N37" s="1176"/>
      <c r="O37" s="1176"/>
      <c r="P37" s="1122"/>
      <c r="Q37" s="1100"/>
      <c r="R37" s="1115"/>
      <c r="S37" s="1116"/>
      <c r="T37" s="1116"/>
      <c r="U37" s="1116"/>
      <c r="V37" s="1122"/>
      <c r="W37" s="1181"/>
      <c r="X37" s="413"/>
      <c r="Y37" s="352"/>
      <c r="Z37" s="342"/>
      <c r="AA37" s="353"/>
      <c r="AB37" s="354"/>
      <c r="AC37" s="355"/>
    </row>
    <row r="38" spans="1:29" ht="24.75" customHeight="1">
      <c r="A38" s="411"/>
      <c r="B38" s="1127" t="s">
        <v>496</v>
      </c>
      <c r="C38" s="1128"/>
      <c r="D38" s="398">
        <f>SUM('6. kiadások megbontása'!D65)</f>
        <v>153225544</v>
      </c>
      <c r="E38" s="349">
        <f>SUM('6. kiadások megbontása'!E65)</f>
        <v>1016000</v>
      </c>
      <c r="F38" s="350">
        <f>SUM(D38:E38)</f>
        <v>154241544</v>
      </c>
      <c r="G38" s="1215" t="s">
        <v>1039</v>
      </c>
      <c r="H38" s="1116"/>
      <c r="I38" s="1116"/>
      <c r="J38" s="483">
        <f>33819+239000</f>
        <v>272819</v>
      </c>
      <c r="K38" s="1100"/>
      <c r="L38" s="1265" t="s">
        <v>1044</v>
      </c>
      <c r="M38" s="1266"/>
      <c r="N38" s="1266"/>
      <c r="O38" s="1266"/>
      <c r="P38" s="502">
        <f>1960719+47334</f>
        <v>2008053</v>
      </c>
      <c r="Q38" s="1100"/>
      <c r="R38" s="1115" t="s">
        <v>524</v>
      </c>
      <c r="S38" s="1116"/>
      <c r="T38" s="1116"/>
      <c r="U38" s="1116"/>
      <c r="V38" s="500">
        <v>6799209</v>
      </c>
      <c r="W38" s="1181"/>
      <c r="X38" s="413">
        <f>SUM(W36,Q36,K36)</f>
        <v>147136588</v>
      </c>
      <c r="Y38" s="352">
        <v>0</v>
      </c>
      <c r="Z38" s="363">
        <f>SUM(Y38,X38)</f>
        <v>147136588</v>
      </c>
      <c r="AA38" s="361">
        <f>X38-D38</f>
        <v>-6088956</v>
      </c>
      <c r="AB38" s="362">
        <f>Y38-E38</f>
        <v>-1016000</v>
      </c>
      <c r="AC38" s="355">
        <f>SUM(AA38:AB38)</f>
        <v>-7104956</v>
      </c>
    </row>
    <row r="39" spans="1:29" ht="36.75" customHeight="1">
      <c r="A39" s="411"/>
      <c r="B39" s="346"/>
      <c r="C39" s="346"/>
      <c r="D39" s="398"/>
      <c r="E39" s="349"/>
      <c r="F39" s="350"/>
      <c r="G39" s="1167" t="s">
        <v>1042</v>
      </c>
      <c r="H39" s="1104"/>
      <c r="I39" s="1104"/>
      <c r="J39" s="883">
        <v>10464000</v>
      </c>
      <c r="K39" s="1100"/>
      <c r="L39" s="1269" t="s">
        <v>1095</v>
      </c>
      <c r="M39" s="1270"/>
      <c r="N39" s="1270"/>
      <c r="O39" s="1270"/>
      <c r="P39" s="502">
        <f>2156000+434848</f>
        <v>2590848</v>
      </c>
      <c r="Q39" s="1100"/>
      <c r="R39" s="1267" t="s">
        <v>754</v>
      </c>
      <c r="S39" s="1268"/>
      <c r="T39" s="1268"/>
      <c r="U39" s="1268"/>
      <c r="V39" s="980">
        <v>1537859</v>
      </c>
      <c r="W39" s="1181"/>
      <c r="X39" s="413"/>
      <c r="Y39" s="352"/>
      <c r="Z39" s="363"/>
      <c r="AA39" s="361"/>
      <c r="AB39" s="362"/>
      <c r="AC39" s="355"/>
    </row>
    <row r="40" spans="1:29" ht="20.25" customHeight="1" thickBot="1">
      <c r="A40" s="1233" t="s">
        <v>497</v>
      </c>
      <c r="B40" s="1234"/>
      <c r="C40" s="1235"/>
      <c r="D40" s="821">
        <f>'6. kiadások megbontása'!G65</f>
        <v>9632703</v>
      </c>
      <c r="E40" s="810"/>
      <c r="F40" s="822">
        <f>SUM(D40:E40)</f>
        <v>9632703</v>
      </c>
      <c r="G40" s="811"/>
      <c r="H40" s="811"/>
      <c r="I40" s="811"/>
      <c r="J40" s="812"/>
      <c r="K40" s="813"/>
      <c r="L40" s="814"/>
      <c r="M40" s="815"/>
      <c r="N40" s="815"/>
      <c r="O40" s="815"/>
      <c r="P40" s="816"/>
      <c r="Q40" s="813"/>
      <c r="R40" s="1123" t="s">
        <v>754</v>
      </c>
      <c r="S40" s="1124"/>
      <c r="T40" s="1124"/>
      <c r="U40" s="1124"/>
      <c r="V40" s="979">
        <f>4015200+403910</f>
        <v>4419110</v>
      </c>
      <c r="W40" s="817">
        <f>SUM(V40)</f>
        <v>4419110</v>
      </c>
      <c r="X40" s="818">
        <f>SUM(W40)</f>
        <v>4419110</v>
      </c>
      <c r="Y40" s="819"/>
      <c r="Z40" s="899">
        <f>SUM(Y40,X40)</f>
        <v>4419110</v>
      </c>
      <c r="AA40" s="900">
        <f>X40-D40</f>
        <v>-5213593</v>
      </c>
      <c r="AB40" s="901">
        <f>Y40-E40</f>
        <v>0</v>
      </c>
      <c r="AC40" s="820">
        <f>SUM(AA40:AB40)</f>
        <v>-5213593</v>
      </c>
    </row>
    <row r="41" spans="1:29" ht="16.5" thickBot="1">
      <c r="A41" s="1223" t="s">
        <v>1099</v>
      </c>
      <c r="B41" s="1224"/>
      <c r="C41" s="1225"/>
      <c r="D41" s="481">
        <f>SUM(D36:D40)</f>
        <v>162858247</v>
      </c>
      <c r="E41" s="481">
        <f>SUM(E36:E40)</f>
        <v>1016000</v>
      </c>
      <c r="F41" s="481">
        <f>SUM(F36:F40)</f>
        <v>163874247</v>
      </c>
      <c r="G41" s="484"/>
      <c r="H41" s="1226" t="s">
        <v>95</v>
      </c>
      <c r="I41" s="1227"/>
      <c r="J41" s="1228"/>
      <c r="K41" s="485">
        <f>SUM(K36:K39)</f>
        <v>133950619</v>
      </c>
      <c r="L41" s="402"/>
      <c r="M41" s="1097" t="s">
        <v>96</v>
      </c>
      <c r="N41" s="1097"/>
      <c r="O41" s="1097"/>
      <c r="P41" s="1098"/>
      <c r="Q41" s="485">
        <f>SUM(Q36:Q39)</f>
        <v>4598901</v>
      </c>
      <c r="R41" s="449"/>
      <c r="S41" s="1097" t="s">
        <v>97</v>
      </c>
      <c r="T41" s="1097"/>
      <c r="U41" s="1097"/>
      <c r="V41" s="1098"/>
      <c r="W41" s="486">
        <f>SUM(W36:W40)</f>
        <v>13006178</v>
      </c>
      <c r="X41" s="487">
        <f>SUM(X36:X40)</f>
        <v>151555698</v>
      </c>
      <c r="Y41" s="403">
        <v>0</v>
      </c>
      <c r="Z41" s="404">
        <f>SUM(X41:Y41)</f>
        <v>151555698</v>
      </c>
      <c r="AA41" s="405">
        <f>X41-D41</f>
        <v>-11302549</v>
      </c>
      <c r="AB41" s="406">
        <f>Y41-E41</f>
        <v>-1016000</v>
      </c>
      <c r="AC41" s="488">
        <f>SUM(AA41:AB41)</f>
        <v>-12318549</v>
      </c>
    </row>
    <row r="42" spans="1:29" ht="27.75" customHeight="1" thickBot="1" thickTop="1">
      <c r="A42" s="1146" t="s">
        <v>838</v>
      </c>
      <c r="B42" s="1155"/>
      <c r="C42" s="1156"/>
      <c r="D42" s="1152" t="s">
        <v>368</v>
      </c>
      <c r="E42" s="1153"/>
      <c r="F42" s="1154"/>
      <c r="G42" s="1164" t="s">
        <v>519</v>
      </c>
      <c r="H42" s="1153"/>
      <c r="I42" s="1153"/>
      <c r="J42" s="1153"/>
      <c r="K42" s="1162"/>
      <c r="L42" s="1140" t="s">
        <v>520</v>
      </c>
      <c r="M42" s="1153"/>
      <c r="N42" s="1153"/>
      <c r="O42" s="1153"/>
      <c r="P42" s="1153"/>
      <c r="Q42" s="1162"/>
      <c r="R42" s="1140" t="s">
        <v>521</v>
      </c>
      <c r="S42" s="1153"/>
      <c r="T42" s="1153"/>
      <c r="U42" s="1153"/>
      <c r="V42" s="1153"/>
      <c r="W42" s="1154"/>
      <c r="X42" s="1113" t="s">
        <v>522</v>
      </c>
      <c r="Y42" s="1114"/>
      <c r="Z42" s="1114"/>
      <c r="AA42" s="1110" t="s">
        <v>88</v>
      </c>
      <c r="AB42" s="1111"/>
      <c r="AC42" s="1112"/>
    </row>
    <row r="43" spans="1:223" s="407" customFormat="1" ht="18.75" customHeight="1" thickBot="1" thickTop="1">
      <c r="A43" s="1157"/>
      <c r="B43" s="1158"/>
      <c r="C43" s="1159"/>
      <c r="D43" s="473" t="s">
        <v>89</v>
      </c>
      <c r="E43" s="790" t="s">
        <v>85</v>
      </c>
      <c r="F43" s="325" t="s">
        <v>90</v>
      </c>
      <c r="G43" s="1165"/>
      <c r="H43" s="1161"/>
      <c r="I43" s="1161"/>
      <c r="J43" s="1166"/>
      <c r="K43" s="1163"/>
      <c r="L43" s="1160"/>
      <c r="M43" s="1161"/>
      <c r="N43" s="1161"/>
      <c r="O43" s="1161"/>
      <c r="P43" s="1161"/>
      <c r="Q43" s="1163"/>
      <c r="R43" s="1160"/>
      <c r="S43" s="1161"/>
      <c r="T43" s="1161"/>
      <c r="U43" s="1161"/>
      <c r="V43" s="1161"/>
      <c r="W43" s="1161"/>
      <c r="X43" s="777" t="s">
        <v>89</v>
      </c>
      <c r="Y43" s="778" t="s">
        <v>85</v>
      </c>
      <c r="Z43" s="325" t="s">
        <v>90</v>
      </c>
      <c r="AA43" s="769" t="s">
        <v>89</v>
      </c>
      <c r="AB43" s="473" t="s">
        <v>85</v>
      </c>
      <c r="AC43" s="325" t="s">
        <v>90</v>
      </c>
      <c r="AD43" s="322"/>
      <c r="AE43" s="322"/>
      <c r="AF43" s="322"/>
      <c r="AG43" s="322"/>
      <c r="AH43" s="322"/>
      <c r="AI43" s="322"/>
      <c r="AJ43" s="322"/>
      <c r="AK43" s="322"/>
      <c r="AL43" s="322"/>
      <c r="AM43" s="322"/>
      <c r="AN43" s="322"/>
      <c r="AO43" s="322"/>
      <c r="AP43" s="322"/>
      <c r="AQ43" s="322"/>
      <c r="AR43" s="322"/>
      <c r="AS43" s="322"/>
      <c r="AT43" s="322"/>
      <c r="AU43" s="322"/>
      <c r="AV43" s="322"/>
      <c r="AW43" s="322"/>
      <c r="AX43" s="322"/>
      <c r="AY43" s="322"/>
      <c r="AZ43" s="322"/>
      <c r="BA43" s="322"/>
      <c r="BB43" s="322"/>
      <c r="BC43" s="322"/>
      <c r="BD43" s="322"/>
      <c r="BE43" s="322"/>
      <c r="BF43" s="322"/>
      <c r="BG43" s="322"/>
      <c r="BH43" s="322"/>
      <c r="BI43" s="322"/>
      <c r="BJ43" s="322"/>
      <c r="BK43" s="322"/>
      <c r="BL43" s="322"/>
      <c r="BM43" s="322"/>
      <c r="BN43" s="322"/>
      <c r="BO43" s="322"/>
      <c r="BP43" s="322"/>
      <c r="BQ43" s="322"/>
      <c r="BR43" s="322"/>
      <c r="BS43" s="322"/>
      <c r="BT43" s="322"/>
      <c r="BU43" s="322"/>
      <c r="BV43" s="322"/>
      <c r="BW43" s="322"/>
      <c r="BX43" s="322"/>
      <c r="BY43" s="322"/>
      <c r="BZ43" s="322"/>
      <c r="CA43" s="322"/>
      <c r="CB43" s="322"/>
      <c r="CC43" s="322"/>
      <c r="CD43" s="322"/>
      <c r="CE43" s="322"/>
      <c r="CF43" s="322"/>
      <c r="CG43" s="322"/>
      <c r="CH43" s="322"/>
      <c r="CI43" s="322"/>
      <c r="CJ43" s="322"/>
      <c r="CK43" s="322"/>
      <c r="CL43" s="322"/>
      <c r="CM43" s="322"/>
      <c r="CN43" s="322"/>
      <c r="CO43" s="322"/>
      <c r="CP43" s="322"/>
      <c r="CQ43" s="322"/>
      <c r="CR43" s="322"/>
      <c r="CS43" s="322"/>
      <c r="CT43" s="322"/>
      <c r="CU43" s="322"/>
      <c r="CV43" s="322"/>
      <c r="CW43" s="322"/>
      <c r="CX43" s="322"/>
      <c r="CY43" s="322"/>
      <c r="CZ43" s="322"/>
      <c r="DA43" s="322"/>
      <c r="DB43" s="322"/>
      <c r="DC43" s="322"/>
      <c r="DD43" s="322"/>
      <c r="DE43" s="322"/>
      <c r="DF43" s="322"/>
      <c r="DG43" s="322"/>
      <c r="DH43" s="322"/>
      <c r="DI43" s="322"/>
      <c r="DJ43" s="322"/>
      <c r="DK43" s="322"/>
      <c r="DL43" s="322"/>
      <c r="DM43" s="322"/>
      <c r="DN43" s="322"/>
      <c r="DO43" s="322"/>
      <c r="DP43" s="322"/>
      <c r="DQ43" s="322"/>
      <c r="DR43" s="322"/>
      <c r="DS43" s="322"/>
      <c r="DT43" s="322"/>
      <c r="DU43" s="322"/>
      <c r="DV43" s="322"/>
      <c r="DW43" s="322"/>
      <c r="DX43" s="322"/>
      <c r="DY43" s="322"/>
      <c r="DZ43" s="322"/>
      <c r="EA43" s="322"/>
      <c r="EB43" s="322"/>
      <c r="EC43" s="322"/>
      <c r="ED43" s="322"/>
      <c r="EE43" s="322"/>
      <c r="EF43" s="322"/>
      <c r="EG43" s="322"/>
      <c r="EH43" s="322"/>
      <c r="EI43" s="322"/>
      <c r="EJ43" s="322"/>
      <c r="EK43" s="322"/>
      <c r="EL43" s="322"/>
      <c r="EM43" s="322"/>
      <c r="EN43" s="322"/>
      <c r="EO43" s="322"/>
      <c r="EP43" s="322"/>
      <c r="EQ43" s="322"/>
      <c r="ER43" s="322"/>
      <c r="ES43" s="322"/>
      <c r="ET43" s="322"/>
      <c r="EU43" s="322"/>
      <c r="EV43" s="322"/>
      <c r="EW43" s="322"/>
      <c r="EX43" s="322"/>
      <c r="EY43" s="322"/>
      <c r="EZ43" s="322"/>
      <c r="FA43" s="322"/>
      <c r="FB43" s="322"/>
      <c r="FC43" s="322"/>
      <c r="FD43" s="322"/>
      <c r="FE43" s="322"/>
      <c r="FF43" s="322"/>
      <c r="FG43" s="322"/>
      <c r="FH43" s="322"/>
      <c r="FI43" s="322"/>
      <c r="FJ43" s="322"/>
      <c r="FK43" s="322"/>
      <c r="FL43" s="322"/>
      <c r="FM43" s="322"/>
      <c r="FN43" s="322"/>
      <c r="FO43" s="322"/>
      <c r="FP43" s="322"/>
      <c r="FQ43" s="322"/>
      <c r="FR43" s="322"/>
      <c r="FS43" s="322"/>
      <c r="FT43" s="322"/>
      <c r="FU43" s="322"/>
      <c r="FV43" s="322"/>
      <c r="FW43" s="322"/>
      <c r="FX43" s="322"/>
      <c r="FY43" s="322"/>
      <c r="FZ43" s="322"/>
      <c r="GA43" s="322"/>
      <c r="GB43" s="322"/>
      <c r="GC43" s="322"/>
      <c r="GD43" s="322"/>
      <c r="GE43" s="322"/>
      <c r="GF43" s="322"/>
      <c r="GG43" s="322"/>
      <c r="GH43" s="322"/>
      <c r="GI43" s="322"/>
      <c r="GJ43" s="322"/>
      <c r="GK43" s="322"/>
      <c r="GL43" s="322"/>
      <c r="GM43" s="322"/>
      <c r="GN43" s="322"/>
      <c r="GO43" s="322"/>
      <c r="GP43" s="322"/>
      <c r="GQ43" s="322"/>
      <c r="GR43" s="322"/>
      <c r="GS43" s="322"/>
      <c r="GT43" s="322"/>
      <c r="GU43" s="322"/>
      <c r="GV43" s="322"/>
      <c r="GW43" s="322"/>
      <c r="GX43" s="322"/>
      <c r="GY43" s="322"/>
      <c r="GZ43" s="322"/>
      <c r="HA43" s="322"/>
      <c r="HB43" s="322"/>
      <c r="HC43" s="322"/>
      <c r="HD43" s="322"/>
      <c r="HE43" s="322"/>
      <c r="HF43" s="322"/>
      <c r="HG43" s="322"/>
      <c r="HH43" s="322"/>
      <c r="HI43" s="322"/>
      <c r="HJ43" s="322"/>
      <c r="HK43" s="322"/>
      <c r="HL43" s="322"/>
      <c r="HM43" s="322"/>
      <c r="HN43" s="322"/>
      <c r="HO43" s="322"/>
    </row>
    <row r="44" spans="1:29" ht="26.25" customHeight="1">
      <c r="A44" s="326"/>
      <c r="B44" s="368"/>
      <c r="C44" s="368"/>
      <c r="D44" s="393"/>
      <c r="E44" s="368"/>
      <c r="F44" s="330"/>
      <c r="G44" s="1168" t="s">
        <v>544</v>
      </c>
      <c r="H44" s="1096"/>
      <c r="I44" s="1096"/>
      <c r="J44" s="482">
        <f>10507640+356000</f>
        <v>10863640</v>
      </c>
      <c r="K44" s="1099">
        <f>SUM(J44:J46)</f>
        <v>11725952</v>
      </c>
      <c r="L44" s="1169"/>
      <c r="M44" s="1170"/>
      <c r="N44" s="1170"/>
      <c r="O44" s="1170"/>
      <c r="P44" s="1121"/>
      <c r="Q44" s="1099">
        <f>SUM(P44:P46)</f>
        <v>0</v>
      </c>
      <c r="R44" s="1115" t="s">
        <v>818</v>
      </c>
      <c r="S44" s="1116"/>
      <c r="T44" s="1116"/>
      <c r="U44" s="1116"/>
      <c r="V44" s="506">
        <v>110000</v>
      </c>
      <c r="W44" s="1119">
        <f>SUM(V44:V46)</f>
        <v>17403039</v>
      </c>
      <c r="X44" s="773"/>
      <c r="Y44" s="409"/>
      <c r="Z44" s="410"/>
      <c r="AA44" s="326"/>
      <c r="AB44" s="343"/>
      <c r="AC44" s="344"/>
    </row>
    <row r="45" spans="1:29" ht="19.5" customHeight="1">
      <c r="A45" s="411"/>
      <c r="B45" s="1127" t="s">
        <v>496</v>
      </c>
      <c r="C45" s="1128"/>
      <c r="D45" s="398">
        <f>SUM('6. kiadások megbontása'!D83)</f>
        <v>36882752</v>
      </c>
      <c r="E45" s="349">
        <f>SUM('6. kiadások megbontása'!E83)</f>
        <v>1418939</v>
      </c>
      <c r="F45" s="350">
        <f>SUM(D45:E45)</f>
        <v>38301691</v>
      </c>
      <c r="G45" s="1167" t="s">
        <v>1041</v>
      </c>
      <c r="H45" s="1104"/>
      <c r="I45" s="1104"/>
      <c r="J45" s="483">
        <v>862312</v>
      </c>
      <c r="K45" s="1100"/>
      <c r="L45" s="1095"/>
      <c r="M45" s="1096"/>
      <c r="N45" s="1096"/>
      <c r="O45" s="1096"/>
      <c r="P45" s="1122"/>
      <c r="Q45" s="1100"/>
      <c r="R45" s="1115" t="s">
        <v>819</v>
      </c>
      <c r="S45" s="1116"/>
      <c r="T45" s="1116"/>
      <c r="U45" s="1116"/>
      <c r="V45" s="506">
        <f>4190000+1080000+8076772+2180728+300000+81000+440000+118800+160000+43200</f>
        <v>16670500</v>
      </c>
      <c r="W45" s="1120"/>
      <c r="X45" s="772">
        <f>SUM(W44,Q44,K44)</f>
        <v>29128991</v>
      </c>
      <c r="Y45" s="352">
        <v>0</v>
      </c>
      <c r="Z45" s="363">
        <f>SUM(Y45,X45)</f>
        <v>29128991</v>
      </c>
      <c r="AA45" s="361">
        <f>X45-D45</f>
        <v>-7753761</v>
      </c>
      <c r="AB45" s="362">
        <f>Y45-E45</f>
        <v>-1418939</v>
      </c>
      <c r="AC45" s="355">
        <f>SUM(AA45:AB45)</f>
        <v>-9172700</v>
      </c>
    </row>
    <row r="46" spans="1:29" ht="17.25" customHeight="1" thickBot="1">
      <c r="A46" s="411"/>
      <c r="B46" s="366"/>
      <c r="C46" s="366"/>
      <c r="D46" s="414"/>
      <c r="E46" s="415"/>
      <c r="F46" s="416"/>
      <c r="G46" s="333"/>
      <c r="H46" s="333"/>
      <c r="I46" s="333"/>
      <c r="J46" s="417"/>
      <c r="K46" s="1100"/>
      <c r="L46" s="498"/>
      <c r="M46" s="499"/>
      <c r="N46" s="499"/>
      <c r="O46" s="499"/>
      <c r="P46" s="501"/>
      <c r="Q46" s="1100"/>
      <c r="R46" s="1123" t="s">
        <v>754</v>
      </c>
      <c r="S46" s="1124"/>
      <c r="T46" s="1124"/>
      <c r="U46" s="1124"/>
      <c r="V46" s="506">
        <v>622539</v>
      </c>
      <c r="W46" s="1120"/>
      <c r="X46" s="774"/>
      <c r="Y46" s="352"/>
      <c r="Z46" s="342"/>
      <c r="AA46" s="353"/>
      <c r="AB46" s="354"/>
      <c r="AC46" s="355"/>
    </row>
    <row r="47" spans="1:29" ht="15.75" customHeight="1">
      <c r="A47" s="439"/>
      <c r="B47" s="440"/>
      <c r="C47" s="489"/>
      <c r="D47" s="441"/>
      <c r="E47" s="442"/>
      <c r="F47" s="443"/>
      <c r="G47" s="1138"/>
      <c r="H47" s="1139"/>
      <c r="I47" s="1139"/>
      <c r="J47" s="444"/>
      <c r="K47" s="1099">
        <f>SUM(J47:J49)</f>
        <v>0</v>
      </c>
      <c r="L47" s="1169" t="s">
        <v>954</v>
      </c>
      <c r="M47" s="1170"/>
      <c r="N47" s="1170"/>
      <c r="O47" s="1170"/>
      <c r="P47" s="1129">
        <v>22502900</v>
      </c>
      <c r="Q47" s="1099">
        <f>SUM(P47:P50)</f>
        <v>25262612</v>
      </c>
      <c r="R47" s="445"/>
      <c r="S47" s="446"/>
      <c r="T47" s="446"/>
      <c r="U47" s="446"/>
      <c r="V47" s="447"/>
      <c r="W47" s="1180">
        <f>SUM(V47:V49)</f>
        <v>0</v>
      </c>
      <c r="X47" s="1285">
        <f>SUM(K48+Q47+W48)</f>
        <v>25262612</v>
      </c>
      <c r="Y47" s="1287">
        <f>Q49</f>
        <v>0</v>
      </c>
      <c r="Z47" s="1283">
        <f>SUM(X48:Y48)</f>
        <v>0</v>
      </c>
      <c r="AA47" s="1285">
        <f>X47-D48</f>
        <v>2497100</v>
      </c>
      <c r="AB47" s="1287">
        <f>Y47-E48</f>
        <v>-2497100</v>
      </c>
      <c r="AC47" s="1283">
        <f>SUM(AA48:AB48)</f>
        <v>0</v>
      </c>
    </row>
    <row r="48" spans="1:29" ht="16.5" customHeight="1">
      <c r="A48" s="1137" t="s">
        <v>497</v>
      </c>
      <c r="B48" s="1127"/>
      <c r="C48" s="1128"/>
      <c r="D48" s="398">
        <f>SUM('6. kiadások megbontása'!G83)</f>
        <v>22765512</v>
      </c>
      <c r="E48" s="349">
        <f>SUM('6. kiadások megbontása'!H83)</f>
        <v>2497100</v>
      </c>
      <c r="F48" s="350">
        <f>SUM(D48:E48)</f>
        <v>25262612</v>
      </c>
      <c r="G48" s="371"/>
      <c r="H48" s="372"/>
      <c r="I48" s="372"/>
      <c r="J48" s="448"/>
      <c r="K48" s="1100"/>
      <c r="L48" s="1095"/>
      <c r="M48" s="1096"/>
      <c r="N48" s="1096"/>
      <c r="O48" s="1096"/>
      <c r="P48" s="1130"/>
      <c r="Q48" s="1100"/>
      <c r="R48" s="1125"/>
      <c r="S48" s="1126"/>
      <c r="T48" s="1126"/>
      <c r="U48" s="1126"/>
      <c r="V48" s="370"/>
      <c r="W48" s="1181"/>
      <c r="X48" s="1293"/>
      <c r="Y48" s="1289"/>
      <c r="Z48" s="1291"/>
      <c r="AA48" s="1293"/>
      <c r="AB48" s="1289"/>
      <c r="AC48" s="1291"/>
    </row>
    <row r="49" spans="1:29" ht="27" customHeight="1">
      <c r="A49" s="345"/>
      <c r="B49" s="437"/>
      <c r="C49" s="437"/>
      <c r="D49" s="414"/>
      <c r="E49" s="415"/>
      <c r="F49" s="1218"/>
      <c r="G49" s="911"/>
      <c r="H49" s="912"/>
      <c r="I49" s="912"/>
      <c r="J49" s="913"/>
      <c r="K49" s="1100"/>
      <c r="L49" s="1095" t="s">
        <v>955</v>
      </c>
      <c r="M49" s="1096"/>
      <c r="N49" s="1096"/>
      <c r="O49" s="1096"/>
      <c r="P49" s="502">
        <v>2497100</v>
      </c>
      <c r="Q49" s="1100"/>
      <c r="R49" s="368"/>
      <c r="S49" s="368"/>
      <c r="T49" s="368"/>
      <c r="U49" s="368"/>
      <c r="V49" s="368"/>
      <c r="W49" s="1181"/>
      <c r="X49" s="1293"/>
      <c r="Y49" s="1289"/>
      <c r="Z49" s="1291"/>
      <c r="AA49" s="1293"/>
      <c r="AB49" s="1289"/>
      <c r="AC49" s="1291"/>
    </row>
    <row r="50" spans="1:29" ht="13.5" customHeight="1" thickBot="1">
      <c r="A50" s="345"/>
      <c r="B50" s="437"/>
      <c r="C50" s="437"/>
      <c r="D50" s="414"/>
      <c r="E50" s="415"/>
      <c r="F50" s="1219"/>
      <c r="G50" s="914"/>
      <c r="H50" s="915"/>
      <c r="I50" s="915"/>
      <c r="J50" s="916"/>
      <c r="K50" s="1109"/>
      <c r="L50" s="1150" t="s">
        <v>1081</v>
      </c>
      <c r="M50" s="1151"/>
      <c r="N50" s="1151"/>
      <c r="O50" s="1151"/>
      <c r="P50" s="680">
        <v>262612</v>
      </c>
      <c r="Q50" s="1109"/>
      <c r="R50" s="368"/>
      <c r="S50" s="368"/>
      <c r="T50" s="368"/>
      <c r="U50" s="368"/>
      <c r="V50" s="368"/>
      <c r="W50" s="1282"/>
      <c r="X50" s="1294"/>
      <c r="Y50" s="1290"/>
      <c r="Z50" s="1292"/>
      <c r="AA50" s="1294"/>
      <c r="AB50" s="1290"/>
      <c r="AC50" s="1292"/>
    </row>
    <row r="51" spans="1:223" s="477" customFormat="1" ht="33.75" customHeight="1" thickBot="1">
      <c r="A51" s="1131" t="s">
        <v>1018</v>
      </c>
      <c r="B51" s="1132"/>
      <c r="C51" s="1133"/>
      <c r="D51" s="757">
        <f>SUM(D44:D49)</f>
        <v>59648264</v>
      </c>
      <c r="E51" s="758">
        <f>SUM(E44:E49)</f>
        <v>3916039</v>
      </c>
      <c r="F51" s="759">
        <f>SUM(F44:F49)</f>
        <v>63564303</v>
      </c>
      <c r="G51" s="760"/>
      <c r="H51" s="1134" t="s">
        <v>95</v>
      </c>
      <c r="I51" s="1135"/>
      <c r="J51" s="1136"/>
      <c r="K51" s="761">
        <f>SUM(K47+K44)</f>
        <v>11725952</v>
      </c>
      <c r="L51" s="490"/>
      <c r="M51" s="1117" t="s">
        <v>96</v>
      </c>
      <c r="N51" s="1117"/>
      <c r="O51" s="1117"/>
      <c r="P51" s="1118"/>
      <c r="Q51" s="761">
        <f>SUM(Q44:Q49)</f>
        <v>25262612</v>
      </c>
      <c r="R51" s="492"/>
      <c r="S51" s="1117" t="s">
        <v>97</v>
      </c>
      <c r="T51" s="1117"/>
      <c r="U51" s="1117"/>
      <c r="V51" s="1118"/>
      <c r="W51" s="762">
        <f>SUM(W44:W49)</f>
        <v>17403039</v>
      </c>
      <c r="X51" s="763">
        <f>SUM(X44:X49)</f>
        <v>54391603</v>
      </c>
      <c r="Y51" s="764">
        <f>SUM(Y44:Y49)</f>
        <v>0</v>
      </c>
      <c r="Z51" s="765">
        <f>SUM(X51:Y51)</f>
        <v>54391603</v>
      </c>
      <c r="AA51" s="766">
        <f>X51-D51</f>
        <v>-5256661</v>
      </c>
      <c r="AB51" s="767">
        <f>Y51-E51</f>
        <v>-3916039</v>
      </c>
      <c r="AC51" s="488">
        <f>SUM(AA51:AB51)</f>
        <v>-9172700</v>
      </c>
      <c r="AD51" s="497"/>
      <c r="AE51" s="497"/>
      <c r="AF51" s="497"/>
      <c r="AG51" s="497"/>
      <c r="AH51" s="497"/>
      <c r="AI51" s="497"/>
      <c r="AJ51" s="497"/>
      <c r="AK51" s="497"/>
      <c r="AL51" s="497"/>
      <c r="AM51" s="497"/>
      <c r="AN51" s="497"/>
      <c r="AO51" s="497"/>
      <c r="AP51" s="497"/>
      <c r="AQ51" s="497"/>
      <c r="AR51" s="497"/>
      <c r="AS51" s="497"/>
      <c r="AT51" s="497"/>
      <c r="AU51" s="497"/>
      <c r="AV51" s="497"/>
      <c r="AW51" s="497"/>
      <c r="AX51" s="497"/>
      <c r="AY51" s="497"/>
      <c r="AZ51" s="497"/>
      <c r="BA51" s="497"/>
      <c r="BB51" s="497"/>
      <c r="BC51" s="497"/>
      <c r="BD51" s="497"/>
      <c r="BE51" s="497"/>
      <c r="BF51" s="497"/>
      <c r="BG51" s="497"/>
      <c r="BH51" s="497"/>
      <c r="BI51" s="497"/>
      <c r="BJ51" s="497"/>
      <c r="BK51" s="497"/>
      <c r="BL51" s="497"/>
      <c r="BM51" s="497"/>
      <c r="BN51" s="497"/>
      <c r="BO51" s="497"/>
      <c r="BP51" s="497"/>
      <c r="BQ51" s="497"/>
      <c r="BR51" s="497"/>
      <c r="BS51" s="497"/>
      <c r="BT51" s="497"/>
      <c r="BU51" s="497"/>
      <c r="BV51" s="497"/>
      <c r="BW51" s="497"/>
      <c r="BX51" s="497"/>
      <c r="BY51" s="497"/>
      <c r="BZ51" s="497"/>
      <c r="CA51" s="497"/>
      <c r="CB51" s="497"/>
      <c r="CC51" s="497"/>
      <c r="CD51" s="497"/>
      <c r="CE51" s="497"/>
      <c r="CF51" s="497"/>
      <c r="CG51" s="497"/>
      <c r="CH51" s="497"/>
      <c r="CI51" s="497"/>
      <c r="CJ51" s="497"/>
      <c r="CK51" s="497"/>
      <c r="CL51" s="497"/>
      <c r="CM51" s="497"/>
      <c r="CN51" s="497"/>
      <c r="CO51" s="497"/>
      <c r="CP51" s="497"/>
      <c r="CQ51" s="497"/>
      <c r="CR51" s="497"/>
      <c r="CS51" s="497"/>
      <c r="CT51" s="497"/>
      <c r="CU51" s="497"/>
      <c r="CV51" s="497"/>
      <c r="CW51" s="497"/>
      <c r="CX51" s="497"/>
      <c r="CY51" s="497"/>
      <c r="CZ51" s="497"/>
      <c r="DA51" s="497"/>
      <c r="DB51" s="497"/>
      <c r="DC51" s="497"/>
      <c r="DD51" s="497"/>
      <c r="DE51" s="497"/>
      <c r="DF51" s="497"/>
      <c r="DG51" s="497"/>
      <c r="DH51" s="497"/>
      <c r="DI51" s="497"/>
      <c r="DJ51" s="497"/>
      <c r="DK51" s="497"/>
      <c r="DL51" s="497"/>
      <c r="DM51" s="497"/>
      <c r="DN51" s="497"/>
      <c r="DO51" s="497"/>
      <c r="DP51" s="497"/>
      <c r="DQ51" s="497"/>
      <c r="DR51" s="497"/>
      <c r="DS51" s="497"/>
      <c r="DT51" s="497"/>
      <c r="DU51" s="497"/>
      <c r="DV51" s="497"/>
      <c r="DW51" s="497"/>
      <c r="DX51" s="497"/>
      <c r="DY51" s="497"/>
      <c r="DZ51" s="497"/>
      <c r="EA51" s="497"/>
      <c r="EB51" s="497"/>
      <c r="EC51" s="497"/>
      <c r="ED51" s="497"/>
      <c r="EE51" s="497"/>
      <c r="EF51" s="497"/>
      <c r="EG51" s="497"/>
      <c r="EH51" s="497"/>
      <c r="EI51" s="497"/>
      <c r="EJ51" s="497"/>
      <c r="EK51" s="497"/>
      <c r="EL51" s="497"/>
      <c r="EM51" s="497"/>
      <c r="EN51" s="497"/>
      <c r="EO51" s="497"/>
      <c r="EP51" s="497"/>
      <c r="EQ51" s="497"/>
      <c r="ER51" s="497"/>
      <c r="ES51" s="497"/>
      <c r="ET51" s="497"/>
      <c r="EU51" s="497"/>
      <c r="EV51" s="497"/>
      <c r="EW51" s="497"/>
      <c r="EX51" s="497"/>
      <c r="EY51" s="497"/>
      <c r="EZ51" s="497"/>
      <c r="FA51" s="497"/>
      <c r="FB51" s="497"/>
      <c r="FC51" s="497"/>
      <c r="FD51" s="497"/>
      <c r="FE51" s="497"/>
      <c r="FF51" s="497"/>
      <c r="FG51" s="497"/>
      <c r="FH51" s="497"/>
      <c r="FI51" s="497"/>
      <c r="FJ51" s="497"/>
      <c r="FK51" s="497"/>
      <c r="FL51" s="497"/>
      <c r="FM51" s="497"/>
      <c r="FN51" s="497"/>
      <c r="FO51" s="497"/>
      <c r="FP51" s="497"/>
      <c r="FQ51" s="497"/>
      <c r="FR51" s="497"/>
      <c r="FS51" s="497"/>
      <c r="FT51" s="497"/>
      <c r="FU51" s="497"/>
      <c r="FV51" s="497"/>
      <c r="FW51" s="497"/>
      <c r="FX51" s="497"/>
      <c r="FY51" s="497"/>
      <c r="FZ51" s="497"/>
      <c r="GA51" s="497"/>
      <c r="GB51" s="497"/>
      <c r="GC51" s="497"/>
      <c r="GD51" s="497"/>
      <c r="GE51" s="497"/>
      <c r="GF51" s="497"/>
      <c r="GG51" s="497"/>
      <c r="GH51" s="497"/>
      <c r="GI51" s="497"/>
      <c r="GJ51" s="497"/>
      <c r="GK51" s="497"/>
      <c r="GL51" s="497"/>
      <c r="GM51" s="497"/>
      <c r="GN51" s="497"/>
      <c r="GO51" s="497"/>
      <c r="GP51" s="497"/>
      <c r="GQ51" s="497"/>
      <c r="GR51" s="497"/>
      <c r="GS51" s="497"/>
      <c r="GT51" s="497"/>
      <c r="GU51" s="497"/>
      <c r="GV51" s="497"/>
      <c r="GW51" s="497"/>
      <c r="GX51" s="497"/>
      <c r="GY51" s="497"/>
      <c r="GZ51" s="497"/>
      <c r="HA51" s="497"/>
      <c r="HB51" s="497"/>
      <c r="HC51" s="497"/>
      <c r="HD51" s="497"/>
      <c r="HE51" s="497"/>
      <c r="HF51" s="497"/>
      <c r="HG51" s="497"/>
      <c r="HH51" s="497"/>
      <c r="HI51" s="497"/>
      <c r="HJ51" s="497"/>
      <c r="HK51" s="497"/>
      <c r="HL51" s="497"/>
      <c r="HM51" s="497"/>
      <c r="HN51" s="497"/>
      <c r="HO51" s="497"/>
    </row>
    <row r="52" spans="1:29" ht="17.25" thickBot="1" thickTop="1">
      <c r="A52" s="418"/>
      <c r="B52" s="419"/>
      <c r="C52" s="419"/>
      <c r="D52" s="420"/>
      <c r="E52" s="421"/>
      <c r="F52" s="422"/>
      <c r="G52" s="421"/>
      <c r="H52" s="421"/>
      <c r="I52" s="423"/>
      <c r="J52" s="423"/>
      <c r="K52" s="424"/>
      <c r="L52" s="425"/>
      <c r="M52" s="421"/>
      <c r="N52" s="421"/>
      <c r="O52" s="421"/>
      <c r="P52" s="421"/>
      <c r="Q52" s="424"/>
      <c r="R52" s="421"/>
      <c r="S52" s="421"/>
      <c r="T52" s="421"/>
      <c r="U52" s="421"/>
      <c r="V52" s="421"/>
      <c r="W52" s="426"/>
      <c r="X52" s="427"/>
      <c r="Y52" s="428"/>
      <c r="Z52" s="429"/>
      <c r="AA52" s="418"/>
      <c r="AB52" s="430"/>
      <c r="AC52" s="431"/>
    </row>
    <row r="53" spans="1:29" ht="14.25" thickBot="1" thickTop="1">
      <c r="A53" s="1146" t="s">
        <v>771</v>
      </c>
      <c r="B53" s="1147"/>
      <c r="C53" s="1147"/>
      <c r="D53" s="1152" t="s">
        <v>368</v>
      </c>
      <c r="E53" s="1153"/>
      <c r="F53" s="1154"/>
      <c r="G53" s="1164" t="s">
        <v>519</v>
      </c>
      <c r="H53" s="1184"/>
      <c r="I53" s="1184"/>
      <c r="J53" s="1184"/>
      <c r="K53" s="1185"/>
      <c r="L53" s="1140" t="s">
        <v>520</v>
      </c>
      <c r="M53" s="1141"/>
      <c r="N53" s="1141"/>
      <c r="O53" s="1141"/>
      <c r="P53" s="1141"/>
      <c r="Q53" s="1191"/>
      <c r="R53" s="1140" t="s">
        <v>521</v>
      </c>
      <c r="S53" s="1141"/>
      <c r="T53" s="1141"/>
      <c r="U53" s="1141"/>
      <c r="V53" s="1141"/>
      <c r="W53" s="1142"/>
      <c r="X53" s="1113" t="s">
        <v>522</v>
      </c>
      <c r="Y53" s="1114"/>
      <c r="Z53" s="1114"/>
      <c r="AA53" s="1110" t="s">
        <v>88</v>
      </c>
      <c r="AB53" s="1111"/>
      <c r="AC53" s="1112"/>
    </row>
    <row r="54" spans="1:223" s="684" customFormat="1" ht="32.25" customHeight="1" thickBot="1">
      <c r="A54" s="1148"/>
      <c r="B54" s="1149"/>
      <c r="C54" s="1149"/>
      <c r="D54" s="473" t="s">
        <v>89</v>
      </c>
      <c r="E54" s="790" t="s">
        <v>85</v>
      </c>
      <c r="F54" s="325" t="s">
        <v>90</v>
      </c>
      <c r="G54" s="1186"/>
      <c r="H54" s="1187"/>
      <c r="I54" s="1187"/>
      <c r="J54" s="1187"/>
      <c r="K54" s="1188"/>
      <c r="L54" s="1143"/>
      <c r="M54" s="1144"/>
      <c r="N54" s="1144"/>
      <c r="O54" s="1144"/>
      <c r="P54" s="1144"/>
      <c r="Q54" s="1192"/>
      <c r="R54" s="1143"/>
      <c r="S54" s="1144"/>
      <c r="T54" s="1144"/>
      <c r="U54" s="1144"/>
      <c r="V54" s="1144"/>
      <c r="W54" s="1145"/>
      <c r="X54" s="775" t="s">
        <v>89</v>
      </c>
      <c r="Y54" s="473" t="s">
        <v>85</v>
      </c>
      <c r="Z54" s="776" t="s">
        <v>90</v>
      </c>
      <c r="AA54" s="472" t="s">
        <v>89</v>
      </c>
      <c r="AB54" s="473" t="s">
        <v>85</v>
      </c>
      <c r="AC54" s="325" t="s">
        <v>90</v>
      </c>
      <c r="AD54" s="768"/>
      <c r="AE54" s="768"/>
      <c r="AF54" s="768"/>
      <c r="AG54" s="768"/>
      <c r="AH54" s="768"/>
      <c r="AI54" s="768"/>
      <c r="AJ54" s="768"/>
      <c r="AK54" s="768"/>
      <c r="AL54" s="768"/>
      <c r="AM54" s="768"/>
      <c r="AN54" s="768"/>
      <c r="AO54" s="768"/>
      <c r="AP54" s="768"/>
      <c r="AQ54" s="768"/>
      <c r="AR54" s="768"/>
      <c r="AS54" s="768"/>
      <c r="AT54" s="768"/>
      <c r="AU54" s="768"/>
      <c r="AV54" s="768"/>
      <c r="AW54" s="768"/>
      <c r="AX54" s="768"/>
      <c r="AY54" s="768"/>
      <c r="AZ54" s="768"/>
      <c r="BA54" s="768"/>
      <c r="BB54" s="768"/>
      <c r="BC54" s="768"/>
      <c r="BD54" s="768"/>
      <c r="BE54" s="768"/>
      <c r="BF54" s="768"/>
      <c r="BG54" s="768"/>
      <c r="BH54" s="768"/>
      <c r="BI54" s="768"/>
      <c r="BJ54" s="768"/>
      <c r="BK54" s="768"/>
      <c r="BL54" s="768"/>
      <c r="BM54" s="768"/>
      <c r="BN54" s="768"/>
      <c r="BO54" s="768"/>
      <c r="BP54" s="768"/>
      <c r="BQ54" s="768"/>
      <c r="BR54" s="768"/>
      <c r="BS54" s="768"/>
      <c r="BT54" s="768"/>
      <c r="BU54" s="768"/>
      <c r="BV54" s="768"/>
      <c r="BW54" s="768"/>
      <c r="BX54" s="768"/>
      <c r="BY54" s="768"/>
      <c r="BZ54" s="768"/>
      <c r="CA54" s="768"/>
      <c r="CB54" s="768"/>
      <c r="CC54" s="768"/>
      <c r="CD54" s="768"/>
      <c r="CE54" s="768"/>
      <c r="CF54" s="768"/>
      <c r="CG54" s="768"/>
      <c r="CH54" s="768"/>
      <c r="CI54" s="768"/>
      <c r="CJ54" s="768"/>
      <c r="CK54" s="768"/>
      <c r="CL54" s="768"/>
      <c r="CM54" s="768"/>
      <c r="CN54" s="768"/>
      <c r="CO54" s="768"/>
      <c r="CP54" s="768"/>
      <c r="CQ54" s="768"/>
      <c r="CR54" s="768"/>
      <c r="CS54" s="768"/>
      <c r="CT54" s="768"/>
      <c r="CU54" s="768"/>
      <c r="CV54" s="768"/>
      <c r="CW54" s="768"/>
      <c r="CX54" s="768"/>
      <c r="CY54" s="768"/>
      <c r="CZ54" s="768"/>
      <c r="DA54" s="768"/>
      <c r="DB54" s="768"/>
      <c r="DC54" s="768"/>
      <c r="DD54" s="768"/>
      <c r="DE54" s="768"/>
      <c r="DF54" s="768"/>
      <c r="DG54" s="768"/>
      <c r="DH54" s="768"/>
      <c r="DI54" s="768"/>
      <c r="DJ54" s="768"/>
      <c r="DK54" s="768"/>
      <c r="DL54" s="768"/>
      <c r="DM54" s="768"/>
      <c r="DN54" s="768"/>
      <c r="DO54" s="768"/>
      <c r="DP54" s="768"/>
      <c r="DQ54" s="768"/>
      <c r="DR54" s="768"/>
      <c r="DS54" s="768"/>
      <c r="DT54" s="768"/>
      <c r="DU54" s="768"/>
      <c r="DV54" s="768"/>
      <c r="DW54" s="768"/>
      <c r="DX54" s="768"/>
      <c r="DY54" s="768"/>
      <c r="DZ54" s="768"/>
      <c r="EA54" s="768"/>
      <c r="EB54" s="768"/>
      <c r="EC54" s="768"/>
      <c r="ED54" s="768"/>
      <c r="EE54" s="768"/>
      <c r="EF54" s="768"/>
      <c r="EG54" s="768"/>
      <c r="EH54" s="768"/>
      <c r="EI54" s="768"/>
      <c r="EJ54" s="768"/>
      <c r="EK54" s="768"/>
      <c r="EL54" s="768"/>
      <c r="EM54" s="768"/>
      <c r="EN54" s="768"/>
      <c r="EO54" s="768"/>
      <c r="EP54" s="768"/>
      <c r="EQ54" s="768"/>
      <c r="ER54" s="768"/>
      <c r="ES54" s="768"/>
      <c r="ET54" s="768"/>
      <c r="EU54" s="768"/>
      <c r="EV54" s="768"/>
      <c r="EW54" s="768"/>
      <c r="EX54" s="768"/>
      <c r="EY54" s="768"/>
      <c r="EZ54" s="768"/>
      <c r="FA54" s="768"/>
      <c r="FB54" s="768"/>
      <c r="FC54" s="768"/>
      <c r="FD54" s="768"/>
      <c r="FE54" s="768"/>
      <c r="FF54" s="768"/>
      <c r="FG54" s="768"/>
      <c r="FH54" s="768"/>
      <c r="FI54" s="768"/>
      <c r="FJ54" s="768"/>
      <c r="FK54" s="768"/>
      <c r="FL54" s="768"/>
      <c r="FM54" s="768"/>
      <c r="FN54" s="768"/>
      <c r="FO54" s="768"/>
      <c r="FP54" s="768"/>
      <c r="FQ54" s="768"/>
      <c r="FR54" s="768"/>
      <c r="FS54" s="768"/>
      <c r="FT54" s="768"/>
      <c r="FU54" s="768"/>
      <c r="FV54" s="768"/>
      <c r="FW54" s="768"/>
      <c r="FX54" s="768"/>
      <c r="FY54" s="768"/>
      <c r="FZ54" s="768"/>
      <c r="GA54" s="768"/>
      <c r="GB54" s="768"/>
      <c r="GC54" s="768"/>
      <c r="GD54" s="768"/>
      <c r="GE54" s="768"/>
      <c r="GF54" s="768"/>
      <c r="GG54" s="768"/>
      <c r="GH54" s="768"/>
      <c r="GI54" s="768"/>
      <c r="GJ54" s="768"/>
      <c r="GK54" s="768"/>
      <c r="GL54" s="768"/>
      <c r="GM54" s="768"/>
      <c r="GN54" s="768"/>
      <c r="GO54" s="768"/>
      <c r="GP54" s="768"/>
      <c r="GQ54" s="768"/>
      <c r="GR54" s="768"/>
      <c r="GS54" s="768"/>
      <c r="GT54" s="768"/>
      <c r="GU54" s="768"/>
      <c r="GV54" s="768"/>
      <c r="GW54" s="768"/>
      <c r="GX54" s="768"/>
      <c r="GY54" s="768"/>
      <c r="GZ54" s="768"/>
      <c r="HA54" s="768"/>
      <c r="HB54" s="768"/>
      <c r="HC54" s="768"/>
      <c r="HD54" s="768"/>
      <c r="HE54" s="768"/>
      <c r="HF54" s="768"/>
      <c r="HG54" s="768"/>
      <c r="HH54" s="768"/>
      <c r="HI54" s="768"/>
      <c r="HJ54" s="768"/>
      <c r="HK54" s="768"/>
      <c r="HL54" s="768"/>
      <c r="HM54" s="768"/>
      <c r="HN54" s="768"/>
      <c r="HO54" s="768"/>
    </row>
    <row r="55" spans="1:29" ht="25.5" customHeight="1">
      <c r="A55" s="411"/>
      <c r="B55" s="368"/>
      <c r="C55" s="368"/>
      <c r="D55" s="393"/>
      <c r="E55" s="368"/>
      <c r="F55" s="369"/>
      <c r="G55" s="1215" t="s">
        <v>483</v>
      </c>
      <c r="H55" s="1116"/>
      <c r="I55" s="1116"/>
      <c r="J55" s="502">
        <v>16720333</v>
      </c>
      <c r="K55" s="1099">
        <f>SUM(J55:J64)</f>
        <v>193144474</v>
      </c>
      <c r="L55" s="1196"/>
      <c r="M55" s="1170"/>
      <c r="N55" s="1170"/>
      <c r="O55" s="1170"/>
      <c r="P55" s="502"/>
      <c r="Q55" s="1173">
        <f>SUM(P55:P64)</f>
        <v>0</v>
      </c>
      <c r="R55" s="1175" t="s">
        <v>525</v>
      </c>
      <c r="S55" s="1176"/>
      <c r="T55" s="1176"/>
      <c r="U55" s="1176"/>
      <c r="V55" s="506">
        <v>1081470</v>
      </c>
      <c r="W55" s="1180">
        <f>SUM(V55:V64)</f>
        <v>1737615</v>
      </c>
      <c r="X55" s="368"/>
      <c r="Y55" s="393"/>
      <c r="Z55" s="433"/>
      <c r="AA55" s="411"/>
      <c r="AB55" s="393"/>
      <c r="AC55" s="344"/>
    </row>
    <row r="56" spans="1:29" ht="25.5" customHeight="1">
      <c r="A56" s="411"/>
      <c r="B56" s="368"/>
      <c r="C56" s="392"/>
      <c r="D56" s="393"/>
      <c r="E56" s="368"/>
      <c r="F56" s="369"/>
      <c r="G56" s="1193" t="s">
        <v>626</v>
      </c>
      <c r="H56" s="1176"/>
      <c r="I56" s="1176"/>
      <c r="J56" s="502">
        <f>90264650+2145000</f>
        <v>92409650</v>
      </c>
      <c r="K56" s="1100"/>
      <c r="L56" s="1197"/>
      <c r="M56" s="1198"/>
      <c r="N56" s="1198"/>
      <c r="O56" s="1198"/>
      <c r="P56" s="370"/>
      <c r="Q56" s="1174"/>
      <c r="R56" s="1175" t="s">
        <v>754</v>
      </c>
      <c r="S56" s="1176"/>
      <c r="T56" s="1176"/>
      <c r="U56" s="1176"/>
      <c r="V56" s="502">
        <v>656145</v>
      </c>
      <c r="W56" s="1181"/>
      <c r="X56" s="331"/>
      <c r="Y56" s="354"/>
      <c r="Z56" s="342"/>
      <c r="AA56" s="353"/>
      <c r="AB56" s="354"/>
      <c r="AC56" s="355"/>
    </row>
    <row r="57" spans="1:29" ht="30" customHeight="1">
      <c r="A57" s="411"/>
      <c r="B57" s="368"/>
      <c r="C57" s="392"/>
      <c r="D57" s="393"/>
      <c r="E57" s="368"/>
      <c r="F57" s="369"/>
      <c r="G57" s="1193" t="s">
        <v>541</v>
      </c>
      <c r="H57" s="1176"/>
      <c r="I57" s="1176"/>
      <c r="J57" s="506">
        <v>6068200</v>
      </c>
      <c r="K57" s="1100"/>
      <c r="L57" s="479"/>
      <c r="M57" s="480"/>
      <c r="N57" s="480"/>
      <c r="O57" s="480"/>
      <c r="P57" s="370"/>
      <c r="Q57" s="1174"/>
      <c r="R57" s="1175"/>
      <c r="S57" s="1176"/>
      <c r="T57" s="1176"/>
      <c r="U57" s="1176"/>
      <c r="V57" s="501"/>
      <c r="W57" s="1181"/>
      <c r="X57" s="331"/>
      <c r="Y57" s="354"/>
      <c r="Z57" s="342"/>
      <c r="AA57" s="353"/>
      <c r="AB57" s="354"/>
      <c r="AC57" s="355"/>
    </row>
    <row r="58" spans="1:29" ht="26.25" customHeight="1">
      <c r="A58" s="1137" t="s">
        <v>496</v>
      </c>
      <c r="B58" s="1199"/>
      <c r="C58" s="1200"/>
      <c r="D58" s="398">
        <f>SUM('6. kiadások megbontása'!D77)</f>
        <v>224041316</v>
      </c>
      <c r="E58" s="349">
        <f>SUM('6. kiadások megbontása'!E77)</f>
        <v>1676530</v>
      </c>
      <c r="F58" s="350">
        <f>SUM(D58:E58)</f>
        <v>225717846</v>
      </c>
      <c r="G58" s="1193" t="s">
        <v>756</v>
      </c>
      <c r="H58" s="1176"/>
      <c r="I58" s="1176"/>
      <c r="J58" s="502">
        <f>21339990+850000</f>
        <v>22189990</v>
      </c>
      <c r="K58" s="1100"/>
      <c r="L58" s="391"/>
      <c r="M58" s="368"/>
      <c r="N58" s="368"/>
      <c r="O58" s="368"/>
      <c r="P58" s="368"/>
      <c r="Q58" s="1174"/>
      <c r="R58" s="1095"/>
      <c r="S58" s="1096"/>
      <c r="T58" s="1096"/>
      <c r="U58" s="1096"/>
      <c r="V58" s="331"/>
      <c r="W58" s="1181"/>
      <c r="X58" s="435">
        <f>SUM(W55+Q55+K55)</f>
        <v>194882089</v>
      </c>
      <c r="Y58" s="362">
        <v>0</v>
      </c>
      <c r="Z58" s="363">
        <f>SUM(X58:Y58)</f>
        <v>194882089</v>
      </c>
      <c r="AA58" s="436">
        <f>X58-D58</f>
        <v>-29159227</v>
      </c>
      <c r="AB58" s="362">
        <f>Y58-E58</f>
        <v>-1676530</v>
      </c>
      <c r="AC58" s="364">
        <f>SUM(AA58:AB58)</f>
        <v>-30835757</v>
      </c>
    </row>
    <row r="59" spans="1:29" ht="29.25" customHeight="1">
      <c r="A59" s="345"/>
      <c r="B59" s="437"/>
      <c r="C59" s="638"/>
      <c r="D59" s="398"/>
      <c r="E59" s="349"/>
      <c r="F59" s="350"/>
      <c r="G59" s="1193" t="s">
        <v>758</v>
      </c>
      <c r="H59" s="1176"/>
      <c r="I59" s="1176"/>
      <c r="J59" s="506">
        <f>21890000+2556000</f>
        <v>24446000</v>
      </c>
      <c r="K59" s="1100"/>
      <c r="L59" s="391"/>
      <c r="M59" s="368"/>
      <c r="N59" s="368"/>
      <c r="O59" s="368"/>
      <c r="P59" s="438"/>
      <c r="Q59" s="1174"/>
      <c r="R59" s="1095"/>
      <c r="S59" s="1096"/>
      <c r="T59" s="1096"/>
      <c r="U59" s="1096"/>
      <c r="V59" s="434"/>
      <c r="W59" s="1181"/>
      <c r="X59" s="413"/>
      <c r="Y59" s="352"/>
      <c r="Z59" s="363"/>
      <c r="AA59" s="361"/>
      <c r="AB59" s="362"/>
      <c r="AC59" s="355"/>
    </row>
    <row r="60" spans="1:29" ht="29.25" customHeight="1">
      <c r="A60" s="345"/>
      <c r="B60" s="437"/>
      <c r="C60" s="638"/>
      <c r="D60" s="398"/>
      <c r="E60" s="349"/>
      <c r="F60" s="350"/>
      <c r="G60" s="1193" t="s">
        <v>868</v>
      </c>
      <c r="H60" s="1176"/>
      <c r="I60" s="1176"/>
      <c r="J60" s="506">
        <v>7297579</v>
      </c>
      <c r="K60" s="1100"/>
      <c r="L60" s="391"/>
      <c r="M60" s="368"/>
      <c r="N60" s="368"/>
      <c r="O60" s="368"/>
      <c r="P60" s="438"/>
      <c r="Q60" s="1174"/>
      <c r="R60" s="478"/>
      <c r="S60" s="635"/>
      <c r="T60" s="635"/>
      <c r="U60" s="635"/>
      <c r="V60" s="434"/>
      <c r="W60" s="1181"/>
      <c r="X60" s="413"/>
      <c r="Y60" s="352"/>
      <c r="Z60" s="363"/>
      <c r="AA60" s="361"/>
      <c r="AB60" s="362"/>
      <c r="AC60" s="355"/>
    </row>
    <row r="61" spans="1:29" ht="15.75" customHeight="1">
      <c r="A61" s="345"/>
      <c r="B61" s="437"/>
      <c r="C61" s="638"/>
      <c r="D61" s="398"/>
      <c r="E61" s="349"/>
      <c r="F61" s="350"/>
      <c r="G61" s="1168" t="s">
        <v>1097</v>
      </c>
      <c r="H61" s="1096"/>
      <c r="I61" s="1096"/>
      <c r="J61" s="506">
        <f>43857+329940</f>
        <v>373797</v>
      </c>
      <c r="K61" s="1100"/>
      <c r="L61" s="391"/>
      <c r="M61" s="368"/>
      <c r="N61" s="368"/>
      <c r="O61" s="368"/>
      <c r="P61" s="438"/>
      <c r="Q61" s="1174"/>
      <c r="R61" s="478"/>
      <c r="S61" s="635"/>
      <c r="T61" s="635"/>
      <c r="U61" s="635"/>
      <c r="V61" s="434"/>
      <c r="W61" s="1181"/>
      <c r="X61" s="413"/>
      <c r="Y61" s="352"/>
      <c r="Z61" s="363"/>
      <c r="AA61" s="361"/>
      <c r="AB61" s="362"/>
      <c r="AC61" s="355"/>
    </row>
    <row r="62" spans="1:29" ht="16.5" customHeight="1">
      <c r="A62" s="345"/>
      <c r="B62" s="437"/>
      <c r="C62" s="638"/>
      <c r="D62" s="398"/>
      <c r="E62" s="349"/>
      <c r="F62" s="350"/>
      <c r="G62" s="1193" t="s">
        <v>1040</v>
      </c>
      <c r="H62" s="1176"/>
      <c r="I62" s="1176"/>
      <c r="J62" s="506">
        <v>10844656</v>
      </c>
      <c r="K62" s="1100"/>
      <c r="L62" s="391"/>
      <c r="M62" s="368"/>
      <c r="N62" s="368"/>
      <c r="O62" s="368"/>
      <c r="P62" s="438"/>
      <c r="Q62" s="1174"/>
      <c r="R62" s="478"/>
      <c r="S62" s="635"/>
      <c r="T62" s="635"/>
      <c r="U62" s="635"/>
      <c r="V62" s="434"/>
      <c r="W62" s="1181"/>
      <c r="X62" s="413"/>
      <c r="Y62" s="352"/>
      <c r="Z62" s="363"/>
      <c r="AA62" s="361"/>
      <c r="AB62" s="362"/>
      <c r="AC62" s="355"/>
    </row>
    <row r="63" spans="1:29" ht="14.25" customHeight="1">
      <c r="A63" s="345"/>
      <c r="B63" s="437"/>
      <c r="C63" s="638"/>
      <c r="D63" s="398"/>
      <c r="E63" s="349"/>
      <c r="F63" s="350"/>
      <c r="G63" s="1193" t="s">
        <v>813</v>
      </c>
      <c r="H63" s="1176"/>
      <c r="I63" s="1176"/>
      <c r="J63" s="502">
        <f>11544000-192775</f>
        <v>11351225</v>
      </c>
      <c r="K63" s="1100"/>
      <c r="L63" s="391"/>
      <c r="M63" s="368"/>
      <c r="N63" s="368"/>
      <c r="O63" s="368"/>
      <c r="P63" s="438"/>
      <c r="Q63" s="1174"/>
      <c r="R63" s="478"/>
      <c r="S63" s="635"/>
      <c r="T63" s="635"/>
      <c r="U63" s="635"/>
      <c r="V63" s="434"/>
      <c r="W63" s="1181"/>
      <c r="X63" s="413"/>
      <c r="Y63" s="352"/>
      <c r="Z63" s="363"/>
      <c r="AA63" s="361"/>
      <c r="AB63" s="362"/>
      <c r="AC63" s="355"/>
    </row>
    <row r="64" spans="1:29" ht="29.25" customHeight="1" thickBot="1">
      <c r="A64" s="345"/>
      <c r="B64" s="437"/>
      <c r="C64" s="638"/>
      <c r="D64" s="398"/>
      <c r="E64" s="349"/>
      <c r="F64" s="350"/>
      <c r="G64" s="1189" t="s">
        <v>949</v>
      </c>
      <c r="H64" s="1190"/>
      <c r="I64" s="1190"/>
      <c r="J64" s="879">
        <v>1443044</v>
      </c>
      <c r="K64" s="1100"/>
      <c r="L64" s="391"/>
      <c r="M64" s="368"/>
      <c r="N64" s="368"/>
      <c r="O64" s="368"/>
      <c r="P64" s="438"/>
      <c r="Q64" s="1174"/>
      <c r="R64" s="478"/>
      <c r="S64" s="635"/>
      <c r="T64" s="635"/>
      <c r="U64" s="635"/>
      <c r="V64" s="434"/>
      <c r="W64" s="1181"/>
      <c r="X64" s="413"/>
      <c r="Y64" s="352"/>
      <c r="Z64" s="363"/>
      <c r="AA64" s="361"/>
      <c r="AB64" s="362"/>
      <c r="AC64" s="355"/>
    </row>
    <row r="65" spans="1:29" ht="23.25" customHeight="1">
      <c r="A65" s="1204" t="s">
        <v>497</v>
      </c>
      <c r="B65" s="1205"/>
      <c r="C65" s="1206"/>
      <c r="D65" s="1178">
        <f>SUM('6. kiadások megbontása'!G77)</f>
        <v>59200180</v>
      </c>
      <c r="E65" s="1178">
        <f>SUM('6. kiadások megbontása'!H76)</f>
        <v>0</v>
      </c>
      <c r="F65" s="1273">
        <f>SUM(D65:E65)</f>
        <v>59200180</v>
      </c>
      <c r="G65" s="1275"/>
      <c r="H65" s="1276"/>
      <c r="I65" s="1276"/>
      <c r="J65" s="1277"/>
      <c r="K65" s="1099">
        <f>SUM(J65:J65)</f>
        <v>0</v>
      </c>
      <c r="L65" s="1210" t="s">
        <v>842</v>
      </c>
      <c r="M65" s="1211"/>
      <c r="N65" s="1211"/>
      <c r="O65" s="1211"/>
      <c r="P65" s="753">
        <f>6245115+1166000</f>
        <v>7411115</v>
      </c>
      <c r="Q65" s="1119">
        <f>SUM(P65:P66)</f>
        <v>8855481</v>
      </c>
      <c r="R65" s="1210" t="s">
        <v>754</v>
      </c>
      <c r="S65" s="1211"/>
      <c r="T65" s="1211"/>
      <c r="U65" s="1211"/>
      <c r="V65" s="1121">
        <f>32890088+10500000</f>
        <v>43390088</v>
      </c>
      <c r="W65" s="1180">
        <f>SUM(V65:V65)</f>
        <v>43390088</v>
      </c>
      <c r="X65" s="1285">
        <f>SUM(K65+Q65+W65)</f>
        <v>52245569</v>
      </c>
      <c r="Y65" s="1287">
        <v>0</v>
      </c>
      <c r="Z65" s="1283">
        <f>SUM(X65:Y65)</f>
        <v>52245569</v>
      </c>
      <c r="AA65" s="1285">
        <f>X65-D65</f>
        <v>-6954611</v>
      </c>
      <c r="AB65" s="1287">
        <f>Y65-E65</f>
        <v>0</v>
      </c>
      <c r="AC65" s="1283">
        <f>SUM(AA65:AB65)</f>
        <v>-6954611</v>
      </c>
    </row>
    <row r="66" spans="1:29" ht="23.25" customHeight="1" thickBot="1">
      <c r="A66" s="1207"/>
      <c r="B66" s="1208"/>
      <c r="C66" s="1209"/>
      <c r="D66" s="1179"/>
      <c r="E66" s="1179"/>
      <c r="F66" s="1274"/>
      <c r="G66" s="1278"/>
      <c r="H66" s="1279"/>
      <c r="I66" s="1279"/>
      <c r="J66" s="1280"/>
      <c r="K66" s="1109"/>
      <c r="L66" s="1123" t="s">
        <v>1081</v>
      </c>
      <c r="M66" s="1124"/>
      <c r="N66" s="1124"/>
      <c r="O66" s="1124"/>
      <c r="P66" s="502">
        <v>1444366</v>
      </c>
      <c r="Q66" s="1251"/>
      <c r="R66" s="1123"/>
      <c r="S66" s="1124"/>
      <c r="T66" s="1124"/>
      <c r="U66" s="1124"/>
      <c r="V66" s="1281"/>
      <c r="W66" s="1282"/>
      <c r="X66" s="1286"/>
      <c r="Y66" s="1288"/>
      <c r="Z66" s="1284"/>
      <c r="AA66" s="1286"/>
      <c r="AB66" s="1288"/>
      <c r="AC66" s="1284"/>
    </row>
    <row r="67" spans="1:223" s="477" customFormat="1" ht="44.25" customHeight="1" thickBot="1" thickTop="1">
      <c r="A67" s="1201" t="s">
        <v>843</v>
      </c>
      <c r="B67" s="1202"/>
      <c r="C67" s="1203"/>
      <c r="D67" s="880">
        <f>SUM(D56:D65)</f>
        <v>283241496</v>
      </c>
      <c r="E67" s="881">
        <f>SUM(E56:E65)</f>
        <v>1676530</v>
      </c>
      <c r="F67" s="759">
        <f>SUM(D67:E67)</f>
        <v>284918026</v>
      </c>
      <c r="G67" s="909"/>
      <c r="H67" s="1134" t="s">
        <v>95</v>
      </c>
      <c r="I67" s="1135"/>
      <c r="J67" s="1136"/>
      <c r="K67" s="491">
        <f>SUM(K55:K65)</f>
        <v>193144474</v>
      </c>
      <c r="L67" s="490"/>
      <c r="M67" s="1117" t="s">
        <v>96</v>
      </c>
      <c r="N67" s="1117"/>
      <c r="O67" s="1117"/>
      <c r="P67" s="1118"/>
      <c r="Q67" s="491">
        <f>SUM(Q55:Q65)</f>
        <v>8855481</v>
      </c>
      <c r="R67" s="492"/>
      <c r="S67" s="1117" t="s">
        <v>97</v>
      </c>
      <c r="T67" s="1117"/>
      <c r="U67" s="1117"/>
      <c r="V67" s="1118"/>
      <c r="W67" s="491">
        <f>SUM(W55:W65)</f>
        <v>45127703</v>
      </c>
      <c r="X67" s="493">
        <f>SUM(X54:X65)</f>
        <v>247127658</v>
      </c>
      <c r="Y67" s="494">
        <f>SUM(Y54:Y65)</f>
        <v>0</v>
      </c>
      <c r="Z67" s="495">
        <f>SUM(X67:Y67)</f>
        <v>247127658</v>
      </c>
      <c r="AA67" s="493">
        <f>X67-D67</f>
        <v>-36113838</v>
      </c>
      <c r="AB67" s="496">
        <f>Y67-E67</f>
        <v>-1676530</v>
      </c>
      <c r="AC67" s="495">
        <f>SUM(AA67:AB67)</f>
        <v>-37790368</v>
      </c>
      <c r="AD67" s="497"/>
      <c r="AE67" s="497"/>
      <c r="AF67" s="497"/>
      <c r="AG67" s="497"/>
      <c r="AH67" s="497"/>
      <c r="AI67" s="497"/>
      <c r="AJ67" s="497"/>
      <c r="AK67" s="497"/>
      <c r="AL67" s="497"/>
      <c r="AM67" s="497"/>
      <c r="AN67" s="497"/>
      <c r="AO67" s="497"/>
      <c r="AP67" s="497"/>
      <c r="AQ67" s="497"/>
      <c r="AR67" s="497"/>
      <c r="AS67" s="497"/>
      <c r="AT67" s="497"/>
      <c r="AU67" s="497"/>
      <c r="AV67" s="497"/>
      <c r="AW67" s="497"/>
      <c r="AX67" s="497"/>
      <c r="AY67" s="497"/>
      <c r="AZ67" s="497"/>
      <c r="BA67" s="497"/>
      <c r="BB67" s="497"/>
      <c r="BC67" s="497"/>
      <c r="BD67" s="497"/>
      <c r="BE67" s="497"/>
      <c r="BF67" s="497"/>
      <c r="BG67" s="497"/>
      <c r="BH67" s="497"/>
      <c r="BI67" s="497"/>
      <c r="BJ67" s="497"/>
      <c r="BK67" s="497"/>
      <c r="BL67" s="497"/>
      <c r="BM67" s="497"/>
      <c r="BN67" s="497"/>
      <c r="BO67" s="497"/>
      <c r="BP67" s="497"/>
      <c r="BQ67" s="497"/>
      <c r="BR67" s="497"/>
      <c r="BS67" s="497"/>
      <c r="BT67" s="497"/>
      <c r="BU67" s="497"/>
      <c r="BV67" s="497"/>
      <c r="BW67" s="497"/>
      <c r="BX67" s="497"/>
      <c r="BY67" s="497"/>
      <c r="BZ67" s="497"/>
      <c r="CA67" s="497"/>
      <c r="CB67" s="497"/>
      <c r="CC67" s="497"/>
      <c r="CD67" s="497"/>
      <c r="CE67" s="497"/>
      <c r="CF67" s="497"/>
      <c r="CG67" s="497"/>
      <c r="CH67" s="497"/>
      <c r="CI67" s="497"/>
      <c r="CJ67" s="497"/>
      <c r="CK67" s="497"/>
      <c r="CL67" s="497"/>
      <c r="CM67" s="497"/>
      <c r="CN67" s="497"/>
      <c r="CO67" s="497"/>
      <c r="CP67" s="497"/>
      <c r="CQ67" s="497"/>
      <c r="CR67" s="497"/>
      <c r="CS67" s="497"/>
      <c r="CT67" s="497"/>
      <c r="CU67" s="497"/>
      <c r="CV67" s="497"/>
      <c r="CW67" s="497"/>
      <c r="CX67" s="497"/>
      <c r="CY67" s="497"/>
      <c r="CZ67" s="497"/>
      <c r="DA67" s="497"/>
      <c r="DB67" s="497"/>
      <c r="DC67" s="497"/>
      <c r="DD67" s="497"/>
      <c r="DE67" s="497"/>
      <c r="DF67" s="497"/>
      <c r="DG67" s="497"/>
      <c r="DH67" s="497"/>
      <c r="DI67" s="497"/>
      <c r="DJ67" s="497"/>
      <c r="DK67" s="497"/>
      <c r="DL67" s="497"/>
      <c r="DM67" s="497"/>
      <c r="DN67" s="497"/>
      <c r="DO67" s="497"/>
      <c r="DP67" s="497"/>
      <c r="DQ67" s="497"/>
      <c r="DR67" s="497"/>
      <c r="DS67" s="497"/>
      <c r="DT67" s="497"/>
      <c r="DU67" s="497"/>
      <c r="DV67" s="497"/>
      <c r="DW67" s="497"/>
      <c r="DX67" s="497"/>
      <c r="DY67" s="497"/>
      <c r="DZ67" s="497"/>
      <c r="EA67" s="497"/>
      <c r="EB67" s="497"/>
      <c r="EC67" s="497"/>
      <c r="ED67" s="497"/>
      <c r="EE67" s="497"/>
      <c r="EF67" s="497"/>
      <c r="EG67" s="497"/>
      <c r="EH67" s="497"/>
      <c r="EI67" s="497"/>
      <c r="EJ67" s="497"/>
      <c r="EK67" s="497"/>
      <c r="EL67" s="497"/>
      <c r="EM67" s="497"/>
      <c r="EN67" s="497"/>
      <c r="EO67" s="497"/>
      <c r="EP67" s="497"/>
      <c r="EQ67" s="497"/>
      <c r="ER67" s="497"/>
      <c r="ES67" s="497"/>
      <c r="ET67" s="497"/>
      <c r="EU67" s="497"/>
      <c r="EV67" s="497"/>
      <c r="EW67" s="497"/>
      <c r="EX67" s="497"/>
      <c r="EY67" s="497"/>
      <c r="EZ67" s="497"/>
      <c r="FA67" s="497"/>
      <c r="FB67" s="497"/>
      <c r="FC67" s="497"/>
      <c r="FD67" s="497"/>
      <c r="FE67" s="497"/>
      <c r="FF67" s="497"/>
      <c r="FG67" s="497"/>
      <c r="FH67" s="497"/>
      <c r="FI67" s="497"/>
      <c r="FJ67" s="497"/>
      <c r="FK67" s="497"/>
      <c r="FL67" s="497"/>
      <c r="FM67" s="497"/>
      <c r="FN67" s="497"/>
      <c r="FO67" s="497"/>
      <c r="FP67" s="497"/>
      <c r="FQ67" s="497"/>
      <c r="FR67" s="497"/>
      <c r="FS67" s="497"/>
      <c r="FT67" s="497"/>
      <c r="FU67" s="497"/>
      <c r="FV67" s="497"/>
      <c r="FW67" s="497"/>
      <c r="FX67" s="497"/>
      <c r="FY67" s="497"/>
      <c r="FZ67" s="497"/>
      <c r="GA67" s="497"/>
      <c r="GB67" s="497"/>
      <c r="GC67" s="497"/>
      <c r="GD67" s="497"/>
      <c r="GE67" s="497"/>
      <c r="GF67" s="497"/>
      <c r="GG67" s="497"/>
      <c r="GH67" s="497"/>
      <c r="GI67" s="497"/>
      <c r="GJ67" s="497"/>
      <c r="GK67" s="497"/>
      <c r="GL67" s="497"/>
      <c r="GM67" s="497"/>
      <c r="GN67" s="497"/>
      <c r="GO67" s="497"/>
      <c r="GP67" s="497"/>
      <c r="GQ67" s="497"/>
      <c r="GR67" s="497"/>
      <c r="GS67" s="497"/>
      <c r="GT67" s="497"/>
      <c r="GU67" s="497"/>
      <c r="GV67" s="497"/>
      <c r="GW67" s="497"/>
      <c r="GX67" s="497"/>
      <c r="GY67" s="497"/>
      <c r="GZ67" s="497"/>
      <c r="HA67" s="497"/>
      <c r="HB67" s="497"/>
      <c r="HC67" s="497"/>
      <c r="HD67" s="497"/>
      <c r="HE67" s="497"/>
      <c r="HF67" s="497"/>
      <c r="HG67" s="497"/>
      <c r="HH67" s="497"/>
      <c r="HI67" s="497"/>
      <c r="HJ67" s="497"/>
      <c r="HK67" s="497"/>
      <c r="HL67" s="497"/>
      <c r="HM67" s="497"/>
      <c r="HN67" s="497"/>
      <c r="HO67" s="497"/>
    </row>
    <row r="68" spans="1:29" ht="21" customHeight="1" thickBot="1" thickTop="1">
      <c r="A68" s="1220" t="s">
        <v>371</v>
      </c>
      <c r="B68" s="1221"/>
      <c r="C68" s="1222"/>
      <c r="D68" s="450">
        <f>SUM(D67,D41,D33,D51)</f>
        <v>1397197084</v>
      </c>
      <c r="E68" s="450">
        <f>SUM(E67,E41,E33,E51)</f>
        <v>1268949194</v>
      </c>
      <c r="F68" s="681">
        <f>SUM(D68:E68)</f>
        <v>2666146278</v>
      </c>
      <c r="G68" s="910"/>
      <c r="H68" s="1212" t="s">
        <v>98</v>
      </c>
      <c r="I68" s="1213"/>
      <c r="J68" s="1214"/>
      <c r="K68" s="452">
        <f>SUM(K67,K41,K33,K51)</f>
        <v>549041814</v>
      </c>
      <c r="L68" s="451"/>
      <c r="M68" s="1182" t="s">
        <v>99</v>
      </c>
      <c r="N68" s="1182"/>
      <c r="O68" s="1182"/>
      <c r="P68" s="1183"/>
      <c r="Q68" s="452">
        <f>SUM(Q67,Q41,Q33,Q51)</f>
        <v>248173525</v>
      </c>
      <c r="R68" s="453"/>
      <c r="S68" s="1182" t="s">
        <v>100</v>
      </c>
      <c r="T68" s="1182"/>
      <c r="U68" s="1182"/>
      <c r="V68" s="1183"/>
      <c r="W68" s="770">
        <f>SUM(W67,W41,W33,W51)</f>
        <v>1868930939</v>
      </c>
      <c r="X68" s="771">
        <f>SUM(X67,X41,X33,X51)</f>
        <v>1351974153</v>
      </c>
      <c r="Y68" s="454">
        <f>SUM(Y67,Y41,Y33,Y51)</f>
        <v>1314172125</v>
      </c>
      <c r="Z68" s="455">
        <f>SUM(W68+Q68+K68)</f>
        <v>2666146278</v>
      </c>
      <c r="AA68" s="454">
        <f>SUM(AA67,AA41,AA33,AA51)</f>
        <v>-45222931</v>
      </c>
      <c r="AB68" s="454">
        <f>SUM(AB67,AB41,AB33,AB51)</f>
        <v>45222931</v>
      </c>
      <c r="AC68" s="681">
        <f>SUM(AC67,AC41,AC33,AC51)</f>
        <v>0</v>
      </c>
    </row>
    <row r="69" spans="1:29" ht="19.5" thickTop="1">
      <c r="A69" s="1194"/>
      <c r="B69" s="1195"/>
      <c r="C69" s="1195"/>
      <c r="D69" s="432"/>
      <c r="E69" s="432"/>
      <c r="F69" s="432"/>
      <c r="G69" s="379"/>
      <c r="H69" s="379"/>
      <c r="I69" s="379"/>
      <c r="J69" s="456"/>
      <c r="K69" s="408"/>
      <c r="L69" s="377"/>
      <c r="M69" s="368"/>
      <c r="N69" s="368"/>
      <c r="O69" s="368"/>
      <c r="P69" s="368"/>
      <c r="Q69" s="368"/>
      <c r="R69" s="377"/>
      <c r="S69" s="432"/>
      <c r="T69" s="432"/>
      <c r="U69" s="432"/>
      <c r="V69" s="432"/>
      <c r="W69" s="432"/>
      <c r="X69" s="432"/>
      <c r="Y69" s="432"/>
      <c r="Z69" s="432"/>
      <c r="AA69" s="432"/>
      <c r="AB69" s="432"/>
      <c r="AC69" s="377"/>
    </row>
    <row r="70" spans="1:29" ht="15.75">
      <c r="A70" s="432"/>
      <c r="B70" s="432"/>
      <c r="C70" s="432"/>
      <c r="D70" s="1171" t="s">
        <v>494</v>
      </c>
      <c r="E70" s="1172"/>
      <c r="F70" s="1172"/>
      <c r="G70" s="333"/>
      <c r="H70" s="333"/>
      <c r="I70" s="333"/>
      <c r="J70" s="327"/>
      <c r="K70" s="408"/>
      <c r="L70" s="368"/>
      <c r="M70" s="368"/>
      <c r="N70" s="368"/>
      <c r="O70" s="368"/>
      <c r="P70" s="368"/>
      <c r="Q70" s="368"/>
      <c r="R70" s="368"/>
      <c r="S70" s="432"/>
      <c r="T70" s="432"/>
      <c r="U70" s="432"/>
      <c r="V70" s="432"/>
      <c r="W70" s="1171" t="s">
        <v>101</v>
      </c>
      <c r="X70" s="1172"/>
      <c r="Y70" s="1172"/>
      <c r="Z70" s="457"/>
      <c r="AA70" s="1171" t="s">
        <v>88</v>
      </c>
      <c r="AB70" s="1172"/>
      <c r="AC70" s="1172"/>
    </row>
    <row r="71" spans="1:29" ht="15.75">
      <c r="A71" s="432"/>
      <c r="B71" s="432"/>
      <c r="C71" s="432"/>
      <c r="D71" s="458" t="s">
        <v>89</v>
      </c>
      <c r="E71" s="458" t="s">
        <v>102</v>
      </c>
      <c r="F71" s="458" t="s">
        <v>90</v>
      </c>
      <c r="G71" s="333"/>
      <c r="H71" s="333"/>
      <c r="I71" s="333"/>
      <c r="J71" s="327"/>
      <c r="K71" s="408"/>
      <c r="L71" s="368"/>
      <c r="M71" s="368"/>
      <c r="N71" s="368"/>
      <c r="O71" s="368"/>
      <c r="P71" s="368"/>
      <c r="Q71" s="368"/>
      <c r="R71" s="368"/>
      <c r="S71" s="1177"/>
      <c r="T71" s="1177"/>
      <c r="U71" s="1177"/>
      <c r="V71" s="1177"/>
      <c r="W71" s="458" t="s">
        <v>89</v>
      </c>
      <c r="X71" s="458" t="s">
        <v>102</v>
      </c>
      <c r="Y71" s="458" t="s">
        <v>90</v>
      </c>
      <c r="Z71" s="459"/>
      <c r="AA71" s="458" t="s">
        <v>89</v>
      </c>
      <c r="AB71" s="458" t="s">
        <v>102</v>
      </c>
      <c r="AC71" s="458" t="s">
        <v>90</v>
      </c>
    </row>
    <row r="72" spans="1:29" ht="15.75">
      <c r="A72" s="432"/>
      <c r="B72" s="432"/>
      <c r="C72" s="460" t="s">
        <v>103</v>
      </c>
      <c r="D72" s="432"/>
      <c r="E72" s="432"/>
      <c r="F72" s="432"/>
      <c r="G72" s="333"/>
      <c r="H72" s="333"/>
      <c r="I72" s="333"/>
      <c r="J72" s="327"/>
      <c r="K72" s="408"/>
      <c r="L72" s="368"/>
      <c r="M72" s="368"/>
      <c r="N72" s="368"/>
      <c r="O72" s="368"/>
      <c r="P72" s="368"/>
      <c r="Q72" s="368"/>
      <c r="R72" s="368"/>
      <c r="S72" s="432"/>
      <c r="T72" s="460" t="s">
        <v>103</v>
      </c>
      <c r="U72" s="432"/>
      <c r="V72" s="1171"/>
      <c r="W72" s="1172"/>
      <c r="X72" s="432"/>
      <c r="Y72" s="432"/>
      <c r="Z72" s="432"/>
      <c r="AA72" s="432"/>
      <c r="AB72" s="432"/>
      <c r="AC72" s="368"/>
    </row>
    <row r="73" spans="1:29" ht="15.75">
      <c r="A73" s="432"/>
      <c r="B73" s="432"/>
      <c r="C73" s="432" t="s">
        <v>104</v>
      </c>
      <c r="D73" s="461">
        <f>SUM(D10)</f>
        <v>624669943</v>
      </c>
      <c r="E73" s="461">
        <f>SUM(E10)</f>
        <v>380389116</v>
      </c>
      <c r="F73" s="461">
        <f>SUM(D73:E73)</f>
        <v>1005059059</v>
      </c>
      <c r="G73" s="333"/>
      <c r="H73" s="333"/>
      <c r="I73" s="333"/>
      <c r="J73" s="327"/>
      <c r="K73" s="408"/>
      <c r="L73" s="368"/>
      <c r="M73" s="368"/>
      <c r="N73" s="368"/>
      <c r="O73" s="368"/>
      <c r="P73" s="368"/>
      <c r="Q73" s="368"/>
      <c r="R73" s="368"/>
      <c r="S73" s="432"/>
      <c r="T73" s="432" t="s">
        <v>104</v>
      </c>
      <c r="U73" s="432"/>
      <c r="V73" s="432"/>
      <c r="W73" s="461">
        <f>SUM(X17)</f>
        <v>680348337</v>
      </c>
      <c r="X73" s="461">
        <f>Y17</f>
        <v>419586892</v>
      </c>
      <c r="Y73" s="461">
        <f>SUM(W73:X73)</f>
        <v>1099935229</v>
      </c>
      <c r="Z73" s="415"/>
      <c r="AA73" s="461">
        <f aca="true" t="shared" si="0" ref="AA73:AB76">W73-D73</f>
        <v>55678394</v>
      </c>
      <c r="AB73" s="461">
        <f t="shared" si="0"/>
        <v>39197776</v>
      </c>
      <c r="AC73" s="415">
        <f>SUM(AA73:AB73)</f>
        <v>94876170</v>
      </c>
    </row>
    <row r="74" spans="1:29" ht="15.75">
      <c r="A74" s="432"/>
      <c r="B74" s="432"/>
      <c r="C74" s="432" t="s">
        <v>378</v>
      </c>
      <c r="D74" s="461">
        <f>SUM(D38)</f>
        <v>153225544</v>
      </c>
      <c r="E74" s="461">
        <f>SUM(E38)</f>
        <v>1016000</v>
      </c>
      <c r="F74" s="461">
        <f>SUM(D74:E74)</f>
        <v>154241544</v>
      </c>
      <c r="G74" s="333"/>
      <c r="H74" s="333"/>
      <c r="I74" s="333"/>
      <c r="J74" s="462"/>
      <c r="K74" s="408"/>
      <c r="L74" s="368"/>
      <c r="M74" s="368"/>
      <c r="N74" s="368"/>
      <c r="O74" s="368"/>
      <c r="P74" s="368"/>
      <c r="Q74" s="368"/>
      <c r="R74" s="368"/>
      <c r="S74" s="432"/>
      <c r="T74" s="432" t="s">
        <v>378</v>
      </c>
      <c r="U74" s="432"/>
      <c r="V74" s="432"/>
      <c r="W74" s="461">
        <f>SUM(X38)</f>
        <v>147136588</v>
      </c>
      <c r="X74" s="461">
        <f>Y38</f>
        <v>0</v>
      </c>
      <c r="Y74" s="461">
        <f>SUM(W74:X74)</f>
        <v>147136588</v>
      </c>
      <c r="Z74" s="415"/>
      <c r="AA74" s="461">
        <f t="shared" si="0"/>
        <v>-6088956</v>
      </c>
      <c r="AB74" s="461">
        <f t="shared" si="0"/>
        <v>-1016000</v>
      </c>
      <c r="AC74" s="415">
        <f>SUM(AA74:AB74)</f>
        <v>-7104956</v>
      </c>
    </row>
    <row r="75" spans="1:29" ht="15.75">
      <c r="A75" s="432"/>
      <c r="B75" s="432"/>
      <c r="C75" s="432" t="s">
        <v>812</v>
      </c>
      <c r="D75" s="461">
        <f>SUM(D45)</f>
        <v>36882752</v>
      </c>
      <c r="E75" s="461">
        <f>SUM(E45)</f>
        <v>1418939</v>
      </c>
      <c r="F75" s="461">
        <f>SUM(D75:E75)</f>
        <v>38301691</v>
      </c>
      <c r="G75" s="333"/>
      <c r="H75" s="333"/>
      <c r="I75" s="333"/>
      <c r="J75" s="462"/>
      <c r="K75" s="408"/>
      <c r="L75" s="368"/>
      <c r="M75" s="368"/>
      <c r="N75" s="368"/>
      <c r="O75" s="368"/>
      <c r="P75" s="368"/>
      <c r="Q75" s="368"/>
      <c r="R75" s="368"/>
      <c r="S75" s="432"/>
      <c r="T75" s="432" t="s">
        <v>840</v>
      </c>
      <c r="U75" s="432"/>
      <c r="V75" s="432"/>
      <c r="W75" s="461">
        <f>SUM(X45)</f>
        <v>29128991</v>
      </c>
      <c r="X75" s="461">
        <f>SUM(Y45)</f>
        <v>0</v>
      </c>
      <c r="Y75" s="461">
        <f>SUM(W75:X75)</f>
        <v>29128991</v>
      </c>
      <c r="Z75" s="415"/>
      <c r="AA75" s="461">
        <f>W75-D75</f>
        <v>-7753761</v>
      </c>
      <c r="AB75" s="461">
        <f>X75-E75</f>
        <v>-1418939</v>
      </c>
      <c r="AC75" s="415">
        <f>SUM(AA75:AB75)</f>
        <v>-9172700</v>
      </c>
    </row>
    <row r="76" spans="1:29" ht="12.75">
      <c r="A76" s="432"/>
      <c r="B76" s="432"/>
      <c r="C76" s="463" t="s">
        <v>105</v>
      </c>
      <c r="D76" s="464">
        <f>SUM(D58)</f>
        <v>224041316</v>
      </c>
      <c r="E76" s="464">
        <f>SUM(E58)</f>
        <v>1676530</v>
      </c>
      <c r="F76" s="464">
        <f>SUM(D76:E76)</f>
        <v>225717846</v>
      </c>
      <c r="G76" s="432"/>
      <c r="H76" s="432"/>
      <c r="I76" s="432"/>
      <c r="J76" s="432"/>
      <c r="K76" s="368"/>
      <c r="L76" s="368"/>
      <c r="M76" s="368"/>
      <c r="N76" s="368"/>
      <c r="O76" s="368"/>
      <c r="P76" s="368"/>
      <c r="Q76" s="368"/>
      <c r="R76" s="368"/>
      <c r="S76" s="432"/>
      <c r="T76" s="463" t="s">
        <v>105</v>
      </c>
      <c r="U76" s="465"/>
      <c r="V76" s="465"/>
      <c r="W76" s="464">
        <f>SUM(X58)</f>
        <v>194882089</v>
      </c>
      <c r="X76" s="464">
        <f>Y58</f>
        <v>0</v>
      </c>
      <c r="Y76" s="464">
        <f>SUM(W76:X76)</f>
        <v>194882089</v>
      </c>
      <c r="Z76" s="415"/>
      <c r="AA76" s="464">
        <f t="shared" si="0"/>
        <v>-29159227</v>
      </c>
      <c r="AB76" s="464">
        <f t="shared" si="0"/>
        <v>-1676530</v>
      </c>
      <c r="AC76" s="464">
        <f>SUM(AA76:AB76)</f>
        <v>-30835757</v>
      </c>
    </row>
    <row r="77" spans="1:29" ht="12.75">
      <c r="A77" s="432"/>
      <c r="B77" s="432"/>
      <c r="C77" s="466" t="s">
        <v>370</v>
      </c>
      <c r="D77" s="461">
        <f>SUM(D73:D76)</f>
        <v>1038819555</v>
      </c>
      <c r="E77" s="461">
        <f>SUM(E73:E76)</f>
        <v>384500585</v>
      </c>
      <c r="F77" s="461">
        <f>SUM(F73:F76)</f>
        <v>1423320140</v>
      </c>
      <c r="G77" s="432"/>
      <c r="H77" s="432"/>
      <c r="I77" s="432"/>
      <c r="J77" s="432"/>
      <c r="K77" s="368"/>
      <c r="L77" s="368"/>
      <c r="M77" s="368"/>
      <c r="N77" s="368"/>
      <c r="O77" s="368"/>
      <c r="P77" s="368"/>
      <c r="Q77" s="368"/>
      <c r="R77" s="368"/>
      <c r="S77" s="432"/>
      <c r="T77" s="466" t="s">
        <v>370</v>
      </c>
      <c r="U77" s="432"/>
      <c r="V77" s="466"/>
      <c r="W77" s="461">
        <f>SUM(W73:W76)</f>
        <v>1051496005</v>
      </c>
      <c r="X77" s="461">
        <f>SUM(X73:X76)</f>
        <v>419586892</v>
      </c>
      <c r="Y77" s="461">
        <f>SUM(Y73:Y76)</f>
        <v>1471082897</v>
      </c>
      <c r="Z77" s="415"/>
      <c r="AA77" s="461">
        <f>SUM(AA73:AA76)</f>
        <v>12676450</v>
      </c>
      <c r="AB77" s="461">
        <f>SUM(AB73:AB76)</f>
        <v>35086307</v>
      </c>
      <c r="AC77" s="461">
        <f>SUM(AC73:AC76)</f>
        <v>47762757</v>
      </c>
    </row>
    <row r="78" spans="1:29" ht="12.75">
      <c r="A78" s="432"/>
      <c r="B78" s="432"/>
      <c r="C78" s="466"/>
      <c r="D78" s="461"/>
      <c r="E78" s="461"/>
      <c r="F78" s="461"/>
      <c r="G78" s="432"/>
      <c r="H78" s="432"/>
      <c r="I78" s="432"/>
      <c r="J78" s="432"/>
      <c r="K78" s="432"/>
      <c r="L78" s="368"/>
      <c r="M78" s="368"/>
      <c r="N78" s="368"/>
      <c r="O78" s="368"/>
      <c r="P78" s="368"/>
      <c r="Q78" s="368"/>
      <c r="R78" s="368"/>
      <c r="S78" s="432"/>
      <c r="T78" s="432"/>
      <c r="U78" s="432"/>
      <c r="V78" s="432"/>
      <c r="W78" s="432"/>
      <c r="X78" s="432"/>
      <c r="Y78" s="432"/>
      <c r="Z78" s="432"/>
      <c r="AA78" s="432"/>
      <c r="AB78" s="432"/>
      <c r="AC78" s="368"/>
    </row>
    <row r="79" spans="1:29" ht="12.75">
      <c r="A79" s="432"/>
      <c r="B79" s="432"/>
      <c r="C79" s="460" t="s">
        <v>106</v>
      </c>
      <c r="D79" s="461"/>
      <c r="E79" s="461"/>
      <c r="F79" s="461"/>
      <c r="G79" s="432"/>
      <c r="H79" s="432"/>
      <c r="I79" s="432"/>
      <c r="J79" s="432"/>
      <c r="K79" s="432"/>
      <c r="L79" s="368"/>
      <c r="M79" s="368"/>
      <c r="N79" s="368"/>
      <c r="O79" s="368"/>
      <c r="P79" s="368"/>
      <c r="Q79" s="368"/>
      <c r="R79" s="368"/>
      <c r="S79" s="432"/>
      <c r="T79" s="460" t="s">
        <v>106</v>
      </c>
      <c r="U79" s="467"/>
      <c r="V79" s="460"/>
      <c r="W79" s="468"/>
      <c r="X79" s="468"/>
      <c r="Y79" s="432"/>
      <c r="Z79" s="432"/>
      <c r="AA79" s="432"/>
      <c r="AB79" s="432"/>
      <c r="AC79" s="368"/>
    </row>
    <row r="80" spans="1:29" ht="12.75">
      <c r="A80" s="432"/>
      <c r="B80" s="432"/>
      <c r="C80" s="432" t="s">
        <v>104</v>
      </c>
      <c r="D80" s="461">
        <f>SUM(D27)</f>
        <v>237482100</v>
      </c>
      <c r="E80" s="461">
        <f>SUM(E27)</f>
        <v>881951509</v>
      </c>
      <c r="F80" s="461">
        <f>SUM(D80:E80)</f>
        <v>1119433609</v>
      </c>
      <c r="G80" s="432"/>
      <c r="H80" s="432"/>
      <c r="I80" s="432"/>
      <c r="J80" s="432"/>
      <c r="K80" s="432"/>
      <c r="L80" s="368"/>
      <c r="M80" s="368"/>
      <c r="N80" s="368"/>
      <c r="O80" s="368"/>
      <c r="P80" s="368"/>
      <c r="Q80" s="368"/>
      <c r="R80" s="368"/>
      <c r="S80" s="432"/>
      <c r="T80" s="432" t="s">
        <v>104</v>
      </c>
      <c r="U80" s="432"/>
      <c r="V80" s="432"/>
      <c r="W80" s="461">
        <f>SUM(X27)</f>
        <v>207692011</v>
      </c>
      <c r="X80" s="461">
        <f>Y27</f>
        <v>894585233</v>
      </c>
      <c r="Y80" s="461">
        <f>SUM(W80:X80)</f>
        <v>1102277244</v>
      </c>
      <c r="Z80" s="415"/>
      <c r="AA80" s="461">
        <f aca="true" t="shared" si="1" ref="AA80:AB83">W80-D80</f>
        <v>-29790089</v>
      </c>
      <c r="AB80" s="461">
        <f t="shared" si="1"/>
        <v>12633724</v>
      </c>
      <c r="AC80" s="415">
        <f>SUM(AA80:AB80)</f>
        <v>-17156365</v>
      </c>
    </row>
    <row r="81" spans="1:29" ht="12.75">
      <c r="A81" s="432"/>
      <c r="B81" s="432"/>
      <c r="C81" s="432" t="s">
        <v>378</v>
      </c>
      <c r="D81" s="461">
        <f>D40</f>
        <v>9632703</v>
      </c>
      <c r="E81" s="461">
        <v>0</v>
      </c>
      <c r="F81" s="461">
        <f>SUM(D81:E81)</f>
        <v>9632703</v>
      </c>
      <c r="G81" s="432"/>
      <c r="H81" s="432"/>
      <c r="I81" s="432"/>
      <c r="J81" s="432"/>
      <c r="K81" s="432"/>
      <c r="L81" s="368"/>
      <c r="M81" s="368"/>
      <c r="N81" s="368"/>
      <c r="O81" s="368"/>
      <c r="P81" s="368"/>
      <c r="Q81" s="368"/>
      <c r="R81" s="368"/>
      <c r="S81" s="432"/>
      <c r="T81" s="432" t="s">
        <v>378</v>
      </c>
      <c r="U81" s="432"/>
      <c r="V81" s="432"/>
      <c r="W81" s="461">
        <f>SUM(X40)</f>
        <v>4419110</v>
      </c>
      <c r="X81" s="461">
        <v>0</v>
      </c>
      <c r="Y81" s="461">
        <f>SUM(W81:X81)</f>
        <v>4419110</v>
      </c>
      <c r="Z81" s="415"/>
      <c r="AA81" s="461">
        <f t="shared" si="1"/>
        <v>-5213593</v>
      </c>
      <c r="AB81" s="461">
        <f t="shared" si="1"/>
        <v>0</v>
      </c>
      <c r="AC81" s="415">
        <f>SUM(AA81:AB81)</f>
        <v>-5213593</v>
      </c>
    </row>
    <row r="82" spans="1:29" ht="12.75">
      <c r="A82" s="432"/>
      <c r="B82" s="432"/>
      <c r="C82" s="432" t="s">
        <v>812</v>
      </c>
      <c r="D82" s="461">
        <f>SUM(D48)</f>
        <v>22765512</v>
      </c>
      <c r="E82" s="461">
        <f>SUM(E48)</f>
        <v>2497100</v>
      </c>
      <c r="F82" s="461">
        <f>SUM(D82:E82)</f>
        <v>25262612</v>
      </c>
      <c r="G82" s="432"/>
      <c r="H82" s="432"/>
      <c r="I82" s="432"/>
      <c r="J82" s="432"/>
      <c r="K82" s="432"/>
      <c r="L82" s="368"/>
      <c r="M82" s="368"/>
      <c r="N82" s="368"/>
      <c r="O82" s="368"/>
      <c r="P82" s="368"/>
      <c r="Q82" s="368"/>
      <c r="R82" s="368"/>
      <c r="S82" s="432"/>
      <c r="T82" s="432" t="s">
        <v>840</v>
      </c>
      <c r="U82" s="432"/>
      <c r="V82" s="432"/>
      <c r="W82" s="461">
        <f>X47</f>
        <v>25262612</v>
      </c>
      <c r="X82" s="461">
        <f>Y47</f>
        <v>0</v>
      </c>
      <c r="Y82" s="461">
        <f>SUM(W82:X82)</f>
        <v>25262612</v>
      </c>
      <c r="Z82" s="415"/>
      <c r="AA82" s="461">
        <f>W82-D82</f>
        <v>2497100</v>
      </c>
      <c r="AB82" s="461">
        <f>X82-E82</f>
        <v>-2497100</v>
      </c>
      <c r="AC82" s="415">
        <f>SUM(AA82:AB82)</f>
        <v>0</v>
      </c>
    </row>
    <row r="83" spans="1:29" ht="12.75">
      <c r="A83" s="432"/>
      <c r="B83" s="432"/>
      <c r="C83" s="463" t="s">
        <v>105</v>
      </c>
      <c r="D83" s="464">
        <f>SUM(D65)</f>
        <v>59200180</v>
      </c>
      <c r="E83" s="464">
        <f>E65</f>
        <v>0</v>
      </c>
      <c r="F83" s="464">
        <f>SUM(D83:E83)</f>
        <v>59200180</v>
      </c>
      <c r="G83" s="432"/>
      <c r="H83" s="432"/>
      <c r="I83" s="432"/>
      <c r="J83" s="432"/>
      <c r="K83" s="432"/>
      <c r="L83" s="368"/>
      <c r="M83" s="368"/>
      <c r="N83" s="368"/>
      <c r="O83" s="368"/>
      <c r="P83" s="368"/>
      <c r="Q83" s="368"/>
      <c r="R83" s="368"/>
      <c r="S83" s="432"/>
      <c r="T83" s="463" t="s">
        <v>105</v>
      </c>
      <c r="U83" s="465"/>
      <c r="V83" s="465"/>
      <c r="W83" s="464">
        <f>SUM(X65)</f>
        <v>52245569</v>
      </c>
      <c r="X83" s="464">
        <v>0</v>
      </c>
      <c r="Y83" s="464">
        <f>SUM(W83:X83)</f>
        <v>52245569</v>
      </c>
      <c r="Z83" s="415"/>
      <c r="AA83" s="464">
        <f t="shared" si="1"/>
        <v>-6954611</v>
      </c>
      <c r="AB83" s="464">
        <f t="shared" si="1"/>
        <v>0</v>
      </c>
      <c r="AC83" s="464">
        <f>SUM(AA83:AB83)</f>
        <v>-6954611</v>
      </c>
    </row>
    <row r="84" spans="1:29" ht="12.75">
      <c r="A84" s="432"/>
      <c r="B84" s="432"/>
      <c r="C84" s="466" t="s">
        <v>370</v>
      </c>
      <c r="D84" s="461">
        <f>SUM(D80:D83)</f>
        <v>329080495</v>
      </c>
      <c r="E84" s="461">
        <f>SUM(E80:E83)</f>
        <v>884448609</v>
      </c>
      <c r="F84" s="461">
        <f>SUM(F80:F83)</f>
        <v>1213529104</v>
      </c>
      <c r="G84" s="432"/>
      <c r="H84" s="432"/>
      <c r="I84" s="432"/>
      <c r="J84" s="432"/>
      <c r="K84" s="432"/>
      <c r="L84" s="368"/>
      <c r="M84" s="368"/>
      <c r="N84" s="368"/>
      <c r="O84" s="368"/>
      <c r="P84" s="368"/>
      <c r="Q84" s="368"/>
      <c r="R84" s="368"/>
      <c r="S84" s="432"/>
      <c r="T84" s="466" t="s">
        <v>370</v>
      </c>
      <c r="U84" s="432"/>
      <c r="V84" s="466"/>
      <c r="W84" s="461">
        <f>SUM(W80:W83)</f>
        <v>289619302</v>
      </c>
      <c r="X84" s="461">
        <f>SUM(X80:X83)</f>
        <v>894585233</v>
      </c>
      <c r="Y84" s="461">
        <f>SUM(Y80:Y83)</f>
        <v>1184204535</v>
      </c>
      <c r="Z84" s="415"/>
      <c r="AA84" s="461">
        <f>SUM(AA80:AA83)</f>
        <v>-39461193</v>
      </c>
      <c r="AB84" s="461">
        <f>SUM(AB80:AB83)</f>
        <v>10136624</v>
      </c>
      <c r="AC84" s="461">
        <f>SUM(AC80:AC83)</f>
        <v>-29324569</v>
      </c>
    </row>
    <row r="85" spans="1:29" ht="12.75">
      <c r="A85" s="432"/>
      <c r="B85" s="432"/>
      <c r="C85" s="466"/>
      <c r="D85" s="461"/>
      <c r="E85" s="461"/>
      <c r="F85" s="461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432"/>
      <c r="R85" s="432"/>
      <c r="S85" s="432"/>
      <c r="T85" s="432"/>
      <c r="U85" s="432"/>
      <c r="V85" s="432"/>
      <c r="W85" s="432"/>
      <c r="X85" s="432"/>
      <c r="Y85" s="432"/>
      <c r="Z85" s="368"/>
      <c r="AA85" s="461"/>
      <c r="AB85" s="461"/>
      <c r="AC85" s="368"/>
    </row>
    <row r="86" spans="1:29" ht="12.75">
      <c r="A86" s="432"/>
      <c r="B86" s="432"/>
      <c r="C86" s="460" t="s">
        <v>107</v>
      </c>
      <c r="D86" s="461"/>
      <c r="E86" s="461"/>
      <c r="F86" s="461"/>
      <c r="G86" s="432"/>
      <c r="H86" s="432"/>
      <c r="I86" s="432"/>
      <c r="J86" s="432"/>
      <c r="K86" s="432"/>
      <c r="L86" s="432"/>
      <c r="M86" s="432"/>
      <c r="N86" s="432"/>
      <c r="O86" s="432"/>
      <c r="P86" s="432"/>
      <c r="Q86" s="432"/>
      <c r="R86" s="432"/>
      <c r="S86" s="432"/>
      <c r="T86" s="460" t="s">
        <v>107</v>
      </c>
      <c r="U86" s="432"/>
      <c r="V86" s="460"/>
      <c r="W86" s="432"/>
      <c r="X86" s="432"/>
      <c r="Y86" s="432"/>
      <c r="Z86" s="368"/>
      <c r="AA86" s="461"/>
      <c r="AB86" s="461"/>
      <c r="AC86" s="368"/>
    </row>
    <row r="87" spans="1:29" ht="12.75">
      <c r="A87" s="432"/>
      <c r="B87" s="432"/>
      <c r="C87" s="432" t="s">
        <v>104</v>
      </c>
      <c r="D87" s="461">
        <f>SUM(D23)</f>
        <v>29297034</v>
      </c>
      <c r="E87" s="461">
        <f>SUM(E23)</f>
        <v>0</v>
      </c>
      <c r="F87" s="461">
        <f>SUM(D87:E87)</f>
        <v>29297034</v>
      </c>
      <c r="G87" s="432"/>
      <c r="H87" s="432"/>
      <c r="I87" s="432"/>
      <c r="J87" s="432"/>
      <c r="K87" s="432"/>
      <c r="L87" s="432"/>
      <c r="M87" s="432"/>
      <c r="N87" s="432"/>
      <c r="O87" s="432"/>
      <c r="P87" s="432"/>
      <c r="Q87" s="432"/>
      <c r="R87" s="432"/>
      <c r="S87" s="432"/>
      <c r="T87" s="432" t="s">
        <v>104</v>
      </c>
      <c r="U87" s="432"/>
      <c r="V87" s="432"/>
      <c r="W87" s="461">
        <f>SUM(X23)</f>
        <v>10858846</v>
      </c>
      <c r="X87" s="461">
        <v>0</v>
      </c>
      <c r="Y87" s="461">
        <f>SUM(W87:X87)</f>
        <v>10858846</v>
      </c>
      <c r="Z87" s="415"/>
      <c r="AA87" s="461">
        <f aca="true" t="shared" si="2" ref="AA87:AB90">W87-D87</f>
        <v>-18438188</v>
      </c>
      <c r="AB87" s="461">
        <f t="shared" si="2"/>
        <v>0</v>
      </c>
      <c r="AC87" s="415">
        <f>SUM(AA87:AB87)</f>
        <v>-18438188</v>
      </c>
    </row>
    <row r="88" spans="1:29" ht="12.75">
      <c r="A88" s="432"/>
      <c r="B88" s="432"/>
      <c r="C88" s="432" t="s">
        <v>378</v>
      </c>
      <c r="D88" s="461">
        <v>0</v>
      </c>
      <c r="E88" s="461">
        <v>0</v>
      </c>
      <c r="F88" s="461">
        <f>SUM(D88:E88)</f>
        <v>0</v>
      </c>
      <c r="G88" s="432"/>
      <c r="H88" s="432"/>
      <c r="I88" s="432"/>
      <c r="J88" s="432"/>
      <c r="K88" s="432"/>
      <c r="L88" s="432"/>
      <c r="M88" s="432"/>
      <c r="N88" s="432"/>
      <c r="O88" s="432"/>
      <c r="P88" s="432"/>
      <c r="Q88" s="432"/>
      <c r="R88" s="432"/>
      <c r="S88" s="432"/>
      <c r="T88" s="432" t="s">
        <v>378</v>
      </c>
      <c r="U88" s="432"/>
      <c r="V88" s="432"/>
      <c r="W88" s="461">
        <v>0</v>
      </c>
      <c r="X88" s="461">
        <v>0</v>
      </c>
      <c r="Y88" s="461">
        <f>SUM(W88:X88)</f>
        <v>0</v>
      </c>
      <c r="Z88" s="415"/>
      <c r="AA88" s="461">
        <f t="shared" si="2"/>
        <v>0</v>
      </c>
      <c r="AB88" s="461">
        <f t="shared" si="2"/>
        <v>0</v>
      </c>
      <c r="AC88" s="415">
        <f>SUM(AA88:AB88)</f>
        <v>0</v>
      </c>
    </row>
    <row r="89" spans="1:29" ht="12.75">
      <c r="A89" s="432"/>
      <c r="B89" s="432"/>
      <c r="C89" s="432" t="s">
        <v>812</v>
      </c>
      <c r="D89" s="461">
        <v>0</v>
      </c>
      <c r="E89" s="461">
        <v>0</v>
      </c>
      <c r="F89" s="461">
        <f>SUM(D89:E89)</f>
        <v>0</v>
      </c>
      <c r="G89" s="432"/>
      <c r="H89" s="432"/>
      <c r="I89" s="432"/>
      <c r="J89" s="432"/>
      <c r="K89" s="432"/>
      <c r="L89" s="432"/>
      <c r="M89" s="432"/>
      <c r="N89" s="432"/>
      <c r="O89" s="432"/>
      <c r="P89" s="432"/>
      <c r="Q89" s="432"/>
      <c r="R89" s="432"/>
      <c r="S89" s="432"/>
      <c r="T89" s="432" t="s">
        <v>840</v>
      </c>
      <c r="U89" s="432"/>
      <c r="V89" s="432"/>
      <c r="W89" s="461">
        <v>0</v>
      </c>
      <c r="X89" s="461">
        <v>0</v>
      </c>
      <c r="Y89" s="461">
        <f>SUM(W89:X89)</f>
        <v>0</v>
      </c>
      <c r="Z89" s="415"/>
      <c r="AA89" s="461">
        <f>W89-D89</f>
        <v>0</v>
      </c>
      <c r="AB89" s="461">
        <f>X89-E89</f>
        <v>0</v>
      </c>
      <c r="AC89" s="415">
        <f>SUM(AA89:AB89)</f>
        <v>0</v>
      </c>
    </row>
    <row r="90" spans="1:29" ht="12.75">
      <c r="A90" s="432"/>
      <c r="B90" s="432"/>
      <c r="C90" s="463" t="s">
        <v>105</v>
      </c>
      <c r="D90" s="464">
        <v>0</v>
      </c>
      <c r="E90" s="464">
        <v>0</v>
      </c>
      <c r="F90" s="464">
        <f>SUM(D90:E90)</f>
        <v>0</v>
      </c>
      <c r="G90" s="432"/>
      <c r="H90" s="432"/>
      <c r="I90" s="432"/>
      <c r="J90" s="432"/>
      <c r="K90" s="432"/>
      <c r="L90" s="432"/>
      <c r="M90" s="432"/>
      <c r="N90" s="432"/>
      <c r="O90" s="432"/>
      <c r="P90" s="432"/>
      <c r="Q90" s="432"/>
      <c r="R90" s="432"/>
      <c r="S90" s="432"/>
      <c r="T90" s="463" t="s">
        <v>105</v>
      </c>
      <c r="U90" s="465"/>
      <c r="V90" s="465"/>
      <c r="W90" s="464">
        <v>0</v>
      </c>
      <c r="X90" s="464">
        <v>0</v>
      </c>
      <c r="Y90" s="464">
        <f>SUM(W90:X90)</f>
        <v>0</v>
      </c>
      <c r="Z90" s="415"/>
      <c r="AA90" s="464">
        <f t="shared" si="2"/>
        <v>0</v>
      </c>
      <c r="AB90" s="464">
        <f t="shared" si="2"/>
        <v>0</v>
      </c>
      <c r="AC90" s="464">
        <f>SUM(AA90:AB90)</f>
        <v>0</v>
      </c>
    </row>
    <row r="91" spans="1:29" ht="12.75">
      <c r="A91" s="432"/>
      <c r="B91" s="432"/>
      <c r="C91" s="466" t="s">
        <v>370</v>
      </c>
      <c r="D91" s="461">
        <f>SUM(D87:D90)</f>
        <v>29297034</v>
      </c>
      <c r="E91" s="461">
        <f>SUM(E87:E90)</f>
        <v>0</v>
      </c>
      <c r="F91" s="461">
        <f>SUM(F87:F90)</f>
        <v>29297034</v>
      </c>
      <c r="G91" s="432"/>
      <c r="H91" s="432"/>
      <c r="I91" s="432"/>
      <c r="J91" s="432"/>
      <c r="K91" s="432"/>
      <c r="L91" s="432"/>
      <c r="M91" s="432"/>
      <c r="N91" s="432"/>
      <c r="O91" s="432"/>
      <c r="P91" s="432"/>
      <c r="Q91" s="432"/>
      <c r="R91" s="432"/>
      <c r="S91" s="432"/>
      <c r="T91" s="466" t="s">
        <v>370</v>
      </c>
      <c r="U91" s="432"/>
      <c r="V91" s="466"/>
      <c r="W91" s="461">
        <f>SUM(W87:W90)</f>
        <v>10858846</v>
      </c>
      <c r="X91" s="461">
        <f>SUM(X87:X90)</f>
        <v>0</v>
      </c>
      <c r="Y91" s="461">
        <f>SUM(Y87:Y90)</f>
        <v>10858846</v>
      </c>
      <c r="Z91" s="415"/>
      <c r="AA91" s="461">
        <f>SUM(AA87:AA90)</f>
        <v>-18438188</v>
      </c>
      <c r="AB91" s="461">
        <f>SUM(AB87:AB90)</f>
        <v>0</v>
      </c>
      <c r="AC91" s="461">
        <f>SUM(AC87:AC90)</f>
        <v>-18438188</v>
      </c>
    </row>
    <row r="92" spans="1:29" ht="12.75">
      <c r="A92" s="432"/>
      <c r="B92" s="432"/>
      <c r="C92" s="466"/>
      <c r="D92" s="432"/>
      <c r="E92" s="432"/>
      <c r="F92" s="432"/>
      <c r="G92" s="432"/>
      <c r="H92" s="432"/>
      <c r="I92" s="432"/>
      <c r="J92" s="432"/>
      <c r="K92" s="432"/>
      <c r="L92" s="432"/>
      <c r="M92" s="432"/>
      <c r="N92" s="432"/>
      <c r="O92" s="432"/>
      <c r="P92" s="432"/>
      <c r="Q92" s="432"/>
      <c r="R92" s="432"/>
      <c r="S92" s="432"/>
      <c r="T92" s="432"/>
      <c r="U92" s="432"/>
      <c r="V92" s="432"/>
      <c r="W92" s="432"/>
      <c r="X92" s="432"/>
      <c r="Y92" s="432"/>
      <c r="Z92" s="368"/>
      <c r="AA92" s="461"/>
      <c r="AB92" s="461"/>
      <c r="AC92" s="368"/>
    </row>
    <row r="93" spans="1:29" ht="12.75">
      <c r="A93" s="432"/>
      <c r="B93" s="432"/>
      <c r="C93" s="469" t="s">
        <v>108</v>
      </c>
      <c r="D93" s="470">
        <f>SUM(D91,D84,D77)</f>
        <v>1397197084</v>
      </c>
      <c r="E93" s="470">
        <f>SUM(E91,E84,E77)</f>
        <v>1268949194</v>
      </c>
      <c r="F93" s="470">
        <f>SUM(F91,F84,F77)</f>
        <v>2666146278</v>
      </c>
      <c r="G93" s="469"/>
      <c r="H93" s="469"/>
      <c r="I93" s="469"/>
      <c r="J93" s="469"/>
      <c r="K93" s="469"/>
      <c r="L93" s="469"/>
      <c r="M93" s="469"/>
      <c r="N93" s="469"/>
      <c r="O93" s="469"/>
      <c r="P93" s="469"/>
      <c r="Q93" s="469"/>
      <c r="R93" s="469"/>
      <c r="S93" s="469"/>
      <c r="T93" s="469" t="s">
        <v>108</v>
      </c>
      <c r="U93" s="469"/>
      <c r="V93" s="469"/>
      <c r="W93" s="470">
        <f>SUM(W91,W84,W77)</f>
        <v>1351974153</v>
      </c>
      <c r="X93" s="470">
        <f>SUM(X91,X84,X77)</f>
        <v>1314172125</v>
      </c>
      <c r="Y93" s="470">
        <f>SUM(Y91,Y84,Y77)</f>
        <v>2666146278</v>
      </c>
      <c r="Z93" s="349"/>
      <c r="AA93" s="470">
        <f>SUM(AA91,AA84,AA77)</f>
        <v>-45222931</v>
      </c>
      <c r="AB93" s="470">
        <f>SUM(AB91,AB84,AB77)</f>
        <v>45222931</v>
      </c>
      <c r="AC93" s="470">
        <f>SUM(AC91,AC84,AC77)</f>
        <v>0</v>
      </c>
    </row>
    <row r="94" spans="1:29" ht="12.75">
      <c r="A94" s="469"/>
      <c r="B94" s="469"/>
      <c r="D94" s="432"/>
      <c r="E94" s="432"/>
      <c r="F94" s="432"/>
      <c r="G94" s="432"/>
      <c r="H94" s="432"/>
      <c r="I94" s="432"/>
      <c r="J94" s="432"/>
      <c r="K94" s="432"/>
      <c r="L94" s="432"/>
      <c r="M94" s="432"/>
      <c r="N94" s="432"/>
      <c r="O94" s="432"/>
      <c r="P94" s="432"/>
      <c r="Q94" s="432"/>
      <c r="R94" s="432"/>
      <c r="S94" s="432"/>
      <c r="T94" s="432"/>
      <c r="U94" s="432"/>
      <c r="V94" s="432"/>
      <c r="W94" s="432"/>
      <c r="X94" s="432"/>
      <c r="Y94" s="432"/>
      <c r="Z94" s="432"/>
      <c r="AA94" s="432"/>
      <c r="AB94" s="432"/>
      <c r="AC94" s="368"/>
    </row>
    <row r="95" spans="1:29" ht="12.75">
      <c r="A95" s="432"/>
      <c r="B95" s="432"/>
      <c r="C95" s="432"/>
      <c r="D95" s="432"/>
      <c r="E95" s="432"/>
      <c r="F95" s="432"/>
      <c r="G95" s="432"/>
      <c r="H95" s="432"/>
      <c r="I95" s="432"/>
      <c r="J95" s="432"/>
      <c r="K95" s="432"/>
      <c r="L95" s="432"/>
      <c r="M95" s="432"/>
      <c r="N95" s="432"/>
      <c r="O95" s="432"/>
      <c r="P95" s="432"/>
      <c r="Q95" s="432"/>
      <c r="R95" s="432"/>
      <c r="S95" s="432"/>
      <c r="T95" s="432"/>
      <c r="U95" s="432"/>
      <c r="V95" s="432"/>
      <c r="W95" s="432"/>
      <c r="X95" s="432"/>
      <c r="Y95" s="432"/>
      <c r="Z95" s="432"/>
      <c r="AA95" s="432"/>
      <c r="AB95" s="432"/>
      <c r="AC95" s="368"/>
    </row>
    <row r="96" spans="1:3" ht="12.75">
      <c r="A96" s="432"/>
      <c r="B96" s="432"/>
      <c r="C96" s="432"/>
    </row>
  </sheetData>
  <sheetProtection/>
  <mergeCells count="209">
    <mergeCell ref="AB47:AB50"/>
    <mergeCell ref="AC47:AC50"/>
    <mergeCell ref="W47:W50"/>
    <mergeCell ref="X47:X50"/>
    <mergeCell ref="Y47:Y50"/>
    <mergeCell ref="Z47:Z50"/>
    <mergeCell ref="AA47:AA50"/>
    <mergeCell ref="R65:U66"/>
    <mergeCell ref="V65:V66"/>
    <mergeCell ref="W65:W66"/>
    <mergeCell ref="AC65:AC66"/>
    <mergeCell ref="X65:X66"/>
    <mergeCell ref="Y65:Y66"/>
    <mergeCell ref="Z65:Z66"/>
    <mergeCell ref="AA65:AA66"/>
    <mergeCell ref="AB65:AB66"/>
    <mergeCell ref="E65:E66"/>
    <mergeCell ref="F65:F66"/>
    <mergeCell ref="G65:J66"/>
    <mergeCell ref="K65:K66"/>
    <mergeCell ref="L66:O66"/>
    <mergeCell ref="Q65:Q66"/>
    <mergeCell ref="Q24:Q27"/>
    <mergeCell ref="L24:O24"/>
    <mergeCell ref="L32:O32"/>
    <mergeCell ref="R17:U17"/>
    <mergeCell ref="L26:O26"/>
    <mergeCell ref="L23:O23"/>
    <mergeCell ref="R19:U19"/>
    <mergeCell ref="R23:U23"/>
    <mergeCell ref="Q22:Q23"/>
    <mergeCell ref="R24:U24"/>
    <mergeCell ref="V36:V37"/>
    <mergeCell ref="Q36:Q39"/>
    <mergeCell ref="L29:O29"/>
    <mergeCell ref="L28:O28"/>
    <mergeCell ref="Q28:Q32"/>
    <mergeCell ref="L30:O30"/>
    <mergeCell ref="S33:V33"/>
    <mergeCell ref="L39:O39"/>
    <mergeCell ref="L34:Q35"/>
    <mergeCell ref="M33:P33"/>
    <mergeCell ref="G8:I8"/>
    <mergeCell ref="Q19:Q21"/>
    <mergeCell ref="L19:O19"/>
    <mergeCell ref="W36:W39"/>
    <mergeCell ref="R40:U40"/>
    <mergeCell ref="L38:O38"/>
    <mergeCell ref="R39:U39"/>
    <mergeCell ref="R38:U38"/>
    <mergeCell ref="P36:P37"/>
    <mergeCell ref="R36:U37"/>
    <mergeCell ref="L10:O10"/>
    <mergeCell ref="G16:I16"/>
    <mergeCell ref="L17:O17"/>
    <mergeCell ref="G11:I11"/>
    <mergeCell ref="G12:I12"/>
    <mergeCell ref="G13:I13"/>
    <mergeCell ref="L12:O12"/>
    <mergeCell ref="L13:O13"/>
    <mergeCell ref="L27:O27"/>
    <mergeCell ref="L25:O25"/>
    <mergeCell ref="G19:I19"/>
    <mergeCell ref="L15:O15"/>
    <mergeCell ref="G18:I18"/>
    <mergeCell ref="G17:I17"/>
    <mergeCell ref="L16:O16"/>
    <mergeCell ref="G15:I15"/>
    <mergeCell ref="L20:O20"/>
    <mergeCell ref="R8:U8"/>
    <mergeCell ref="L8:O8"/>
    <mergeCell ref="G9:I9"/>
    <mergeCell ref="G10:I10"/>
    <mergeCell ref="L9:O9"/>
    <mergeCell ref="G14:I14"/>
    <mergeCell ref="R9:U9"/>
    <mergeCell ref="R11:U11"/>
    <mergeCell ref="R12:U12"/>
    <mergeCell ref="Q8:Q18"/>
    <mergeCell ref="A6:C7"/>
    <mergeCell ref="L6:Q7"/>
    <mergeCell ref="R6:W7"/>
    <mergeCell ref="D6:F6"/>
    <mergeCell ref="G6:K7"/>
    <mergeCell ref="A3:AC3"/>
    <mergeCell ref="T1:AB1"/>
    <mergeCell ref="X6:Z6"/>
    <mergeCell ref="AA6:AC6"/>
    <mergeCell ref="R21:U21"/>
    <mergeCell ref="R28:U28"/>
    <mergeCell ref="W28:W32"/>
    <mergeCell ref="W19:W21"/>
    <mergeCell ref="W24:W27"/>
    <mergeCell ref="R27:U27"/>
    <mergeCell ref="R25:U25"/>
    <mergeCell ref="A27:C27"/>
    <mergeCell ref="L22:O22"/>
    <mergeCell ref="K8:K18"/>
    <mergeCell ref="AA34:AC34"/>
    <mergeCell ref="R34:W35"/>
    <mergeCell ref="X34:Z34"/>
    <mergeCell ref="W8:W18"/>
    <mergeCell ref="B23:C23"/>
    <mergeCell ref="A33:C33"/>
    <mergeCell ref="H33:J33"/>
    <mergeCell ref="A41:C41"/>
    <mergeCell ref="H41:J41"/>
    <mergeCell ref="K36:K39"/>
    <mergeCell ref="B38:C38"/>
    <mergeCell ref="G36:I37"/>
    <mergeCell ref="J36:J37"/>
    <mergeCell ref="G39:I39"/>
    <mergeCell ref="A40:C40"/>
    <mergeCell ref="G38:I38"/>
    <mergeCell ref="H68:J68"/>
    <mergeCell ref="G55:I55"/>
    <mergeCell ref="A34:C35"/>
    <mergeCell ref="D34:F34"/>
    <mergeCell ref="G34:K35"/>
    <mergeCell ref="M41:P41"/>
    <mergeCell ref="L36:O37"/>
    <mergeCell ref="G61:I61"/>
    <mergeCell ref="F49:F50"/>
    <mergeCell ref="A68:C68"/>
    <mergeCell ref="A69:C69"/>
    <mergeCell ref="L55:O55"/>
    <mergeCell ref="L56:O56"/>
    <mergeCell ref="G62:I62"/>
    <mergeCell ref="A58:C58"/>
    <mergeCell ref="A67:C67"/>
    <mergeCell ref="G59:I59"/>
    <mergeCell ref="G58:I58"/>
    <mergeCell ref="A65:C66"/>
    <mergeCell ref="L65:O65"/>
    <mergeCell ref="G53:K54"/>
    <mergeCell ref="G64:I64"/>
    <mergeCell ref="L53:Q54"/>
    <mergeCell ref="G56:I56"/>
    <mergeCell ref="G60:I60"/>
    <mergeCell ref="G63:I63"/>
    <mergeCell ref="G57:I57"/>
    <mergeCell ref="D65:D66"/>
    <mergeCell ref="AA70:AC70"/>
    <mergeCell ref="K55:K64"/>
    <mergeCell ref="W55:W64"/>
    <mergeCell ref="M68:P68"/>
    <mergeCell ref="H67:J67"/>
    <mergeCell ref="D70:F70"/>
    <mergeCell ref="S68:V68"/>
    <mergeCell ref="R59:U59"/>
    <mergeCell ref="M67:P67"/>
    <mergeCell ref="V72:W72"/>
    <mergeCell ref="Q55:Q64"/>
    <mergeCell ref="R55:U55"/>
    <mergeCell ref="R56:U56"/>
    <mergeCell ref="L47:O48"/>
    <mergeCell ref="S71:V71"/>
    <mergeCell ref="R57:U57"/>
    <mergeCell ref="S67:V67"/>
    <mergeCell ref="W70:Y70"/>
    <mergeCell ref="R58:U58"/>
    <mergeCell ref="A42:C43"/>
    <mergeCell ref="R45:U45"/>
    <mergeCell ref="R42:W43"/>
    <mergeCell ref="L42:Q43"/>
    <mergeCell ref="D42:F42"/>
    <mergeCell ref="G42:K43"/>
    <mergeCell ref="G45:I45"/>
    <mergeCell ref="G44:I44"/>
    <mergeCell ref="L44:O45"/>
    <mergeCell ref="K44:K46"/>
    <mergeCell ref="A51:C51"/>
    <mergeCell ref="H51:J51"/>
    <mergeCell ref="A48:C48"/>
    <mergeCell ref="G47:I47"/>
    <mergeCell ref="R53:W54"/>
    <mergeCell ref="M51:P51"/>
    <mergeCell ref="A53:C54"/>
    <mergeCell ref="K47:K50"/>
    <mergeCell ref="L50:O50"/>
    <mergeCell ref="D53:F53"/>
    <mergeCell ref="Q44:Q46"/>
    <mergeCell ref="P44:P45"/>
    <mergeCell ref="R46:U46"/>
    <mergeCell ref="L49:O49"/>
    <mergeCell ref="R48:U48"/>
    <mergeCell ref="B45:C45"/>
    <mergeCell ref="Q47:Q50"/>
    <mergeCell ref="P47:P48"/>
    <mergeCell ref="AA42:AC42"/>
    <mergeCell ref="X53:Z53"/>
    <mergeCell ref="X42:Z42"/>
    <mergeCell ref="R13:U13"/>
    <mergeCell ref="S51:V51"/>
    <mergeCell ref="R44:U44"/>
    <mergeCell ref="AA53:AC53"/>
    <mergeCell ref="W44:W46"/>
    <mergeCell ref="R26:U26"/>
    <mergeCell ref="R18:U18"/>
    <mergeCell ref="L31:O31"/>
    <mergeCell ref="S41:V41"/>
    <mergeCell ref="K28:K32"/>
    <mergeCell ref="K22:K23"/>
    <mergeCell ref="L18:O18"/>
    <mergeCell ref="G22:I22"/>
    <mergeCell ref="G23:I23"/>
    <mergeCell ref="L21:O21"/>
    <mergeCell ref="K24:K27"/>
    <mergeCell ref="K19:K21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3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N111"/>
  <sheetViews>
    <sheetView zoomScalePageLayoutView="0" workbookViewId="0" topLeftCell="A91">
      <selection activeCell="W30" sqref="W30"/>
    </sheetView>
  </sheetViews>
  <sheetFormatPr defaultColWidth="9.00390625" defaultRowHeight="12.75"/>
  <cols>
    <col min="1" max="1" width="44.375" style="0" customWidth="1"/>
    <col min="14" max="14" width="9.125" style="166" customWidth="1"/>
  </cols>
  <sheetData>
    <row r="1" spans="8:13" ht="15">
      <c r="H1" s="1"/>
      <c r="I1" s="1"/>
      <c r="J1" s="1"/>
      <c r="K1" s="1"/>
      <c r="L1" s="1"/>
      <c r="M1" s="6" t="s">
        <v>1100</v>
      </c>
    </row>
    <row r="2" spans="8:13" ht="12.75">
      <c r="H2" s="1"/>
      <c r="I2" s="1"/>
      <c r="J2" s="1"/>
      <c r="K2" s="1"/>
      <c r="L2" s="1"/>
      <c r="M2" s="2"/>
    </row>
    <row r="3" spans="8:13" ht="12.75">
      <c r="H3" s="1"/>
      <c r="I3" s="1"/>
      <c r="J3" s="1"/>
      <c r="K3" s="1"/>
      <c r="L3" s="1"/>
      <c r="M3" s="2"/>
    </row>
    <row r="4" spans="1:14" s="85" customFormat="1" ht="14.25" customHeight="1">
      <c r="A4" s="1295" t="s">
        <v>527</v>
      </c>
      <c r="B4" s="1295"/>
      <c r="C4" s="1295"/>
      <c r="D4" s="1295"/>
      <c r="E4" s="1295"/>
      <c r="F4" s="1295"/>
      <c r="G4" s="1295"/>
      <c r="H4" s="1295"/>
      <c r="I4" s="1295"/>
      <c r="J4" s="1295"/>
      <c r="K4" s="1295"/>
      <c r="L4" s="1295"/>
      <c r="M4" s="1295"/>
      <c r="N4" s="167"/>
    </row>
    <row r="5" spans="1:14" s="85" customFormat="1" ht="14.25" customHeight="1">
      <c r="A5" s="1295" t="s">
        <v>456</v>
      </c>
      <c r="B5" s="1295"/>
      <c r="C5" s="1295"/>
      <c r="D5" s="1295"/>
      <c r="E5" s="1295"/>
      <c r="F5" s="1295"/>
      <c r="G5" s="1295"/>
      <c r="H5" s="1295"/>
      <c r="I5" s="1295"/>
      <c r="J5" s="1295"/>
      <c r="K5" s="1295"/>
      <c r="L5" s="1295"/>
      <c r="M5" s="1295"/>
      <c r="N5" s="167"/>
    </row>
    <row r="6" spans="1:14" s="85" customFormat="1" ht="18" customHeight="1">
      <c r="A6" s="1295"/>
      <c r="B6" s="1295"/>
      <c r="C6" s="1295"/>
      <c r="D6" s="1295"/>
      <c r="E6" s="1295"/>
      <c r="F6" s="1295"/>
      <c r="G6" s="1295"/>
      <c r="H6" s="1295"/>
      <c r="I6" s="1295"/>
      <c r="J6" s="1295"/>
      <c r="K6" s="1295"/>
      <c r="L6" s="1295"/>
      <c r="M6" s="1295"/>
      <c r="N6" s="167"/>
    </row>
    <row r="7" spans="1:14" s="84" customFormat="1" ht="12.75">
      <c r="A7" s="151" t="s">
        <v>367</v>
      </c>
      <c r="B7" s="120" t="s">
        <v>350</v>
      </c>
      <c r="C7" s="120" t="s">
        <v>351</v>
      </c>
      <c r="D7" s="120" t="s">
        <v>352</v>
      </c>
      <c r="E7" s="120" t="s">
        <v>353</v>
      </c>
      <c r="F7" s="120" t="s">
        <v>354</v>
      </c>
      <c r="G7" s="120" t="s">
        <v>355</v>
      </c>
      <c r="H7" s="120" t="s">
        <v>356</v>
      </c>
      <c r="I7" s="120" t="s">
        <v>357</v>
      </c>
      <c r="J7" s="120" t="s">
        <v>358</v>
      </c>
      <c r="K7" s="120" t="s">
        <v>359</v>
      </c>
      <c r="L7" s="120" t="s">
        <v>360</v>
      </c>
      <c r="M7" s="120" t="s">
        <v>361</v>
      </c>
      <c r="N7" s="168"/>
    </row>
    <row r="8" spans="1:14" s="87" customFormat="1" ht="22.5" customHeight="1">
      <c r="A8" s="169" t="s">
        <v>771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4"/>
    </row>
    <row r="9" spans="1:14" s="623" customFormat="1" ht="20.25" customHeight="1">
      <c r="A9" s="620" t="s">
        <v>770</v>
      </c>
      <c r="B9" s="621"/>
      <c r="C9" s="621"/>
      <c r="D9" s="621"/>
      <c r="E9" s="621"/>
      <c r="F9" s="621"/>
      <c r="G9" s="621"/>
      <c r="H9" s="621"/>
      <c r="I9" s="621"/>
      <c r="J9" s="621"/>
      <c r="K9" s="621"/>
      <c r="L9" s="621"/>
      <c r="M9" s="621"/>
      <c r="N9" s="622"/>
    </row>
    <row r="10" spans="1:14" s="86" customFormat="1" ht="12.75">
      <c r="A10" s="155" t="s">
        <v>629</v>
      </c>
      <c r="B10" s="122">
        <v>15</v>
      </c>
      <c r="C10" s="122">
        <v>15</v>
      </c>
      <c r="D10" s="122">
        <v>15</v>
      </c>
      <c r="E10" s="122">
        <v>15</v>
      </c>
      <c r="F10" s="122">
        <v>15</v>
      </c>
      <c r="G10" s="122">
        <v>15</v>
      </c>
      <c r="H10" s="122">
        <v>15</v>
      </c>
      <c r="I10" s="122">
        <v>15</v>
      </c>
      <c r="J10" s="122">
        <v>16</v>
      </c>
      <c r="K10" s="122">
        <v>16</v>
      </c>
      <c r="L10" s="122">
        <v>16</v>
      </c>
      <c r="M10" s="122">
        <v>16</v>
      </c>
      <c r="N10" s="174"/>
    </row>
    <row r="11" spans="1:14" s="86" customFormat="1" ht="12.75" customHeight="1">
      <c r="A11" s="155" t="s">
        <v>630</v>
      </c>
      <c r="B11" s="122">
        <v>2</v>
      </c>
      <c r="C11" s="122">
        <v>2</v>
      </c>
      <c r="D11" s="122">
        <v>2</v>
      </c>
      <c r="E11" s="122">
        <v>2</v>
      </c>
      <c r="F11" s="122">
        <v>2</v>
      </c>
      <c r="G11" s="122">
        <v>2</v>
      </c>
      <c r="H11" s="122">
        <v>2</v>
      </c>
      <c r="I11" s="122">
        <v>2</v>
      </c>
      <c r="J11" s="122">
        <v>2</v>
      </c>
      <c r="K11" s="122">
        <v>2</v>
      </c>
      <c r="L11" s="122">
        <v>2</v>
      </c>
      <c r="M11" s="122">
        <v>2</v>
      </c>
      <c r="N11" s="174"/>
    </row>
    <row r="12" spans="1:14" s="86" customFormat="1" ht="12.75">
      <c r="A12" s="175" t="s">
        <v>631</v>
      </c>
      <c r="B12" s="122">
        <v>8</v>
      </c>
      <c r="C12" s="122">
        <v>8</v>
      </c>
      <c r="D12" s="122">
        <v>8</v>
      </c>
      <c r="E12" s="122">
        <v>8</v>
      </c>
      <c r="F12" s="122">
        <v>8</v>
      </c>
      <c r="G12" s="122">
        <v>8</v>
      </c>
      <c r="H12" s="122">
        <v>8</v>
      </c>
      <c r="I12" s="122">
        <v>8</v>
      </c>
      <c r="J12" s="122">
        <v>9</v>
      </c>
      <c r="K12" s="122">
        <v>9</v>
      </c>
      <c r="L12" s="122">
        <v>9</v>
      </c>
      <c r="M12" s="122">
        <v>8</v>
      </c>
      <c r="N12" s="174"/>
    </row>
    <row r="13" spans="1:14" s="86" customFormat="1" ht="12.75">
      <c r="A13" s="155" t="s">
        <v>632</v>
      </c>
      <c r="B13" s="122">
        <v>1</v>
      </c>
      <c r="C13" s="122">
        <v>1</v>
      </c>
      <c r="D13" s="122">
        <v>1</v>
      </c>
      <c r="E13" s="122">
        <v>1</v>
      </c>
      <c r="F13" s="122">
        <v>1</v>
      </c>
      <c r="G13" s="122">
        <v>1</v>
      </c>
      <c r="H13" s="122">
        <v>1</v>
      </c>
      <c r="I13" s="122">
        <v>1</v>
      </c>
      <c r="J13" s="122">
        <v>1</v>
      </c>
      <c r="K13" s="122">
        <v>1</v>
      </c>
      <c r="L13" s="122">
        <v>1</v>
      </c>
      <c r="M13" s="122">
        <v>1</v>
      </c>
      <c r="N13" s="174"/>
    </row>
    <row r="14" spans="1:14" s="86" customFormat="1" ht="25.5">
      <c r="A14" s="155" t="s">
        <v>845</v>
      </c>
      <c r="B14" s="122">
        <v>1</v>
      </c>
      <c r="C14" s="122">
        <v>1</v>
      </c>
      <c r="D14" s="122">
        <v>1</v>
      </c>
      <c r="E14" s="122">
        <v>1</v>
      </c>
      <c r="F14" s="122">
        <v>1</v>
      </c>
      <c r="G14" s="122">
        <v>1</v>
      </c>
      <c r="H14" s="122">
        <v>1</v>
      </c>
      <c r="I14" s="122">
        <v>1</v>
      </c>
      <c r="J14" s="122">
        <v>1</v>
      </c>
      <c r="K14" s="122">
        <v>1</v>
      </c>
      <c r="L14" s="122">
        <v>1</v>
      </c>
      <c r="M14" s="122">
        <v>1</v>
      </c>
      <c r="N14" s="174"/>
    </row>
    <row r="15" spans="1:14" s="623" customFormat="1" ht="20.25" customHeight="1">
      <c r="A15" s="620" t="s">
        <v>772</v>
      </c>
      <c r="B15" s="621"/>
      <c r="C15" s="621"/>
      <c r="D15" s="621"/>
      <c r="E15" s="621"/>
      <c r="F15" s="621"/>
      <c r="G15" s="621"/>
      <c r="H15" s="621"/>
      <c r="I15" s="621"/>
      <c r="J15" s="621"/>
      <c r="K15" s="621"/>
      <c r="L15" s="621"/>
      <c r="M15" s="621"/>
      <c r="N15" s="622"/>
    </row>
    <row r="16" spans="1:14" s="86" customFormat="1" ht="12.75">
      <c r="A16" s="155" t="s">
        <v>773</v>
      </c>
      <c r="B16" s="122">
        <v>1</v>
      </c>
      <c r="C16" s="122">
        <v>1</v>
      </c>
      <c r="D16" s="122">
        <v>1</v>
      </c>
      <c r="E16" s="122">
        <v>1</v>
      </c>
      <c r="F16" s="122">
        <v>1</v>
      </c>
      <c r="G16" s="122">
        <v>1</v>
      </c>
      <c r="H16" s="122">
        <v>1</v>
      </c>
      <c r="I16" s="122">
        <v>1</v>
      </c>
      <c r="J16" s="122">
        <v>1</v>
      </c>
      <c r="K16" s="122">
        <v>1</v>
      </c>
      <c r="L16" s="122">
        <v>1</v>
      </c>
      <c r="M16" s="122">
        <v>1</v>
      </c>
      <c r="N16" s="174"/>
    </row>
    <row r="17" spans="1:14" s="86" customFormat="1" ht="12.75">
      <c r="A17" s="155" t="s">
        <v>774</v>
      </c>
      <c r="B17" s="122">
        <v>1</v>
      </c>
      <c r="C17" s="122">
        <v>1</v>
      </c>
      <c r="D17" s="122">
        <v>1</v>
      </c>
      <c r="E17" s="122">
        <v>1</v>
      </c>
      <c r="F17" s="122">
        <v>1</v>
      </c>
      <c r="G17" s="122">
        <v>1</v>
      </c>
      <c r="H17" s="122">
        <v>1</v>
      </c>
      <c r="I17" s="122">
        <v>1</v>
      </c>
      <c r="J17" s="122">
        <v>1</v>
      </c>
      <c r="K17" s="122">
        <v>1</v>
      </c>
      <c r="L17" s="122">
        <v>1</v>
      </c>
      <c r="M17" s="122">
        <v>1</v>
      </c>
      <c r="N17" s="174"/>
    </row>
    <row r="18" spans="1:14" s="86" customFormat="1" ht="12.75">
      <c r="A18" s="155" t="s">
        <v>775</v>
      </c>
      <c r="B18" s="122">
        <v>1</v>
      </c>
      <c r="C18" s="122">
        <v>1</v>
      </c>
      <c r="D18" s="122">
        <v>1</v>
      </c>
      <c r="E18" s="122">
        <v>1</v>
      </c>
      <c r="F18" s="122">
        <v>1</v>
      </c>
      <c r="G18" s="122">
        <v>1</v>
      </c>
      <c r="H18" s="122">
        <v>1</v>
      </c>
      <c r="I18" s="122">
        <v>1</v>
      </c>
      <c r="J18" s="122">
        <v>1</v>
      </c>
      <c r="K18" s="122">
        <v>1</v>
      </c>
      <c r="L18" s="122">
        <v>1</v>
      </c>
      <c r="M18" s="122">
        <v>1</v>
      </c>
      <c r="N18" s="174"/>
    </row>
    <row r="19" spans="1:14" s="623" customFormat="1" ht="20.25" customHeight="1">
      <c r="A19" s="620" t="s">
        <v>635</v>
      </c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2"/>
    </row>
    <row r="20" spans="1:14" s="86" customFormat="1" ht="12.75">
      <c r="A20" s="155" t="s">
        <v>776</v>
      </c>
      <c r="B20" s="122">
        <v>1</v>
      </c>
      <c r="C20" s="122">
        <v>1</v>
      </c>
      <c r="D20" s="122">
        <v>1</v>
      </c>
      <c r="E20" s="122">
        <v>1</v>
      </c>
      <c r="F20" s="122">
        <v>1</v>
      </c>
      <c r="G20" s="122">
        <v>1</v>
      </c>
      <c r="H20" s="122">
        <v>1</v>
      </c>
      <c r="I20" s="122">
        <v>1</v>
      </c>
      <c r="J20" s="122">
        <v>1</v>
      </c>
      <c r="K20" s="122">
        <v>1</v>
      </c>
      <c r="L20" s="122">
        <v>1</v>
      </c>
      <c r="M20" s="122">
        <v>1</v>
      </c>
      <c r="N20" s="174"/>
    </row>
    <row r="21" spans="1:14" s="86" customFormat="1" ht="12.75">
      <c r="A21" s="155" t="s">
        <v>777</v>
      </c>
      <c r="B21" s="122">
        <v>1</v>
      </c>
      <c r="C21" s="122">
        <v>1</v>
      </c>
      <c r="D21" s="122">
        <v>1</v>
      </c>
      <c r="E21" s="122">
        <v>1</v>
      </c>
      <c r="F21" s="122">
        <v>1</v>
      </c>
      <c r="G21" s="122">
        <v>1</v>
      </c>
      <c r="H21" s="122">
        <v>1</v>
      </c>
      <c r="I21" s="122">
        <v>1</v>
      </c>
      <c r="J21" s="122">
        <v>1</v>
      </c>
      <c r="K21" s="122">
        <v>1</v>
      </c>
      <c r="L21" s="122">
        <v>1</v>
      </c>
      <c r="M21" s="122">
        <v>1</v>
      </c>
      <c r="N21" s="174"/>
    </row>
    <row r="22" spans="1:14" s="623" customFormat="1" ht="27" customHeight="1">
      <c r="A22" s="620" t="s">
        <v>593</v>
      </c>
      <c r="B22" s="621"/>
      <c r="C22" s="621"/>
      <c r="D22" s="621"/>
      <c r="E22" s="621"/>
      <c r="F22" s="621"/>
      <c r="G22" s="621"/>
      <c r="H22" s="621"/>
      <c r="I22" s="621"/>
      <c r="J22" s="621"/>
      <c r="K22" s="621"/>
      <c r="L22" s="621"/>
      <c r="M22" s="621"/>
      <c r="N22" s="622"/>
    </row>
    <row r="23" spans="1:14" s="86" customFormat="1" ht="12.75">
      <c r="A23" s="155" t="s">
        <v>633</v>
      </c>
      <c r="B23" s="122">
        <v>1</v>
      </c>
      <c r="C23" s="122">
        <v>1</v>
      </c>
      <c r="D23" s="122">
        <v>1</v>
      </c>
      <c r="E23" s="122">
        <v>1</v>
      </c>
      <c r="F23" s="122">
        <v>1</v>
      </c>
      <c r="G23" s="122">
        <v>1</v>
      </c>
      <c r="H23" s="122">
        <v>1</v>
      </c>
      <c r="I23" s="122">
        <v>1</v>
      </c>
      <c r="J23" s="122">
        <v>1</v>
      </c>
      <c r="K23" s="122">
        <v>1</v>
      </c>
      <c r="L23" s="122">
        <v>1</v>
      </c>
      <c r="M23" s="122">
        <v>1</v>
      </c>
      <c r="N23" s="174"/>
    </row>
    <row r="24" spans="1:14" s="86" customFormat="1" ht="12.75">
      <c r="A24" s="155" t="s">
        <v>778</v>
      </c>
      <c r="B24" s="122">
        <v>3</v>
      </c>
      <c r="C24" s="122">
        <v>3</v>
      </c>
      <c r="D24" s="122">
        <v>3</v>
      </c>
      <c r="E24" s="122">
        <v>3</v>
      </c>
      <c r="F24" s="122">
        <v>3</v>
      </c>
      <c r="G24" s="122">
        <v>3</v>
      </c>
      <c r="H24" s="122">
        <v>3</v>
      </c>
      <c r="I24" s="122">
        <v>3</v>
      </c>
      <c r="J24" s="122">
        <v>3</v>
      </c>
      <c r="K24" s="122">
        <v>3</v>
      </c>
      <c r="L24" s="122">
        <v>3</v>
      </c>
      <c r="M24" s="122">
        <v>3</v>
      </c>
      <c r="N24" s="174"/>
    </row>
    <row r="25" spans="1:14" s="86" customFormat="1" ht="25.5">
      <c r="A25" s="155" t="s">
        <v>779</v>
      </c>
      <c r="B25" s="122">
        <v>0.5</v>
      </c>
      <c r="C25" s="122">
        <v>0.5</v>
      </c>
      <c r="D25" s="122">
        <v>0.5</v>
      </c>
      <c r="E25" s="122">
        <v>0.5</v>
      </c>
      <c r="F25" s="122">
        <v>0.5</v>
      </c>
      <c r="G25" s="122">
        <v>0.5</v>
      </c>
      <c r="H25" s="122">
        <v>0.5</v>
      </c>
      <c r="I25" s="122">
        <v>0.5</v>
      </c>
      <c r="J25" s="122">
        <v>0.5</v>
      </c>
      <c r="K25" s="122">
        <v>0.5</v>
      </c>
      <c r="L25" s="122">
        <v>0.5</v>
      </c>
      <c r="M25" s="122">
        <v>0.5</v>
      </c>
      <c r="N25" s="174"/>
    </row>
    <row r="26" spans="1:14" s="623" customFormat="1" ht="29.25" customHeight="1">
      <c r="A26" s="620" t="s">
        <v>720</v>
      </c>
      <c r="B26" s="621"/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2"/>
    </row>
    <row r="27" spans="1:14" s="86" customFormat="1" ht="12.75">
      <c r="A27" s="155" t="s">
        <v>780</v>
      </c>
      <c r="B27" s="122">
        <v>0.5</v>
      </c>
      <c r="C27" s="122">
        <v>0.5</v>
      </c>
      <c r="D27" s="122">
        <v>0.5</v>
      </c>
      <c r="E27" s="122">
        <v>0.5</v>
      </c>
      <c r="F27" s="122">
        <v>0.5</v>
      </c>
      <c r="G27" s="122">
        <v>0.5</v>
      </c>
      <c r="H27" s="122">
        <v>0.5</v>
      </c>
      <c r="I27" s="122">
        <v>0.5</v>
      </c>
      <c r="J27" s="122">
        <v>0.5</v>
      </c>
      <c r="K27" s="122">
        <v>0.5</v>
      </c>
      <c r="L27" s="122">
        <v>0.5</v>
      </c>
      <c r="M27" s="122">
        <v>0.5</v>
      </c>
      <c r="N27" s="174"/>
    </row>
    <row r="28" spans="1:14" s="86" customFormat="1" ht="12.75">
      <c r="A28" s="155" t="s">
        <v>634</v>
      </c>
      <c r="B28" s="122">
        <v>3</v>
      </c>
      <c r="C28" s="122">
        <v>3</v>
      </c>
      <c r="D28" s="122">
        <v>3</v>
      </c>
      <c r="E28" s="122">
        <v>4</v>
      </c>
      <c r="F28" s="122">
        <v>4</v>
      </c>
      <c r="G28" s="122">
        <v>4</v>
      </c>
      <c r="H28" s="122">
        <v>4</v>
      </c>
      <c r="I28" s="122">
        <v>4</v>
      </c>
      <c r="J28" s="122">
        <v>4</v>
      </c>
      <c r="K28" s="122">
        <v>4</v>
      </c>
      <c r="L28" s="122">
        <v>4</v>
      </c>
      <c r="M28" s="122">
        <v>4</v>
      </c>
      <c r="N28" s="174"/>
    </row>
    <row r="29" spans="1:14" s="86" customFormat="1" ht="12.75">
      <c r="A29" s="155" t="s">
        <v>996</v>
      </c>
      <c r="B29" s="122">
        <v>1</v>
      </c>
      <c r="C29" s="122">
        <v>1</v>
      </c>
      <c r="D29" s="122">
        <v>1</v>
      </c>
      <c r="E29" s="122">
        <v>2</v>
      </c>
      <c r="F29" s="122">
        <v>2</v>
      </c>
      <c r="G29" s="122">
        <v>2</v>
      </c>
      <c r="H29" s="122">
        <v>2</v>
      </c>
      <c r="I29" s="122">
        <v>2</v>
      </c>
      <c r="J29" s="122">
        <v>2</v>
      </c>
      <c r="K29" s="122">
        <v>2</v>
      </c>
      <c r="L29" s="122">
        <v>2</v>
      </c>
      <c r="M29" s="122">
        <v>2</v>
      </c>
      <c r="N29" s="174"/>
    </row>
    <row r="30" spans="1:14" s="86" customFormat="1" ht="25.5">
      <c r="A30" s="155" t="s">
        <v>1007</v>
      </c>
      <c r="B30" s="122">
        <v>2</v>
      </c>
      <c r="C30" s="122">
        <v>2</v>
      </c>
      <c r="D30" s="122">
        <v>2</v>
      </c>
      <c r="E30" s="122">
        <v>2</v>
      </c>
      <c r="F30" s="122">
        <v>2</v>
      </c>
      <c r="G30" s="122">
        <v>2</v>
      </c>
      <c r="H30" s="122">
        <v>2</v>
      </c>
      <c r="I30" s="122">
        <v>2</v>
      </c>
      <c r="J30" s="122">
        <v>2</v>
      </c>
      <c r="K30" s="122">
        <v>2</v>
      </c>
      <c r="L30" s="122">
        <v>2</v>
      </c>
      <c r="M30" s="122">
        <v>2</v>
      </c>
      <c r="N30" s="174"/>
    </row>
    <row r="31" spans="1:14" ht="25.5">
      <c r="A31" s="170" t="s">
        <v>997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/>
    </row>
    <row r="32" spans="1:14" ht="12.75">
      <c r="A32" s="154" t="s">
        <v>998</v>
      </c>
      <c r="B32" s="164">
        <v>1</v>
      </c>
      <c r="C32" s="164">
        <v>1</v>
      </c>
      <c r="D32" s="164">
        <v>1</v>
      </c>
      <c r="E32" s="164">
        <v>0</v>
      </c>
      <c r="F32" s="164">
        <v>0</v>
      </c>
      <c r="G32" s="164">
        <v>0</v>
      </c>
      <c r="H32" s="164">
        <v>0</v>
      </c>
      <c r="I32" s="164">
        <v>0</v>
      </c>
      <c r="J32" s="164">
        <v>0</v>
      </c>
      <c r="K32" s="164">
        <v>0</v>
      </c>
      <c r="L32" s="164">
        <v>0</v>
      </c>
      <c r="M32" s="164">
        <v>0</v>
      </c>
      <c r="N32"/>
    </row>
    <row r="33" spans="1:14" ht="12.75">
      <c r="A33" s="154" t="s">
        <v>999</v>
      </c>
      <c r="B33" s="164">
        <v>0.5</v>
      </c>
      <c r="C33" s="164">
        <v>0.5</v>
      </c>
      <c r="D33" s="164">
        <v>0.5</v>
      </c>
      <c r="E33" s="164">
        <v>0</v>
      </c>
      <c r="F33" s="164">
        <v>0</v>
      </c>
      <c r="G33" s="164">
        <v>0</v>
      </c>
      <c r="H33" s="164">
        <v>0</v>
      </c>
      <c r="I33" s="164">
        <v>0</v>
      </c>
      <c r="J33" s="164">
        <v>0</v>
      </c>
      <c r="K33" s="164">
        <v>0</v>
      </c>
      <c r="L33" s="164">
        <v>0</v>
      </c>
      <c r="M33" s="164">
        <v>0</v>
      </c>
      <c r="N33"/>
    </row>
    <row r="34" spans="1:14" ht="38.25">
      <c r="A34" s="170" t="s">
        <v>987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/>
    </row>
    <row r="35" spans="1:14" ht="12.75">
      <c r="A35" s="154" t="s">
        <v>1000</v>
      </c>
      <c r="B35" s="164">
        <v>1</v>
      </c>
      <c r="C35" s="164">
        <v>1</v>
      </c>
      <c r="D35" s="164">
        <v>1</v>
      </c>
      <c r="E35" s="164">
        <v>1</v>
      </c>
      <c r="F35" s="164">
        <v>1</v>
      </c>
      <c r="G35" s="164">
        <v>1</v>
      </c>
      <c r="H35" s="164">
        <v>1</v>
      </c>
      <c r="I35" s="164">
        <v>1</v>
      </c>
      <c r="J35" s="164">
        <v>1</v>
      </c>
      <c r="K35" s="164">
        <v>1</v>
      </c>
      <c r="L35" s="164">
        <v>1</v>
      </c>
      <c r="M35" s="164">
        <v>1</v>
      </c>
      <c r="N35"/>
    </row>
    <row r="36" spans="1:14" ht="12.75">
      <c r="A36" s="154" t="s">
        <v>1001</v>
      </c>
      <c r="B36" s="164">
        <v>1</v>
      </c>
      <c r="C36" s="164">
        <v>1</v>
      </c>
      <c r="D36" s="164">
        <v>1</v>
      </c>
      <c r="E36" s="164">
        <v>1</v>
      </c>
      <c r="F36" s="164">
        <v>1</v>
      </c>
      <c r="G36" s="164">
        <v>1</v>
      </c>
      <c r="H36" s="164">
        <v>1</v>
      </c>
      <c r="I36" s="164">
        <v>1</v>
      </c>
      <c r="J36" s="164">
        <v>1</v>
      </c>
      <c r="K36" s="164">
        <v>1</v>
      </c>
      <c r="L36" s="164">
        <v>1</v>
      </c>
      <c r="M36" s="164">
        <v>1</v>
      </c>
      <c r="N36"/>
    </row>
    <row r="37" spans="1:14" ht="25.5" customHeight="1">
      <c r="A37" s="155" t="s">
        <v>1002</v>
      </c>
      <c r="B37" s="164">
        <v>0.075</v>
      </c>
      <c r="C37" s="164">
        <v>0.075</v>
      </c>
      <c r="D37" s="164">
        <v>0.075</v>
      </c>
      <c r="E37" s="164">
        <v>0.075</v>
      </c>
      <c r="F37" s="164">
        <v>0.075</v>
      </c>
      <c r="G37" s="164">
        <v>0.075</v>
      </c>
      <c r="H37" s="164">
        <v>0.075</v>
      </c>
      <c r="I37" s="164">
        <v>0.075</v>
      </c>
      <c r="J37" s="164">
        <v>0.075</v>
      </c>
      <c r="K37" s="164">
        <v>0.075</v>
      </c>
      <c r="L37" s="164">
        <v>0.075</v>
      </c>
      <c r="M37" s="164">
        <v>0.075</v>
      </c>
      <c r="N37"/>
    </row>
    <row r="38" spans="1:14" s="86" customFormat="1" ht="12.75">
      <c r="A38" s="155" t="s">
        <v>1003</v>
      </c>
      <c r="B38" s="122">
        <v>0.25</v>
      </c>
      <c r="C38" s="122">
        <v>0.25</v>
      </c>
      <c r="D38" s="122">
        <v>0.25</v>
      </c>
      <c r="E38" s="122">
        <v>0.25</v>
      </c>
      <c r="F38" s="122">
        <v>0.25</v>
      </c>
      <c r="G38" s="122">
        <v>0.25</v>
      </c>
      <c r="H38" s="122">
        <v>0.25</v>
      </c>
      <c r="I38" s="122">
        <v>0.25</v>
      </c>
      <c r="J38" s="122">
        <v>0.25</v>
      </c>
      <c r="K38" s="122">
        <v>0.25</v>
      </c>
      <c r="L38" s="122">
        <v>0.25</v>
      </c>
      <c r="M38" s="122">
        <v>0.25</v>
      </c>
      <c r="N38" s="174"/>
    </row>
    <row r="39" spans="1:14" s="86" customFormat="1" ht="12.75">
      <c r="A39" s="155" t="s">
        <v>1004</v>
      </c>
      <c r="B39" s="122">
        <v>0.5</v>
      </c>
      <c r="C39" s="122">
        <v>0.5</v>
      </c>
      <c r="D39" s="122">
        <v>0.5</v>
      </c>
      <c r="E39" s="122">
        <v>0.5</v>
      </c>
      <c r="F39" s="122">
        <v>0.5</v>
      </c>
      <c r="G39" s="122">
        <v>0.5</v>
      </c>
      <c r="H39" s="122">
        <v>0.5</v>
      </c>
      <c r="I39" s="122">
        <v>0.5</v>
      </c>
      <c r="J39" s="122">
        <v>0.5</v>
      </c>
      <c r="K39" s="122">
        <v>0.5</v>
      </c>
      <c r="L39" s="122">
        <v>0.5</v>
      </c>
      <c r="M39" s="122">
        <v>0.5</v>
      </c>
      <c r="N39" s="174"/>
    </row>
    <row r="40" spans="1:14" s="86" customFormat="1" ht="12.75">
      <c r="A40" s="155" t="s">
        <v>1005</v>
      </c>
      <c r="B40" s="122">
        <v>0.5</v>
      </c>
      <c r="C40" s="122">
        <v>0.5</v>
      </c>
      <c r="D40" s="122">
        <v>0.5</v>
      </c>
      <c r="E40" s="122">
        <v>0.5</v>
      </c>
      <c r="F40" s="122">
        <v>0.5</v>
      </c>
      <c r="G40" s="122">
        <v>0.5</v>
      </c>
      <c r="H40" s="122">
        <v>0.5</v>
      </c>
      <c r="I40" s="122">
        <v>0.5</v>
      </c>
      <c r="J40" s="122">
        <v>0.5</v>
      </c>
      <c r="K40" s="122">
        <v>0.5</v>
      </c>
      <c r="L40" s="122">
        <v>0.5</v>
      </c>
      <c r="M40" s="122">
        <v>0.5</v>
      </c>
      <c r="N40" s="174"/>
    </row>
    <row r="41" spans="1:14" s="148" customFormat="1" ht="25.5">
      <c r="A41" s="153" t="s">
        <v>811</v>
      </c>
      <c r="B41" s="147">
        <f>SUM(B10:B40)</f>
        <v>47.825</v>
      </c>
      <c r="C41" s="147">
        <f aca="true" t="shared" si="0" ref="C41:M41">SUM(C10:C40)</f>
        <v>47.825</v>
      </c>
      <c r="D41" s="147">
        <f t="shared" si="0"/>
        <v>47.825</v>
      </c>
      <c r="E41" s="147">
        <f t="shared" si="0"/>
        <v>48.325</v>
      </c>
      <c r="F41" s="147">
        <f t="shared" si="0"/>
        <v>48.325</v>
      </c>
      <c r="G41" s="147">
        <f t="shared" si="0"/>
        <v>48.325</v>
      </c>
      <c r="H41" s="147">
        <f t="shared" si="0"/>
        <v>48.325</v>
      </c>
      <c r="I41" s="147">
        <f t="shared" si="0"/>
        <v>48.325</v>
      </c>
      <c r="J41" s="147">
        <f t="shared" si="0"/>
        <v>50.325</v>
      </c>
      <c r="K41" s="147">
        <f t="shared" si="0"/>
        <v>50.325</v>
      </c>
      <c r="L41" s="147">
        <f t="shared" si="0"/>
        <v>50.325</v>
      </c>
      <c r="M41" s="147">
        <f t="shared" si="0"/>
        <v>49.325</v>
      </c>
      <c r="N41" s="176"/>
    </row>
    <row r="42" spans="1:14" s="86" customFormat="1" ht="14.25" customHeight="1">
      <c r="A42" s="15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74"/>
    </row>
    <row r="43" spans="1:14" s="87" customFormat="1" ht="22.5" customHeight="1">
      <c r="A43" s="169" t="s">
        <v>378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4"/>
    </row>
    <row r="44" spans="1:14" s="86" customFormat="1" ht="12.75">
      <c r="A44" s="155" t="s">
        <v>432</v>
      </c>
      <c r="B44" s="122">
        <v>21</v>
      </c>
      <c r="C44" s="122">
        <v>21</v>
      </c>
      <c r="D44" s="122">
        <v>23</v>
      </c>
      <c r="E44" s="122">
        <v>23</v>
      </c>
      <c r="F44" s="122">
        <v>23</v>
      </c>
      <c r="G44" s="122">
        <v>23</v>
      </c>
      <c r="H44" s="122">
        <v>23</v>
      </c>
      <c r="I44" s="122">
        <v>23</v>
      </c>
      <c r="J44" s="122">
        <v>23</v>
      </c>
      <c r="K44" s="122">
        <v>23</v>
      </c>
      <c r="L44" s="122">
        <v>23</v>
      </c>
      <c r="M44" s="122">
        <v>23</v>
      </c>
      <c r="N44" s="174"/>
    </row>
    <row r="45" spans="1:14" s="86" customFormat="1" ht="12.75">
      <c r="A45" s="155" t="s">
        <v>781</v>
      </c>
      <c r="B45" s="122">
        <v>2</v>
      </c>
      <c r="C45" s="122">
        <v>2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74"/>
    </row>
    <row r="46" spans="1:14" s="87" customFormat="1" ht="22.5" customHeight="1">
      <c r="A46" s="169" t="s">
        <v>433</v>
      </c>
      <c r="B46" s="147">
        <f>SUM(B44:B45)</f>
        <v>23</v>
      </c>
      <c r="C46" s="147">
        <f aca="true" t="shared" si="1" ref="C46:M46">SUM(C44:C45)</f>
        <v>23</v>
      </c>
      <c r="D46" s="147">
        <f t="shared" si="1"/>
        <v>23</v>
      </c>
      <c r="E46" s="147">
        <f t="shared" si="1"/>
        <v>23</v>
      </c>
      <c r="F46" s="147">
        <f t="shared" si="1"/>
        <v>23</v>
      </c>
      <c r="G46" s="147">
        <f t="shared" si="1"/>
        <v>23</v>
      </c>
      <c r="H46" s="147">
        <f t="shared" si="1"/>
        <v>23</v>
      </c>
      <c r="I46" s="147">
        <f t="shared" si="1"/>
        <v>23</v>
      </c>
      <c r="J46" s="147">
        <f t="shared" si="1"/>
        <v>23</v>
      </c>
      <c r="K46" s="147">
        <f t="shared" si="1"/>
        <v>23</v>
      </c>
      <c r="L46" s="147">
        <f t="shared" si="1"/>
        <v>23</v>
      </c>
      <c r="M46" s="147">
        <f t="shared" si="1"/>
        <v>23</v>
      </c>
      <c r="N46" s="124"/>
    </row>
    <row r="47" spans="1:13" s="124" customFormat="1" ht="14.25" customHeight="1">
      <c r="A47" s="156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</row>
    <row r="48" spans="1:14" s="87" customFormat="1" ht="22.5" customHeight="1">
      <c r="A48" s="169" t="s">
        <v>453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4"/>
    </row>
    <row r="49" spans="1:14" s="173" customFormat="1" ht="15.75" customHeight="1">
      <c r="A49" s="170" t="s">
        <v>782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86" customFormat="1" ht="12.75">
      <c r="A50" s="155" t="s">
        <v>636</v>
      </c>
      <c r="B50" s="122">
        <v>1</v>
      </c>
      <c r="C50" s="122">
        <v>1</v>
      </c>
      <c r="D50" s="122">
        <v>1</v>
      </c>
      <c r="E50" s="122">
        <v>1</v>
      </c>
      <c r="F50" s="122">
        <v>1</v>
      </c>
      <c r="G50" s="122">
        <v>1</v>
      </c>
      <c r="H50" s="122">
        <v>1</v>
      </c>
      <c r="I50" s="122">
        <v>1</v>
      </c>
      <c r="J50" s="122">
        <v>1</v>
      </c>
      <c r="K50" s="122">
        <v>1</v>
      </c>
      <c r="L50" s="122">
        <v>1</v>
      </c>
      <c r="M50" s="122">
        <v>1</v>
      </c>
      <c r="N50" s="174"/>
    </row>
    <row r="51" spans="1:14" s="86" customFormat="1" ht="12.75">
      <c r="A51" s="157" t="s">
        <v>637</v>
      </c>
      <c r="B51" s="122">
        <v>1</v>
      </c>
      <c r="C51" s="122">
        <v>1</v>
      </c>
      <c r="D51" s="122">
        <v>1</v>
      </c>
      <c r="E51" s="122">
        <v>1</v>
      </c>
      <c r="F51" s="122">
        <v>1</v>
      </c>
      <c r="G51" s="122">
        <v>1</v>
      </c>
      <c r="H51" s="122">
        <v>1</v>
      </c>
      <c r="I51" s="122">
        <v>1</v>
      </c>
      <c r="J51" s="122">
        <v>1</v>
      </c>
      <c r="K51" s="122">
        <v>1</v>
      </c>
      <c r="L51" s="122">
        <v>1</v>
      </c>
      <c r="M51" s="122">
        <v>1</v>
      </c>
      <c r="N51" s="174"/>
    </row>
    <row r="52" spans="1:14" s="173" customFormat="1" ht="15" customHeight="1">
      <c r="A52" s="170" t="s">
        <v>786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86" customFormat="1" ht="25.5">
      <c r="A53" s="155" t="s">
        <v>844</v>
      </c>
      <c r="B53" s="122">
        <v>1</v>
      </c>
      <c r="C53" s="122">
        <v>1</v>
      </c>
      <c r="D53" s="122">
        <v>1</v>
      </c>
      <c r="E53" s="122">
        <v>1</v>
      </c>
      <c r="F53" s="122">
        <v>1</v>
      </c>
      <c r="G53" s="122">
        <v>1</v>
      </c>
      <c r="H53" s="122">
        <v>1</v>
      </c>
      <c r="I53" s="122">
        <v>1</v>
      </c>
      <c r="J53" s="122">
        <v>1</v>
      </c>
      <c r="K53" s="122">
        <v>1</v>
      </c>
      <c r="L53" s="122">
        <v>1</v>
      </c>
      <c r="M53" s="122">
        <v>1</v>
      </c>
      <c r="N53" s="174"/>
    </row>
    <row r="54" spans="1:14" s="173" customFormat="1" ht="15" customHeight="1">
      <c r="A54" s="170" t="s">
        <v>783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2"/>
    </row>
    <row r="55" spans="1:14" s="86" customFormat="1" ht="12.75">
      <c r="A55" s="155" t="s">
        <v>784</v>
      </c>
      <c r="B55" s="122">
        <v>1</v>
      </c>
      <c r="C55" s="122">
        <v>1</v>
      </c>
      <c r="D55" s="122">
        <v>1</v>
      </c>
      <c r="E55" s="122">
        <v>1</v>
      </c>
      <c r="F55" s="122">
        <v>1</v>
      </c>
      <c r="G55" s="122">
        <v>1</v>
      </c>
      <c r="H55" s="122">
        <v>1</v>
      </c>
      <c r="I55" s="122">
        <v>1</v>
      </c>
      <c r="J55" s="122">
        <v>1</v>
      </c>
      <c r="K55" s="122">
        <v>1</v>
      </c>
      <c r="L55" s="122">
        <v>1</v>
      </c>
      <c r="M55" s="122">
        <v>1</v>
      </c>
      <c r="N55" s="174"/>
    </row>
    <row r="56" spans="1:14" s="86" customFormat="1" ht="12.75">
      <c r="A56" s="155" t="s">
        <v>785</v>
      </c>
      <c r="B56" s="122">
        <v>1</v>
      </c>
      <c r="C56" s="122">
        <v>1</v>
      </c>
      <c r="D56" s="122">
        <v>1</v>
      </c>
      <c r="E56" s="122">
        <v>1</v>
      </c>
      <c r="F56" s="122">
        <v>1</v>
      </c>
      <c r="G56" s="122">
        <v>1</v>
      </c>
      <c r="H56" s="122">
        <v>1</v>
      </c>
      <c r="I56" s="122">
        <v>1</v>
      </c>
      <c r="J56" s="122">
        <v>1</v>
      </c>
      <c r="K56" s="122">
        <v>1</v>
      </c>
      <c r="L56" s="122">
        <v>1</v>
      </c>
      <c r="M56" s="122">
        <v>1</v>
      </c>
      <c r="N56" s="174"/>
    </row>
    <row r="57" spans="1:14" s="173" customFormat="1" ht="22.5" customHeight="1">
      <c r="A57" s="170" t="s">
        <v>363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2"/>
    </row>
    <row r="58" spans="1:14" s="86" customFormat="1" ht="12.75">
      <c r="A58" s="154" t="s">
        <v>364</v>
      </c>
      <c r="B58" s="122">
        <v>1</v>
      </c>
      <c r="C58" s="122">
        <v>0</v>
      </c>
      <c r="D58" s="122">
        <v>0</v>
      </c>
      <c r="E58" s="122">
        <v>0</v>
      </c>
      <c r="F58" s="122">
        <v>0</v>
      </c>
      <c r="G58" s="122">
        <v>0</v>
      </c>
      <c r="H58" s="122">
        <v>0</v>
      </c>
      <c r="I58" s="122">
        <v>0</v>
      </c>
      <c r="J58" s="122">
        <v>0</v>
      </c>
      <c r="K58" s="122">
        <v>0</v>
      </c>
      <c r="L58" s="122">
        <v>0</v>
      </c>
      <c r="M58" s="122">
        <v>0</v>
      </c>
      <c r="N58" s="174"/>
    </row>
    <row r="59" spans="1:14" s="173" customFormat="1" ht="22.5" customHeight="1">
      <c r="A59" s="170" t="s">
        <v>365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2"/>
    </row>
    <row r="60" spans="1:14" s="86" customFormat="1" ht="12.75">
      <c r="A60" s="154" t="s">
        <v>366</v>
      </c>
      <c r="B60" s="164">
        <v>5</v>
      </c>
      <c r="C60" s="164">
        <v>5</v>
      </c>
      <c r="D60" s="164">
        <v>5</v>
      </c>
      <c r="E60" s="164">
        <v>5</v>
      </c>
      <c r="F60" s="164">
        <v>5</v>
      </c>
      <c r="G60" s="164">
        <v>5</v>
      </c>
      <c r="H60" s="122">
        <v>5</v>
      </c>
      <c r="I60" s="122">
        <v>5</v>
      </c>
      <c r="J60" s="122">
        <v>5</v>
      </c>
      <c r="K60" s="122">
        <v>5</v>
      </c>
      <c r="L60" s="122">
        <v>5</v>
      </c>
      <c r="M60" s="122">
        <v>5</v>
      </c>
      <c r="N60" s="174"/>
    </row>
    <row r="61" spans="1:14" ht="45.75" customHeight="1">
      <c r="A61" s="170" t="s">
        <v>978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/>
    </row>
    <row r="62" spans="1:14" ht="12.75">
      <c r="A62" s="155" t="s">
        <v>1008</v>
      </c>
      <c r="B62" s="164">
        <v>0.5</v>
      </c>
      <c r="C62" s="164">
        <v>0.5</v>
      </c>
      <c r="D62" s="164">
        <v>0.5</v>
      </c>
      <c r="E62" s="164">
        <v>0.5</v>
      </c>
      <c r="F62" s="164">
        <v>0.5</v>
      </c>
      <c r="G62" s="164">
        <v>0.5</v>
      </c>
      <c r="H62" s="164">
        <v>0.5</v>
      </c>
      <c r="I62" s="164">
        <v>0.5</v>
      </c>
      <c r="J62" s="164">
        <v>0.5</v>
      </c>
      <c r="K62" s="164">
        <v>0.5</v>
      </c>
      <c r="L62" s="164">
        <v>0.5</v>
      </c>
      <c r="M62" s="164">
        <v>0.5</v>
      </c>
      <c r="N62"/>
    </row>
    <row r="63" spans="1:14" ht="12.75">
      <c r="A63" s="155" t="s">
        <v>1009</v>
      </c>
      <c r="B63" s="164">
        <v>0.5</v>
      </c>
      <c r="C63" s="164">
        <v>0.5</v>
      </c>
      <c r="D63" s="164">
        <v>0.5</v>
      </c>
      <c r="E63" s="164">
        <v>0.5</v>
      </c>
      <c r="F63" s="164">
        <v>0.5</v>
      </c>
      <c r="G63" s="164">
        <v>0.5</v>
      </c>
      <c r="H63" s="164">
        <v>0.5</v>
      </c>
      <c r="I63" s="164">
        <v>0.5</v>
      </c>
      <c r="J63" s="164">
        <v>0.5</v>
      </c>
      <c r="K63" s="164">
        <v>0.5</v>
      </c>
      <c r="L63" s="164">
        <v>0.5</v>
      </c>
      <c r="M63" s="164">
        <v>0.5</v>
      </c>
      <c r="N63"/>
    </row>
    <row r="64" spans="1:14" ht="12.75">
      <c r="A64" s="155" t="s">
        <v>633</v>
      </c>
      <c r="B64" s="164">
        <v>1</v>
      </c>
      <c r="C64" s="164">
        <v>1</v>
      </c>
      <c r="D64" s="164">
        <v>1</v>
      </c>
      <c r="E64" s="164">
        <v>1</v>
      </c>
      <c r="F64" s="164">
        <v>1</v>
      </c>
      <c r="G64" s="164">
        <v>1</v>
      </c>
      <c r="H64" s="164">
        <v>1</v>
      </c>
      <c r="I64" s="164">
        <v>1</v>
      </c>
      <c r="J64" s="164">
        <v>1</v>
      </c>
      <c r="K64" s="164">
        <v>1</v>
      </c>
      <c r="L64" s="164">
        <v>1</v>
      </c>
      <c r="M64" s="164">
        <v>1</v>
      </c>
      <c r="N64"/>
    </row>
    <row r="65" spans="1:14" ht="12.75">
      <c r="A65" s="155" t="s">
        <v>747</v>
      </c>
      <c r="B65" s="164">
        <v>2</v>
      </c>
      <c r="C65" s="164">
        <v>2</v>
      </c>
      <c r="D65" s="164">
        <v>2</v>
      </c>
      <c r="E65" s="164">
        <v>2</v>
      </c>
      <c r="F65" s="164">
        <v>2</v>
      </c>
      <c r="G65" s="164">
        <v>2</v>
      </c>
      <c r="H65" s="164">
        <v>2</v>
      </c>
      <c r="I65" s="164">
        <v>2</v>
      </c>
      <c r="J65" s="164">
        <v>2</v>
      </c>
      <c r="K65" s="164">
        <v>2</v>
      </c>
      <c r="L65" s="164">
        <v>2</v>
      </c>
      <c r="M65" s="164">
        <v>2</v>
      </c>
      <c r="N65"/>
    </row>
    <row r="66" spans="1:14" ht="12.75">
      <c r="A66" s="155" t="s">
        <v>1010</v>
      </c>
      <c r="B66" s="164">
        <v>1</v>
      </c>
      <c r="C66" s="164">
        <v>1</v>
      </c>
      <c r="D66" s="164">
        <v>1</v>
      </c>
      <c r="E66" s="164">
        <v>1</v>
      </c>
      <c r="F66" s="164">
        <v>1</v>
      </c>
      <c r="G66" s="164">
        <v>1</v>
      </c>
      <c r="H66" s="164">
        <v>1</v>
      </c>
      <c r="I66" s="164">
        <v>1</v>
      </c>
      <c r="J66" s="164">
        <v>1</v>
      </c>
      <c r="K66" s="164">
        <v>1</v>
      </c>
      <c r="L66" s="164">
        <v>1</v>
      </c>
      <c r="M66" s="164">
        <v>1</v>
      </c>
      <c r="N66"/>
    </row>
    <row r="67" spans="1:14" ht="25.5">
      <c r="A67" s="155" t="s">
        <v>979</v>
      </c>
      <c r="B67" s="164">
        <v>0.5</v>
      </c>
      <c r="C67" s="164">
        <v>0.5</v>
      </c>
      <c r="D67" s="164">
        <v>0.5</v>
      </c>
      <c r="E67" s="164">
        <v>0.5</v>
      </c>
      <c r="F67" s="164">
        <v>0.5</v>
      </c>
      <c r="G67" s="164">
        <v>0.5</v>
      </c>
      <c r="H67" s="164">
        <v>0.5</v>
      </c>
      <c r="I67" s="164">
        <v>0.5</v>
      </c>
      <c r="J67" s="164">
        <v>0.5</v>
      </c>
      <c r="K67" s="164">
        <v>0.5</v>
      </c>
      <c r="L67" s="164">
        <v>0.5</v>
      </c>
      <c r="M67" s="164">
        <v>0.5</v>
      </c>
      <c r="N67"/>
    </row>
    <row r="68" spans="1:14" ht="27" customHeight="1">
      <c r="A68" s="155" t="s">
        <v>1011</v>
      </c>
      <c r="B68" s="164">
        <v>1.5</v>
      </c>
      <c r="C68" s="164">
        <v>1.5</v>
      </c>
      <c r="D68" s="164">
        <v>1.5</v>
      </c>
      <c r="E68" s="164">
        <v>1.5</v>
      </c>
      <c r="F68" s="164">
        <v>1.5</v>
      </c>
      <c r="G68" s="164">
        <v>1.5</v>
      </c>
      <c r="H68" s="164">
        <v>1.5</v>
      </c>
      <c r="I68" s="164">
        <v>1.5</v>
      </c>
      <c r="J68" s="164">
        <v>1.5</v>
      </c>
      <c r="K68" s="164">
        <v>1.5</v>
      </c>
      <c r="L68" s="164">
        <v>1.5</v>
      </c>
      <c r="M68" s="164">
        <v>1.5</v>
      </c>
      <c r="N68"/>
    </row>
    <row r="69" spans="1:14" ht="25.5">
      <c r="A69" s="170" t="s">
        <v>980</v>
      </c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/>
    </row>
    <row r="70" spans="1:14" ht="12.75">
      <c r="A70" s="154" t="s">
        <v>981</v>
      </c>
      <c r="B70" s="164">
        <v>1</v>
      </c>
      <c r="C70" s="164">
        <v>1</v>
      </c>
      <c r="D70" s="164">
        <v>1</v>
      </c>
      <c r="E70" s="164">
        <v>1</v>
      </c>
      <c r="F70" s="164">
        <v>1</v>
      </c>
      <c r="G70" s="164">
        <v>1</v>
      </c>
      <c r="H70" s="164">
        <v>1</v>
      </c>
      <c r="I70" s="164">
        <v>1</v>
      </c>
      <c r="J70" s="164">
        <v>1</v>
      </c>
      <c r="K70" s="164">
        <v>1</v>
      </c>
      <c r="L70" s="164">
        <v>1</v>
      </c>
      <c r="M70" s="164">
        <v>1</v>
      </c>
      <c r="N70"/>
    </row>
    <row r="71" spans="1:14" ht="12.75">
      <c r="A71" s="154" t="s">
        <v>982</v>
      </c>
      <c r="B71" s="164">
        <v>1</v>
      </c>
      <c r="C71" s="164">
        <v>1</v>
      </c>
      <c r="D71" s="164">
        <v>1</v>
      </c>
      <c r="E71" s="164">
        <v>1</v>
      </c>
      <c r="F71" s="164">
        <v>1</v>
      </c>
      <c r="G71" s="164">
        <v>1</v>
      </c>
      <c r="H71" s="164">
        <v>1</v>
      </c>
      <c r="I71" s="164">
        <v>1</v>
      </c>
      <c r="J71" s="164">
        <v>1</v>
      </c>
      <c r="K71" s="164">
        <v>1</v>
      </c>
      <c r="L71" s="164">
        <v>1</v>
      </c>
      <c r="M71" s="164">
        <v>1</v>
      </c>
      <c r="N71"/>
    </row>
    <row r="72" spans="1:14" ht="12.75">
      <c r="A72" s="154" t="s">
        <v>983</v>
      </c>
      <c r="B72" s="164">
        <v>1</v>
      </c>
      <c r="C72" s="164">
        <v>1</v>
      </c>
      <c r="D72" s="164">
        <v>1</v>
      </c>
      <c r="E72" s="164">
        <v>1</v>
      </c>
      <c r="F72" s="164">
        <v>1</v>
      </c>
      <c r="G72" s="164">
        <v>1</v>
      </c>
      <c r="H72" s="164">
        <v>1</v>
      </c>
      <c r="I72" s="164">
        <v>1</v>
      </c>
      <c r="J72" s="164">
        <v>1</v>
      </c>
      <c r="K72" s="164">
        <v>1</v>
      </c>
      <c r="L72" s="164">
        <v>1</v>
      </c>
      <c r="M72" s="164">
        <v>1</v>
      </c>
      <c r="N72"/>
    </row>
    <row r="73" spans="1:14" ht="12.75">
      <c r="A73" s="154" t="s">
        <v>984</v>
      </c>
      <c r="B73" s="164">
        <v>1</v>
      </c>
      <c r="C73" s="164">
        <v>1</v>
      </c>
      <c r="D73" s="164">
        <v>1</v>
      </c>
      <c r="E73" s="164">
        <v>1</v>
      </c>
      <c r="F73" s="164">
        <v>1</v>
      </c>
      <c r="G73" s="164">
        <v>1</v>
      </c>
      <c r="H73" s="164">
        <v>1</v>
      </c>
      <c r="I73" s="164">
        <v>1</v>
      </c>
      <c r="J73" s="164">
        <v>1</v>
      </c>
      <c r="K73" s="164">
        <v>1</v>
      </c>
      <c r="L73" s="164">
        <v>1</v>
      </c>
      <c r="M73" s="164">
        <v>1</v>
      </c>
      <c r="N73"/>
    </row>
    <row r="74" spans="1:14" ht="12.75">
      <c r="A74" s="154" t="s">
        <v>1101</v>
      </c>
      <c r="B74" s="164">
        <v>0.5</v>
      </c>
      <c r="C74" s="164">
        <v>0.5</v>
      </c>
      <c r="D74" s="164">
        <v>0.5</v>
      </c>
      <c r="E74" s="164">
        <v>0.5</v>
      </c>
      <c r="F74" s="164">
        <v>0.5</v>
      </c>
      <c r="G74" s="164">
        <v>0.5</v>
      </c>
      <c r="H74" s="164">
        <v>0.5</v>
      </c>
      <c r="I74" s="164">
        <v>0.5</v>
      </c>
      <c r="J74" s="164">
        <v>0.5</v>
      </c>
      <c r="K74" s="164">
        <v>0.5</v>
      </c>
      <c r="L74" s="164">
        <v>0.5</v>
      </c>
      <c r="M74" s="164">
        <v>0.5</v>
      </c>
      <c r="N74"/>
    </row>
    <row r="75" spans="1:14" ht="12.75">
      <c r="A75" s="154" t="s">
        <v>1102</v>
      </c>
      <c r="B75" s="164">
        <v>2.5</v>
      </c>
      <c r="C75" s="164">
        <v>2.5</v>
      </c>
      <c r="D75" s="164">
        <v>2.5</v>
      </c>
      <c r="E75" s="164">
        <v>2.5</v>
      </c>
      <c r="F75" s="164">
        <v>2.5</v>
      </c>
      <c r="G75" s="164">
        <v>2.5</v>
      </c>
      <c r="H75" s="164">
        <v>2.5</v>
      </c>
      <c r="I75" s="164">
        <v>2.5</v>
      </c>
      <c r="J75" s="164">
        <v>2.5</v>
      </c>
      <c r="K75" s="164">
        <v>2.5</v>
      </c>
      <c r="L75" s="164">
        <v>2.5</v>
      </c>
      <c r="M75" s="164">
        <v>2.5</v>
      </c>
      <c r="N75"/>
    </row>
    <row r="76" spans="1:14" ht="25.5">
      <c r="A76" s="170" t="s">
        <v>985</v>
      </c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/>
    </row>
    <row r="77" spans="1:13" s="873" customFormat="1" ht="12.75">
      <c r="A77" s="154" t="s">
        <v>986</v>
      </c>
      <c r="B77" s="164">
        <v>1</v>
      </c>
      <c r="C77" s="164">
        <v>1</v>
      </c>
      <c r="D77" s="164">
        <v>1</v>
      </c>
      <c r="E77" s="164">
        <v>1</v>
      </c>
      <c r="F77" s="164">
        <v>1</v>
      </c>
      <c r="G77" s="164">
        <v>1</v>
      </c>
      <c r="H77" s="164">
        <v>1</v>
      </c>
      <c r="I77" s="164">
        <v>1</v>
      </c>
      <c r="J77" s="164">
        <v>1</v>
      </c>
      <c r="K77" s="164">
        <v>1</v>
      </c>
      <c r="L77" s="164">
        <v>1</v>
      </c>
      <c r="M77" s="164">
        <v>1</v>
      </c>
    </row>
    <row r="78" spans="1:14" ht="38.25">
      <c r="A78" s="170" t="s">
        <v>987</v>
      </c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/>
    </row>
    <row r="79" spans="1:13" s="873" customFormat="1" ht="12.75">
      <c r="A79" s="154" t="s">
        <v>1012</v>
      </c>
      <c r="B79" s="164">
        <v>0.25</v>
      </c>
      <c r="C79" s="164">
        <v>0.25</v>
      </c>
      <c r="D79" s="164">
        <v>0.25</v>
      </c>
      <c r="E79" s="164">
        <v>0.25</v>
      </c>
      <c r="F79" s="164">
        <v>0.25</v>
      </c>
      <c r="G79" s="164">
        <v>0.25</v>
      </c>
      <c r="H79" s="164">
        <v>0.25</v>
      </c>
      <c r="I79" s="164">
        <v>0.25</v>
      </c>
      <c r="J79" s="164">
        <v>0.25</v>
      </c>
      <c r="K79" s="164">
        <v>0.25</v>
      </c>
      <c r="L79" s="164">
        <v>0.25</v>
      </c>
      <c r="M79" s="164">
        <v>0.25</v>
      </c>
    </row>
    <row r="80" spans="1:13" s="873" customFormat="1" ht="12.75">
      <c r="A80" s="154" t="s">
        <v>1013</v>
      </c>
      <c r="B80" s="164">
        <v>0.5</v>
      </c>
      <c r="C80" s="164">
        <v>0.5</v>
      </c>
      <c r="D80" s="164">
        <v>0.5</v>
      </c>
      <c r="E80" s="164">
        <v>0.5</v>
      </c>
      <c r="F80" s="164">
        <v>0.5</v>
      </c>
      <c r="G80" s="164">
        <v>0.5</v>
      </c>
      <c r="H80" s="164">
        <v>0.5</v>
      </c>
      <c r="I80" s="164">
        <v>0.5</v>
      </c>
      <c r="J80" s="164">
        <v>0.5</v>
      </c>
      <c r="K80" s="164">
        <v>0.5</v>
      </c>
      <c r="L80" s="164">
        <v>0.5</v>
      </c>
      <c r="M80" s="164">
        <v>0.5</v>
      </c>
    </row>
    <row r="81" spans="1:14" ht="12.75">
      <c r="A81" s="169" t="s">
        <v>397</v>
      </c>
      <c r="B81" s="147">
        <f>SUM(B50:B80)</f>
        <v>26.75</v>
      </c>
      <c r="C81" s="147">
        <f aca="true" t="shared" si="2" ref="C81:M81">SUM(C50:C80)</f>
        <v>25.75</v>
      </c>
      <c r="D81" s="147">
        <f t="shared" si="2"/>
        <v>25.75</v>
      </c>
      <c r="E81" s="147">
        <f t="shared" si="2"/>
        <v>25.75</v>
      </c>
      <c r="F81" s="147">
        <f t="shared" si="2"/>
        <v>25.75</v>
      </c>
      <c r="G81" s="147">
        <f t="shared" si="2"/>
        <v>25.75</v>
      </c>
      <c r="H81" s="147">
        <f t="shared" si="2"/>
        <v>25.75</v>
      </c>
      <c r="I81" s="147">
        <f t="shared" si="2"/>
        <v>25.75</v>
      </c>
      <c r="J81" s="147">
        <f t="shared" si="2"/>
        <v>25.75</v>
      </c>
      <c r="K81" s="147">
        <f t="shared" si="2"/>
        <v>25.75</v>
      </c>
      <c r="L81" s="147">
        <f t="shared" si="2"/>
        <v>25.75</v>
      </c>
      <c r="M81" s="147">
        <f t="shared" si="2"/>
        <v>25.75</v>
      </c>
      <c r="N81"/>
    </row>
    <row r="82" spans="1:14" s="86" customFormat="1" ht="14.25" customHeight="1">
      <c r="A82" s="15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74"/>
    </row>
    <row r="83" spans="1:14" s="87" customFormat="1" ht="22.5" customHeight="1">
      <c r="A83" s="169" t="s">
        <v>838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4"/>
    </row>
    <row r="84" spans="1:14" s="86" customFormat="1" ht="12.75">
      <c r="A84" s="155" t="s">
        <v>787</v>
      </c>
      <c r="B84" s="122">
        <v>1</v>
      </c>
      <c r="C84" s="122">
        <v>1</v>
      </c>
      <c r="D84" s="122">
        <v>1</v>
      </c>
      <c r="E84" s="122">
        <v>1</v>
      </c>
      <c r="F84" s="122">
        <v>1</v>
      </c>
      <c r="G84" s="122">
        <v>1</v>
      </c>
      <c r="H84" s="122">
        <v>1</v>
      </c>
      <c r="I84" s="122">
        <v>1</v>
      </c>
      <c r="J84" s="122">
        <v>1</v>
      </c>
      <c r="K84" s="122">
        <v>1</v>
      </c>
      <c r="L84" s="122">
        <v>1</v>
      </c>
      <c r="M84" s="122">
        <v>1</v>
      </c>
      <c r="N84" s="174"/>
    </row>
    <row r="85" spans="1:14" s="86" customFormat="1" ht="12.75">
      <c r="A85" s="155" t="s">
        <v>788</v>
      </c>
      <c r="B85" s="122">
        <v>1</v>
      </c>
      <c r="C85" s="122">
        <v>1</v>
      </c>
      <c r="D85" s="122">
        <v>1</v>
      </c>
      <c r="E85" s="122">
        <v>1</v>
      </c>
      <c r="F85" s="122">
        <v>1</v>
      </c>
      <c r="G85" s="122">
        <v>1</v>
      </c>
      <c r="H85" s="122">
        <v>1</v>
      </c>
      <c r="I85" s="122">
        <v>1</v>
      </c>
      <c r="J85" s="122">
        <v>1</v>
      </c>
      <c r="K85" s="122">
        <v>1</v>
      </c>
      <c r="L85" s="122">
        <v>1</v>
      </c>
      <c r="M85" s="122">
        <v>1</v>
      </c>
      <c r="N85" s="174"/>
    </row>
    <row r="86" spans="1:14" s="86" customFormat="1" ht="12.75">
      <c r="A86" s="155" t="s">
        <v>789</v>
      </c>
      <c r="B86" s="122">
        <v>1</v>
      </c>
      <c r="C86" s="122">
        <v>1</v>
      </c>
      <c r="D86" s="122">
        <v>1</v>
      </c>
      <c r="E86" s="122">
        <v>1</v>
      </c>
      <c r="F86" s="122">
        <v>1</v>
      </c>
      <c r="G86" s="122">
        <v>1</v>
      </c>
      <c r="H86" s="122">
        <v>1</v>
      </c>
      <c r="I86" s="122">
        <v>1</v>
      </c>
      <c r="J86" s="122">
        <v>1</v>
      </c>
      <c r="K86" s="122">
        <v>1</v>
      </c>
      <c r="L86" s="122">
        <v>1</v>
      </c>
      <c r="M86" s="122">
        <v>1</v>
      </c>
      <c r="N86" s="174"/>
    </row>
    <row r="87" spans="1:14" s="86" customFormat="1" ht="12.75">
      <c r="A87" s="155" t="s">
        <v>790</v>
      </c>
      <c r="B87" s="122">
        <v>1</v>
      </c>
      <c r="C87" s="122">
        <v>1</v>
      </c>
      <c r="D87" s="122">
        <v>1</v>
      </c>
      <c r="E87" s="122">
        <v>1</v>
      </c>
      <c r="F87" s="122">
        <v>1</v>
      </c>
      <c r="G87" s="122">
        <v>1</v>
      </c>
      <c r="H87" s="122">
        <v>1</v>
      </c>
      <c r="I87" s="122">
        <v>1</v>
      </c>
      <c r="J87" s="122">
        <v>1</v>
      </c>
      <c r="K87" s="122">
        <v>1</v>
      </c>
      <c r="L87" s="122">
        <v>1</v>
      </c>
      <c r="M87" s="122">
        <v>1</v>
      </c>
      <c r="N87" s="174"/>
    </row>
    <row r="88" spans="1:14" ht="25.5">
      <c r="A88" s="170" t="s">
        <v>988</v>
      </c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/>
    </row>
    <row r="89" spans="1:14" ht="12.75">
      <c r="A89" s="154" t="s">
        <v>981</v>
      </c>
      <c r="B89" s="164">
        <v>0.5</v>
      </c>
      <c r="C89" s="164">
        <v>0.5</v>
      </c>
      <c r="D89" s="164">
        <v>0.5</v>
      </c>
      <c r="E89" s="164">
        <v>0.5</v>
      </c>
      <c r="F89" s="164">
        <v>0.5</v>
      </c>
      <c r="G89" s="164">
        <v>0.5</v>
      </c>
      <c r="H89" s="164">
        <v>0.5</v>
      </c>
      <c r="I89" s="164">
        <v>0.5</v>
      </c>
      <c r="J89" s="164">
        <v>0.5</v>
      </c>
      <c r="K89" s="164">
        <v>0.5</v>
      </c>
      <c r="L89" s="164">
        <v>0.5</v>
      </c>
      <c r="M89" s="164">
        <v>0.5</v>
      </c>
      <c r="N89"/>
    </row>
    <row r="90" spans="1:14" s="87" customFormat="1" ht="30" customHeight="1">
      <c r="A90" s="153" t="s">
        <v>839</v>
      </c>
      <c r="B90" s="147">
        <f>SUM(B84:B89)</f>
        <v>4.5</v>
      </c>
      <c r="C90" s="147">
        <f aca="true" t="shared" si="3" ref="C90:M90">SUM(C84:C89)</f>
        <v>4.5</v>
      </c>
      <c r="D90" s="147">
        <f t="shared" si="3"/>
        <v>4.5</v>
      </c>
      <c r="E90" s="147">
        <f t="shared" si="3"/>
        <v>4.5</v>
      </c>
      <c r="F90" s="147">
        <f t="shared" si="3"/>
        <v>4.5</v>
      </c>
      <c r="G90" s="147">
        <f t="shared" si="3"/>
        <v>4.5</v>
      </c>
      <c r="H90" s="147">
        <f t="shared" si="3"/>
        <v>4.5</v>
      </c>
      <c r="I90" s="147">
        <f t="shared" si="3"/>
        <v>4.5</v>
      </c>
      <c r="J90" s="147">
        <f t="shared" si="3"/>
        <v>4.5</v>
      </c>
      <c r="K90" s="147">
        <f t="shared" si="3"/>
        <v>4.5</v>
      </c>
      <c r="L90" s="147">
        <f t="shared" si="3"/>
        <v>4.5</v>
      </c>
      <c r="M90" s="147">
        <f t="shared" si="3"/>
        <v>4.5</v>
      </c>
      <c r="N90" s="124"/>
    </row>
    <row r="91" spans="1:14" s="87" customFormat="1" ht="30.75" customHeight="1">
      <c r="A91" s="158" t="s">
        <v>434</v>
      </c>
      <c r="B91" s="476">
        <f aca="true" t="shared" si="4" ref="B91:M91">SUM(B90,B81,B46,B41)</f>
        <v>102.075</v>
      </c>
      <c r="C91" s="476">
        <f t="shared" si="4"/>
        <v>101.075</v>
      </c>
      <c r="D91" s="476">
        <f t="shared" si="4"/>
        <v>101.075</v>
      </c>
      <c r="E91" s="476">
        <f t="shared" si="4"/>
        <v>101.575</v>
      </c>
      <c r="F91" s="476">
        <f t="shared" si="4"/>
        <v>101.575</v>
      </c>
      <c r="G91" s="476">
        <f t="shared" si="4"/>
        <v>101.575</v>
      </c>
      <c r="H91" s="476">
        <f t="shared" si="4"/>
        <v>101.575</v>
      </c>
      <c r="I91" s="476">
        <f t="shared" si="4"/>
        <v>101.575</v>
      </c>
      <c r="J91" s="476">
        <f t="shared" si="4"/>
        <v>103.575</v>
      </c>
      <c r="K91" s="476">
        <f t="shared" si="4"/>
        <v>103.575</v>
      </c>
      <c r="L91" s="476">
        <f t="shared" si="4"/>
        <v>103.575</v>
      </c>
      <c r="M91" s="476">
        <f t="shared" si="4"/>
        <v>102.575</v>
      </c>
      <c r="N91" s="124"/>
    </row>
    <row r="92" spans="1:14" s="86" customFormat="1" ht="6" customHeight="1">
      <c r="A92" s="152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74"/>
    </row>
    <row r="93" spans="1:14" s="87" customFormat="1" ht="25.5" customHeight="1">
      <c r="A93" s="169" t="s">
        <v>362</v>
      </c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4"/>
    </row>
    <row r="94" spans="1:14" s="623" customFormat="1" ht="42" customHeight="1">
      <c r="A94" s="620" t="s">
        <v>989</v>
      </c>
      <c r="B94" s="621"/>
      <c r="C94" s="621"/>
      <c r="D94" s="621"/>
      <c r="E94" s="621"/>
      <c r="F94" s="621"/>
      <c r="G94" s="621"/>
      <c r="H94" s="621"/>
      <c r="I94" s="621"/>
      <c r="J94" s="621"/>
      <c r="K94" s="621"/>
      <c r="L94" s="621"/>
      <c r="M94" s="621"/>
      <c r="N94" s="622"/>
    </row>
    <row r="95" spans="1:14" s="86" customFormat="1" ht="27" customHeight="1">
      <c r="A95" s="474" t="s">
        <v>791</v>
      </c>
      <c r="B95" s="475">
        <v>11</v>
      </c>
      <c r="C95" s="475">
        <v>11</v>
      </c>
      <c r="D95" s="475">
        <v>0</v>
      </c>
      <c r="E95" s="475">
        <v>0</v>
      </c>
      <c r="F95" s="475">
        <v>0</v>
      </c>
      <c r="G95" s="475">
        <v>0</v>
      </c>
      <c r="H95" s="475">
        <v>0</v>
      </c>
      <c r="I95" s="475">
        <v>0</v>
      </c>
      <c r="J95" s="475">
        <v>0</v>
      </c>
      <c r="K95" s="475">
        <v>0</v>
      </c>
      <c r="L95" s="475">
        <v>0</v>
      </c>
      <c r="M95" s="475">
        <v>0</v>
      </c>
      <c r="N95" s="174"/>
    </row>
    <row r="96" spans="1:14" s="86" customFormat="1" ht="26.25" customHeight="1">
      <c r="A96" s="474" t="s">
        <v>792</v>
      </c>
      <c r="B96" s="475">
        <v>11</v>
      </c>
      <c r="C96" s="475">
        <v>11</v>
      </c>
      <c r="D96" s="475">
        <v>0</v>
      </c>
      <c r="E96" s="475">
        <v>0</v>
      </c>
      <c r="F96" s="475">
        <v>0</v>
      </c>
      <c r="G96" s="475">
        <v>0</v>
      </c>
      <c r="H96" s="475">
        <v>0</v>
      </c>
      <c r="I96" s="475">
        <v>0</v>
      </c>
      <c r="J96" s="475">
        <v>0</v>
      </c>
      <c r="K96" s="475">
        <v>0</v>
      </c>
      <c r="L96" s="475">
        <v>0</v>
      </c>
      <c r="M96" s="475">
        <v>0</v>
      </c>
      <c r="N96" s="174"/>
    </row>
    <row r="97" spans="1:14" s="86" customFormat="1" ht="26.25" customHeight="1">
      <c r="A97" s="474" t="s">
        <v>793</v>
      </c>
      <c r="B97" s="475">
        <v>11</v>
      </c>
      <c r="C97" s="475">
        <v>11</v>
      </c>
      <c r="D97" s="475">
        <v>0</v>
      </c>
      <c r="E97" s="475">
        <v>0</v>
      </c>
      <c r="F97" s="475">
        <v>0</v>
      </c>
      <c r="G97" s="475">
        <v>0</v>
      </c>
      <c r="H97" s="475">
        <v>0</v>
      </c>
      <c r="I97" s="475">
        <v>0</v>
      </c>
      <c r="J97" s="475">
        <v>0</v>
      </c>
      <c r="K97" s="475">
        <v>0</v>
      </c>
      <c r="L97" s="475">
        <v>0</v>
      </c>
      <c r="M97" s="475">
        <v>0</v>
      </c>
      <c r="N97" s="174"/>
    </row>
    <row r="98" spans="1:14" s="86" customFormat="1" ht="30" customHeight="1">
      <c r="A98" s="474" t="s">
        <v>990</v>
      </c>
      <c r="B98" s="475">
        <v>5</v>
      </c>
      <c r="C98" s="475">
        <v>5</v>
      </c>
      <c r="D98" s="475">
        <v>0</v>
      </c>
      <c r="E98" s="475">
        <v>0</v>
      </c>
      <c r="F98" s="475">
        <v>0</v>
      </c>
      <c r="G98" s="475">
        <v>0</v>
      </c>
      <c r="H98" s="475">
        <v>0</v>
      </c>
      <c r="I98" s="475">
        <v>0</v>
      </c>
      <c r="J98" s="475">
        <v>0</v>
      </c>
      <c r="K98" s="475">
        <v>0</v>
      </c>
      <c r="L98" s="475">
        <v>0</v>
      </c>
      <c r="M98" s="475">
        <v>0</v>
      </c>
      <c r="N98" s="174"/>
    </row>
    <row r="99" spans="1:14" s="623" customFormat="1" ht="42" customHeight="1">
      <c r="A99" s="620" t="s">
        <v>991</v>
      </c>
      <c r="B99" s="621"/>
      <c r="C99" s="621"/>
      <c r="D99" s="621"/>
      <c r="E99" s="621"/>
      <c r="F99" s="621"/>
      <c r="G99" s="621"/>
      <c r="H99" s="621"/>
      <c r="I99" s="621"/>
      <c r="J99" s="621"/>
      <c r="K99" s="621"/>
      <c r="L99" s="621"/>
      <c r="M99" s="621"/>
      <c r="N99" s="622"/>
    </row>
    <row r="100" spans="1:14" s="86" customFormat="1" ht="27.75" customHeight="1">
      <c r="A100" s="474" t="s">
        <v>1014</v>
      </c>
      <c r="B100" s="475">
        <v>20</v>
      </c>
      <c r="C100" s="475">
        <v>20</v>
      </c>
      <c r="D100" s="475">
        <v>0</v>
      </c>
      <c r="E100" s="475">
        <v>0</v>
      </c>
      <c r="F100" s="475">
        <v>0</v>
      </c>
      <c r="G100" s="475">
        <v>0</v>
      </c>
      <c r="H100" s="475">
        <v>0</v>
      </c>
      <c r="I100" s="475">
        <v>0</v>
      </c>
      <c r="J100" s="475">
        <v>0</v>
      </c>
      <c r="K100" s="475">
        <v>0</v>
      </c>
      <c r="L100" s="475">
        <v>0</v>
      </c>
      <c r="M100" s="475">
        <v>0</v>
      </c>
      <c r="N100" s="174"/>
    </row>
    <row r="101" spans="1:14" s="86" customFormat="1" ht="24" customHeight="1">
      <c r="A101" s="474" t="s">
        <v>992</v>
      </c>
      <c r="B101" s="475">
        <v>23</v>
      </c>
      <c r="C101" s="475">
        <v>23</v>
      </c>
      <c r="D101" s="475">
        <v>0</v>
      </c>
      <c r="E101" s="475">
        <v>0</v>
      </c>
      <c r="F101" s="475">
        <v>0</v>
      </c>
      <c r="G101" s="475">
        <v>0</v>
      </c>
      <c r="H101" s="475">
        <v>0</v>
      </c>
      <c r="I101" s="475">
        <v>0</v>
      </c>
      <c r="J101" s="475">
        <v>0</v>
      </c>
      <c r="K101" s="475">
        <v>0</v>
      </c>
      <c r="L101" s="475">
        <v>0</v>
      </c>
      <c r="M101" s="475">
        <v>0</v>
      </c>
      <c r="N101" s="174"/>
    </row>
    <row r="102" spans="1:14" ht="38.25">
      <c r="A102" s="620" t="s">
        <v>1046</v>
      </c>
      <c r="B102" s="621"/>
      <c r="C102" s="621"/>
      <c r="D102" s="621"/>
      <c r="E102" s="621"/>
      <c r="F102" s="621"/>
      <c r="G102" s="621"/>
      <c r="H102" s="621"/>
      <c r="I102" s="621"/>
      <c r="J102" s="621"/>
      <c r="K102" s="621"/>
      <c r="L102" s="621"/>
      <c r="M102" s="621"/>
      <c r="N102"/>
    </row>
    <row r="103" spans="1:14" ht="12.75">
      <c r="A103" s="474" t="s">
        <v>1048</v>
      </c>
      <c r="B103" s="475">
        <v>0</v>
      </c>
      <c r="C103" s="475">
        <v>0</v>
      </c>
      <c r="D103" s="475">
        <v>15</v>
      </c>
      <c r="E103" s="475">
        <v>15</v>
      </c>
      <c r="F103" s="475">
        <v>15</v>
      </c>
      <c r="G103" s="475">
        <v>15</v>
      </c>
      <c r="H103" s="475">
        <v>15</v>
      </c>
      <c r="I103" s="475">
        <v>15</v>
      </c>
      <c r="J103" s="475">
        <v>15</v>
      </c>
      <c r="K103" s="475">
        <v>15</v>
      </c>
      <c r="L103" s="475">
        <v>15</v>
      </c>
      <c r="M103" s="475">
        <v>15</v>
      </c>
      <c r="N103"/>
    </row>
    <row r="104" spans="1:14" ht="25.5">
      <c r="A104" s="620" t="s">
        <v>1045</v>
      </c>
      <c r="B104" s="621"/>
      <c r="C104" s="621"/>
      <c r="D104" s="621"/>
      <c r="E104" s="621"/>
      <c r="F104" s="621"/>
      <c r="G104" s="621"/>
      <c r="H104" s="621"/>
      <c r="I104" s="621"/>
      <c r="J104" s="621"/>
      <c r="K104" s="621"/>
      <c r="L104" s="621"/>
      <c r="M104" s="621"/>
      <c r="N104"/>
    </row>
    <row r="105" spans="1:14" ht="12.75">
      <c r="A105" s="474" t="s">
        <v>1047</v>
      </c>
      <c r="B105" s="475">
        <v>0</v>
      </c>
      <c r="C105" s="475">
        <v>0</v>
      </c>
      <c r="D105" s="475">
        <v>48</v>
      </c>
      <c r="E105" s="475">
        <v>48</v>
      </c>
      <c r="F105" s="475">
        <v>48</v>
      </c>
      <c r="G105" s="475">
        <v>48</v>
      </c>
      <c r="H105" s="475">
        <v>48</v>
      </c>
      <c r="I105" s="475">
        <v>48</v>
      </c>
      <c r="J105" s="475">
        <v>48</v>
      </c>
      <c r="K105" s="475">
        <v>48</v>
      </c>
      <c r="L105" s="475">
        <v>48</v>
      </c>
      <c r="M105" s="475">
        <v>48</v>
      </c>
      <c r="N105"/>
    </row>
    <row r="106" spans="1:14" s="87" customFormat="1" ht="32.25" customHeight="1">
      <c r="A106" s="158" t="s">
        <v>526</v>
      </c>
      <c r="B106" s="476">
        <f>SUM(B94:B105)</f>
        <v>81</v>
      </c>
      <c r="C106" s="476">
        <f aca="true" t="shared" si="5" ref="C106:M106">SUM(C94:C105)</f>
        <v>81</v>
      </c>
      <c r="D106" s="476">
        <f t="shared" si="5"/>
        <v>63</v>
      </c>
      <c r="E106" s="476">
        <f t="shared" si="5"/>
        <v>63</v>
      </c>
      <c r="F106" s="476">
        <f t="shared" si="5"/>
        <v>63</v>
      </c>
      <c r="G106" s="476">
        <f t="shared" si="5"/>
        <v>63</v>
      </c>
      <c r="H106" s="476">
        <f t="shared" si="5"/>
        <v>63</v>
      </c>
      <c r="I106" s="476">
        <f t="shared" si="5"/>
        <v>63</v>
      </c>
      <c r="J106" s="476">
        <f t="shared" si="5"/>
        <v>63</v>
      </c>
      <c r="K106" s="476">
        <f t="shared" si="5"/>
        <v>63</v>
      </c>
      <c r="L106" s="476">
        <f t="shared" si="5"/>
        <v>63</v>
      </c>
      <c r="M106" s="476">
        <f t="shared" si="5"/>
        <v>63</v>
      </c>
      <c r="N106" s="124"/>
    </row>
    <row r="107" spans="1:13" s="935" customFormat="1" ht="10.5" customHeight="1">
      <c r="A107" s="1296"/>
      <c r="B107" s="1297"/>
      <c r="C107" s="1297"/>
      <c r="D107" s="1297"/>
      <c r="E107" s="1297"/>
      <c r="F107" s="1297"/>
      <c r="G107" s="1297"/>
      <c r="H107" s="1297"/>
      <c r="I107" s="1297"/>
      <c r="J107" s="1297"/>
      <c r="K107" s="1297"/>
      <c r="L107" s="1297"/>
      <c r="M107" s="1298"/>
    </row>
    <row r="108" spans="1:14" s="87" customFormat="1" ht="22.5" customHeight="1">
      <c r="A108" s="1299" t="s">
        <v>1071</v>
      </c>
      <c r="B108" s="1300"/>
      <c r="C108" s="1300"/>
      <c r="D108" s="1300"/>
      <c r="E108" s="1300"/>
      <c r="F108" s="1300"/>
      <c r="G108" s="1300"/>
      <c r="H108" s="1300"/>
      <c r="I108" s="1300"/>
      <c r="J108" s="1300"/>
      <c r="K108" s="1300"/>
      <c r="L108" s="1300"/>
      <c r="M108" s="1301"/>
      <c r="N108" s="124"/>
    </row>
    <row r="109" spans="1:14" s="938" customFormat="1" ht="28.5" customHeight="1">
      <c r="A109" s="939" t="s">
        <v>771</v>
      </c>
      <c r="B109" s="940">
        <v>0</v>
      </c>
      <c r="C109" s="940">
        <v>0</v>
      </c>
      <c r="D109" s="940">
        <v>0</v>
      </c>
      <c r="E109" s="940">
        <v>0</v>
      </c>
      <c r="F109" s="940">
        <v>0</v>
      </c>
      <c r="G109" s="940">
        <v>0</v>
      </c>
      <c r="H109" s="940">
        <v>6</v>
      </c>
      <c r="I109" s="940">
        <v>5</v>
      </c>
      <c r="J109" s="940">
        <v>0</v>
      </c>
      <c r="K109" s="940">
        <v>0</v>
      </c>
      <c r="L109" s="940">
        <v>0</v>
      </c>
      <c r="M109" s="940">
        <v>0</v>
      </c>
      <c r="N109" s="941"/>
    </row>
    <row r="110" spans="1:14" s="938" customFormat="1" ht="22.5" customHeight="1">
      <c r="A110" s="939" t="s">
        <v>838</v>
      </c>
      <c r="B110" s="940">
        <v>0</v>
      </c>
      <c r="C110" s="940">
        <v>0</v>
      </c>
      <c r="D110" s="940">
        <v>0</v>
      </c>
      <c r="E110" s="940">
        <v>0</v>
      </c>
      <c r="F110" s="940">
        <v>0</v>
      </c>
      <c r="G110" s="940">
        <v>0</v>
      </c>
      <c r="H110" s="940">
        <v>1</v>
      </c>
      <c r="I110" s="940">
        <v>1</v>
      </c>
      <c r="J110" s="940">
        <v>0</v>
      </c>
      <c r="K110" s="940">
        <v>0</v>
      </c>
      <c r="L110" s="940">
        <v>0</v>
      </c>
      <c r="M110" s="940">
        <v>0</v>
      </c>
      <c r="N110" s="941"/>
    </row>
    <row r="111" spans="1:14" s="148" customFormat="1" ht="32.25" customHeight="1">
      <c r="A111" s="942" t="s">
        <v>1092</v>
      </c>
      <c r="B111" s="476">
        <f>SUM(B109:B110)</f>
        <v>0</v>
      </c>
      <c r="C111" s="476">
        <f aca="true" t="shared" si="6" ref="C111:M111">SUM(C109:C110)</f>
        <v>0</v>
      </c>
      <c r="D111" s="476">
        <f t="shared" si="6"/>
        <v>0</v>
      </c>
      <c r="E111" s="476">
        <f t="shared" si="6"/>
        <v>0</v>
      </c>
      <c r="F111" s="476">
        <f t="shared" si="6"/>
        <v>0</v>
      </c>
      <c r="G111" s="476">
        <f t="shared" si="6"/>
        <v>0</v>
      </c>
      <c r="H111" s="476">
        <f t="shared" si="6"/>
        <v>7</v>
      </c>
      <c r="I111" s="476">
        <f t="shared" si="6"/>
        <v>6</v>
      </c>
      <c r="J111" s="476">
        <f t="shared" si="6"/>
        <v>0</v>
      </c>
      <c r="K111" s="476">
        <f t="shared" si="6"/>
        <v>0</v>
      </c>
      <c r="L111" s="476">
        <f t="shared" si="6"/>
        <v>0</v>
      </c>
      <c r="M111" s="476">
        <f t="shared" si="6"/>
        <v>0</v>
      </c>
      <c r="N111" s="176"/>
    </row>
  </sheetData>
  <sheetProtection/>
  <mergeCells count="5">
    <mergeCell ref="A4:M4"/>
    <mergeCell ref="A5:M5"/>
    <mergeCell ref="A6:M6"/>
    <mergeCell ref="A107:M107"/>
    <mergeCell ref="A108:M108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72" r:id="rId1"/>
  <rowBreaks count="2" manualBreakCount="2">
    <brk id="41" max="12" man="1"/>
    <brk id="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90"/>
  <sheetViews>
    <sheetView zoomScaleSheetLayoutView="100" zoomScalePageLayoutView="0" workbookViewId="0" topLeftCell="A1">
      <selection activeCell="C2" sqref="C2"/>
    </sheetView>
  </sheetViews>
  <sheetFormatPr defaultColWidth="8.875" defaultRowHeight="12.75"/>
  <cols>
    <col min="1" max="1" width="4.125" style="89" bestFit="1" customWidth="1"/>
    <col min="2" max="2" width="2.375" style="3" customWidth="1"/>
    <col min="3" max="3" width="88.625" style="3" customWidth="1"/>
    <col min="4" max="4" width="17.25390625" style="3" bestFit="1" customWidth="1"/>
    <col min="5" max="16384" width="8.875" style="3" customWidth="1"/>
  </cols>
  <sheetData>
    <row r="1" spans="3:5" ht="15">
      <c r="C1" s="1026" t="s">
        <v>1159</v>
      </c>
      <c r="D1" s="1302"/>
      <c r="E1" s="88"/>
    </row>
    <row r="2" spans="3:5" ht="15">
      <c r="C2" s="6"/>
      <c r="D2" s="163"/>
      <c r="E2" s="88"/>
    </row>
    <row r="3" spans="2:4" ht="15.75">
      <c r="B3" s="1305" t="s">
        <v>916</v>
      </c>
      <c r="C3" s="1305"/>
      <c r="D3" s="1305"/>
    </row>
    <row r="4" spans="2:4" ht="15">
      <c r="B4" s="181"/>
      <c r="C4" s="181"/>
      <c r="D4" s="181"/>
    </row>
    <row r="5" ht="15.75" thickBot="1">
      <c r="D5" s="6"/>
    </row>
    <row r="6" spans="1:4" s="4" customFormat="1" ht="14.25">
      <c r="A6" s="1312" t="s">
        <v>446</v>
      </c>
      <c r="B6" s="1306" t="s">
        <v>367</v>
      </c>
      <c r="C6" s="1307"/>
      <c r="D6" s="7" t="s">
        <v>380</v>
      </c>
    </row>
    <row r="7" spans="1:4" s="106" customFormat="1" ht="12">
      <c r="A7" s="1313"/>
      <c r="B7" s="1308" t="s">
        <v>440</v>
      </c>
      <c r="C7" s="1308"/>
      <c r="D7" s="105" t="s">
        <v>441</v>
      </c>
    </row>
    <row r="8" spans="1:4" s="4" customFormat="1" ht="14.25">
      <c r="A8" s="112">
        <v>1</v>
      </c>
      <c r="B8" s="107" t="s">
        <v>373</v>
      </c>
      <c r="C8" s="11"/>
      <c r="D8" s="314"/>
    </row>
    <row r="9" spans="1:4" s="13" customFormat="1" ht="15">
      <c r="A9" s="112">
        <v>2</v>
      </c>
      <c r="B9" s="108" t="s">
        <v>453</v>
      </c>
      <c r="C9" s="12"/>
      <c r="D9" s="315"/>
    </row>
    <row r="10" spans="1:4" ht="27.75" customHeight="1">
      <c r="A10" s="112">
        <v>3</v>
      </c>
      <c r="B10" s="91" t="s">
        <v>381</v>
      </c>
      <c r="C10" s="150" t="s">
        <v>922</v>
      </c>
      <c r="D10" s="682">
        <f>252435231-23410448</f>
        <v>229024783</v>
      </c>
    </row>
    <row r="11" spans="1:4" ht="33" customHeight="1">
      <c r="A11" s="112">
        <v>4</v>
      </c>
      <c r="B11" s="91" t="s">
        <v>381</v>
      </c>
      <c r="C11" s="150" t="s">
        <v>923</v>
      </c>
      <c r="D11" s="682">
        <v>196302400</v>
      </c>
    </row>
    <row r="12" spans="1:4" ht="27.75" customHeight="1">
      <c r="A12" s="112">
        <v>5</v>
      </c>
      <c r="B12" s="91" t="s">
        <v>381</v>
      </c>
      <c r="C12" s="150" t="s">
        <v>924</v>
      </c>
      <c r="D12" s="682">
        <v>429750000</v>
      </c>
    </row>
    <row r="13" spans="1:4" ht="27.75" customHeight="1">
      <c r="A13" s="112">
        <v>6</v>
      </c>
      <c r="B13" s="91" t="s">
        <v>381</v>
      </c>
      <c r="C13" s="150" t="s">
        <v>746</v>
      </c>
      <c r="D13" s="682">
        <v>12223750</v>
      </c>
    </row>
    <row r="14" spans="1:4" ht="27.75" customHeight="1">
      <c r="A14" s="112">
        <v>7</v>
      </c>
      <c r="B14" s="91" t="s">
        <v>381</v>
      </c>
      <c r="C14" s="150" t="s">
        <v>1136</v>
      </c>
      <c r="D14" s="682">
        <v>4500000</v>
      </c>
    </row>
    <row r="15" spans="1:4" ht="18.75" customHeight="1">
      <c r="A15" s="112">
        <v>8</v>
      </c>
      <c r="B15" s="91" t="s">
        <v>381</v>
      </c>
      <c r="C15" s="150" t="s">
        <v>925</v>
      </c>
      <c r="D15" s="682">
        <v>106361800</v>
      </c>
    </row>
    <row r="16" spans="1:4" ht="18.75" customHeight="1">
      <c r="A16" s="112">
        <v>9</v>
      </c>
      <c r="B16" s="91" t="s">
        <v>381</v>
      </c>
      <c r="C16" s="150" t="s">
        <v>1107</v>
      </c>
      <c r="D16" s="682">
        <v>1077031</v>
      </c>
    </row>
    <row r="17" spans="1:4" ht="18.75" customHeight="1">
      <c r="A17" s="112">
        <v>10</v>
      </c>
      <c r="B17" s="91" t="s">
        <v>381</v>
      </c>
      <c r="C17" s="150" t="s">
        <v>919</v>
      </c>
      <c r="D17" s="682">
        <v>600000</v>
      </c>
    </row>
    <row r="18" spans="1:4" ht="22.5" customHeight="1">
      <c r="A18" s="112">
        <v>11</v>
      </c>
      <c r="B18" s="91" t="s">
        <v>381</v>
      </c>
      <c r="C18" s="150" t="s">
        <v>918</v>
      </c>
      <c r="D18" s="682">
        <f>289870-106606</f>
        <v>183264</v>
      </c>
    </row>
    <row r="19" spans="1:4" ht="22.5" customHeight="1">
      <c r="A19" s="112">
        <v>12</v>
      </c>
      <c r="B19" s="91" t="s">
        <v>381</v>
      </c>
      <c r="C19" s="150" t="s">
        <v>1049</v>
      </c>
      <c r="D19" s="682">
        <v>138684</v>
      </c>
    </row>
    <row r="20" spans="1:4" ht="36" customHeight="1">
      <c r="A20" s="112">
        <v>13</v>
      </c>
      <c r="B20" s="91" t="s">
        <v>381</v>
      </c>
      <c r="C20" s="150" t="s">
        <v>927</v>
      </c>
      <c r="D20" s="682">
        <v>510500</v>
      </c>
    </row>
    <row r="21" spans="1:4" ht="27.75" customHeight="1">
      <c r="A21" s="112">
        <v>14</v>
      </c>
      <c r="B21" s="91" t="s">
        <v>381</v>
      </c>
      <c r="C21" s="150" t="s">
        <v>1137</v>
      </c>
      <c r="D21" s="682">
        <v>6223000</v>
      </c>
    </row>
    <row r="22" spans="1:4" ht="20.25" customHeight="1">
      <c r="A22" s="112">
        <v>15</v>
      </c>
      <c r="B22" s="91" t="s">
        <v>381</v>
      </c>
      <c r="C22" s="150" t="s">
        <v>1138</v>
      </c>
      <c r="D22" s="682">
        <v>600000</v>
      </c>
    </row>
    <row r="23" spans="1:4" ht="27.75" customHeight="1">
      <c r="A23" s="112">
        <v>16</v>
      </c>
      <c r="B23" s="91" t="s">
        <v>381</v>
      </c>
      <c r="C23" s="150" t="s">
        <v>931</v>
      </c>
      <c r="D23" s="682">
        <v>700000</v>
      </c>
    </row>
    <row r="24" spans="1:4" ht="21" customHeight="1">
      <c r="A24" s="112">
        <v>17</v>
      </c>
      <c r="B24" s="91" t="s">
        <v>381</v>
      </c>
      <c r="C24" s="150" t="s">
        <v>1139</v>
      </c>
      <c r="D24" s="682">
        <v>11411381</v>
      </c>
    </row>
    <row r="25" spans="1:4" ht="21" customHeight="1">
      <c r="A25" s="112">
        <v>18</v>
      </c>
      <c r="B25" s="91" t="s">
        <v>381</v>
      </c>
      <c r="C25" s="150" t="s">
        <v>1140</v>
      </c>
      <c r="D25" s="682">
        <v>4797591</v>
      </c>
    </row>
    <row r="26" spans="1:4" ht="21" customHeight="1">
      <c r="A26" s="112">
        <v>19</v>
      </c>
      <c r="B26" s="91" t="s">
        <v>381</v>
      </c>
      <c r="C26" s="150" t="s">
        <v>1141</v>
      </c>
      <c r="D26" s="682">
        <v>779383</v>
      </c>
    </row>
    <row r="27" spans="1:4" ht="28.5" customHeight="1">
      <c r="A27" s="112">
        <v>20</v>
      </c>
      <c r="B27" s="91" t="s">
        <v>381</v>
      </c>
      <c r="C27" s="150" t="s">
        <v>926</v>
      </c>
      <c r="D27" s="682">
        <v>6400548</v>
      </c>
    </row>
    <row r="28" spans="1:4" ht="28.5" customHeight="1">
      <c r="A28" s="112">
        <v>21</v>
      </c>
      <c r="B28" s="91" t="s">
        <v>381</v>
      </c>
      <c r="C28" s="150" t="s">
        <v>1017</v>
      </c>
      <c r="D28" s="682">
        <v>1000000</v>
      </c>
    </row>
    <row r="29" spans="1:4" ht="20.25" customHeight="1">
      <c r="A29" s="112">
        <v>22</v>
      </c>
      <c r="B29" s="91" t="s">
        <v>381</v>
      </c>
      <c r="C29" s="150" t="s">
        <v>1142</v>
      </c>
      <c r="D29" s="682">
        <v>620000</v>
      </c>
    </row>
    <row r="30" spans="1:4" ht="30">
      <c r="A30" s="112">
        <v>23</v>
      </c>
      <c r="B30" s="91" t="s">
        <v>381</v>
      </c>
      <c r="C30" s="150" t="s">
        <v>1076</v>
      </c>
      <c r="D30" s="682">
        <v>1578000</v>
      </c>
    </row>
    <row r="31" spans="1:4" ht="30">
      <c r="A31" s="112">
        <v>24</v>
      </c>
      <c r="B31" s="91" t="s">
        <v>381</v>
      </c>
      <c r="C31" s="150" t="s">
        <v>1093</v>
      </c>
      <c r="D31" s="682">
        <v>109120</v>
      </c>
    </row>
    <row r="32" spans="1:4" ht="15">
      <c r="A32" s="112">
        <v>25</v>
      </c>
      <c r="B32" s="91" t="s">
        <v>381</v>
      </c>
      <c r="C32" s="150" t="s">
        <v>1108</v>
      </c>
      <c r="D32" s="682">
        <v>87249</v>
      </c>
    </row>
    <row r="33" spans="1:4" ht="15">
      <c r="A33" s="112">
        <v>26</v>
      </c>
      <c r="B33" s="91" t="s">
        <v>381</v>
      </c>
      <c r="C33" s="150" t="s">
        <v>1110</v>
      </c>
      <c r="D33" s="682">
        <v>764084</v>
      </c>
    </row>
    <row r="34" spans="1:4" ht="15">
      <c r="A34" s="112">
        <v>27</v>
      </c>
      <c r="B34" s="934" t="s">
        <v>381</v>
      </c>
      <c r="C34" s="150" t="s">
        <v>1111</v>
      </c>
      <c r="D34" s="682">
        <v>12976</v>
      </c>
    </row>
    <row r="35" spans="1:4" ht="15">
      <c r="A35" s="112">
        <v>28</v>
      </c>
      <c r="B35" s="981" t="s">
        <v>381</v>
      </c>
      <c r="C35" s="978" t="s">
        <v>1112</v>
      </c>
      <c r="D35" s="682">
        <v>162937</v>
      </c>
    </row>
    <row r="36" spans="1:4" ht="30">
      <c r="A36" s="112">
        <v>29</v>
      </c>
      <c r="B36" s="981" t="s">
        <v>381</v>
      </c>
      <c r="C36" s="978" t="s">
        <v>1113</v>
      </c>
      <c r="D36" s="682">
        <v>367914</v>
      </c>
    </row>
    <row r="37" spans="1:4" ht="30">
      <c r="A37" s="112">
        <v>30</v>
      </c>
      <c r="B37" s="91" t="s">
        <v>381</v>
      </c>
      <c r="C37" s="150" t="s">
        <v>1114</v>
      </c>
      <c r="D37" s="682">
        <v>228000</v>
      </c>
    </row>
    <row r="38" spans="1:4" s="37" customFormat="1" ht="15">
      <c r="A38" s="112">
        <v>31</v>
      </c>
      <c r="B38" s="91"/>
      <c r="C38" s="15" t="s">
        <v>397</v>
      </c>
      <c r="D38" s="316">
        <f>SUM(D10:D37)</f>
        <v>1016514395</v>
      </c>
    </row>
    <row r="39" spans="1:4" s="37" customFormat="1" ht="15">
      <c r="A39" s="112">
        <v>32</v>
      </c>
      <c r="B39" s="1309" t="s">
        <v>378</v>
      </c>
      <c r="C39" s="1310"/>
      <c r="D39" s="1311"/>
    </row>
    <row r="40" spans="1:4" ht="18.75" customHeight="1">
      <c r="A40" s="112">
        <v>33</v>
      </c>
      <c r="B40" s="91" t="s">
        <v>381</v>
      </c>
      <c r="C40" s="150" t="s">
        <v>1143</v>
      </c>
      <c r="D40" s="682">
        <v>1016000</v>
      </c>
    </row>
    <row r="41" spans="1:4" s="37" customFormat="1" ht="15">
      <c r="A41" s="112">
        <v>34</v>
      </c>
      <c r="B41" s="149"/>
      <c r="C41" s="15" t="s">
        <v>506</v>
      </c>
      <c r="D41" s="316">
        <f>SUM(D40:D40)</f>
        <v>1016000</v>
      </c>
    </row>
    <row r="42" spans="1:4" s="37" customFormat="1" ht="15">
      <c r="A42" s="112">
        <v>35</v>
      </c>
      <c r="B42" s="1309" t="s">
        <v>838</v>
      </c>
      <c r="C42" s="1310"/>
      <c r="D42" s="1311"/>
    </row>
    <row r="43" spans="1:4" ht="18.75" customHeight="1">
      <c r="A43" s="112">
        <v>36</v>
      </c>
      <c r="B43" s="91" t="s">
        <v>381</v>
      </c>
      <c r="C43" s="150" t="s">
        <v>1144</v>
      </c>
      <c r="D43" s="682">
        <v>635000</v>
      </c>
    </row>
    <row r="44" spans="1:4" ht="18.75" customHeight="1">
      <c r="A44" s="112">
        <v>37</v>
      </c>
      <c r="B44" s="91" t="s">
        <v>381</v>
      </c>
      <c r="C44" s="150" t="s">
        <v>1145</v>
      </c>
      <c r="D44" s="682">
        <v>2497100</v>
      </c>
    </row>
    <row r="45" spans="1:4" ht="18.75" customHeight="1">
      <c r="A45" s="112">
        <v>38</v>
      </c>
      <c r="B45" s="91" t="s">
        <v>381</v>
      </c>
      <c r="C45" s="978" t="s">
        <v>1146</v>
      </c>
      <c r="D45" s="682">
        <v>783939</v>
      </c>
    </row>
    <row r="46" spans="1:4" s="37" customFormat="1" ht="15">
      <c r="A46" s="112">
        <v>39</v>
      </c>
      <c r="B46" s="149"/>
      <c r="C46" s="15" t="s">
        <v>839</v>
      </c>
      <c r="D46" s="316">
        <f>SUM(D43:D45)</f>
        <v>3916039</v>
      </c>
    </row>
    <row r="47" spans="1:4" s="37" customFormat="1" ht="15">
      <c r="A47" s="112">
        <v>40</v>
      </c>
      <c r="B47" s="1309" t="s">
        <v>771</v>
      </c>
      <c r="C47" s="1310"/>
      <c r="D47" s="1311"/>
    </row>
    <row r="48" spans="1:4" ht="60">
      <c r="A48" s="112">
        <v>41</v>
      </c>
      <c r="B48" s="91" t="s">
        <v>381</v>
      </c>
      <c r="C48" s="805" t="s">
        <v>1147</v>
      </c>
      <c r="D48" s="682">
        <f>552450+592498-108966</f>
        <v>1035982</v>
      </c>
    </row>
    <row r="49" spans="1:4" ht="30">
      <c r="A49" s="112">
        <v>42</v>
      </c>
      <c r="B49" s="91" t="s">
        <v>381</v>
      </c>
      <c r="C49" s="805" t="s">
        <v>1148</v>
      </c>
      <c r="D49" s="682">
        <f>152400+46143-39624</f>
        <v>158919</v>
      </c>
    </row>
    <row r="50" spans="1:4" ht="15">
      <c r="A50" s="112">
        <v>43</v>
      </c>
      <c r="B50" s="91" t="s">
        <v>381</v>
      </c>
      <c r="C50" s="805" t="s">
        <v>1117</v>
      </c>
      <c r="D50" s="682">
        <f>241300-69342</f>
        <v>171958</v>
      </c>
    </row>
    <row r="51" spans="1:4" ht="15">
      <c r="A51" s="112">
        <v>44</v>
      </c>
      <c r="B51" s="91" t="s">
        <v>381</v>
      </c>
      <c r="C51" s="805" t="s">
        <v>1091</v>
      </c>
      <c r="D51" s="682">
        <v>36576</v>
      </c>
    </row>
    <row r="52" spans="1:4" s="37" customFormat="1" ht="15">
      <c r="A52" s="112">
        <v>45</v>
      </c>
      <c r="B52" s="149"/>
      <c r="C52" s="15" t="s">
        <v>1015</v>
      </c>
      <c r="D52" s="316">
        <f>SUM(D48:D51)</f>
        <v>1403435</v>
      </c>
    </row>
    <row r="53" spans="1:4" s="4" customFormat="1" ht="15" thickBot="1">
      <c r="A53" s="113">
        <v>46</v>
      </c>
      <c r="B53" s="16" t="s">
        <v>370</v>
      </c>
      <c r="C53" s="16"/>
      <c r="D53" s="317">
        <f>SUM(D52+D46+D41+D38)</f>
        <v>1022849869</v>
      </c>
    </row>
    <row r="54" spans="1:4" ht="15">
      <c r="A54" s="578">
        <v>47</v>
      </c>
      <c r="B54" s="1303" t="s">
        <v>379</v>
      </c>
      <c r="C54" s="1303"/>
      <c r="D54" s="1304"/>
    </row>
    <row r="55" spans="1:4" s="13" customFormat="1" ht="15">
      <c r="A55" s="112">
        <v>48</v>
      </c>
      <c r="B55" s="125" t="s">
        <v>453</v>
      </c>
      <c r="C55" s="14"/>
      <c r="D55" s="8"/>
    </row>
    <row r="56" spans="1:4" ht="18.75" customHeight="1">
      <c r="A56" s="112">
        <v>49</v>
      </c>
      <c r="B56" s="91" t="s">
        <v>381</v>
      </c>
      <c r="C56" s="150" t="s">
        <v>616</v>
      </c>
      <c r="D56" s="682">
        <v>500000</v>
      </c>
    </row>
    <row r="57" spans="1:4" ht="18.75" customHeight="1">
      <c r="A57" s="112">
        <v>50</v>
      </c>
      <c r="B57" s="91" t="s">
        <v>381</v>
      </c>
      <c r="C57" s="150" t="s">
        <v>1149</v>
      </c>
      <c r="D57" s="682">
        <v>7850000</v>
      </c>
    </row>
    <row r="58" spans="1:4" ht="15">
      <c r="A58" s="112">
        <v>51</v>
      </c>
      <c r="B58" s="91" t="s">
        <v>381</v>
      </c>
      <c r="C58" s="150" t="s">
        <v>1106</v>
      </c>
      <c r="D58" s="682">
        <v>16000000</v>
      </c>
    </row>
    <row r="59" spans="1:4" s="37" customFormat="1" ht="29.25" customHeight="1">
      <c r="A59" s="112">
        <v>52</v>
      </c>
      <c r="B59" s="91" t="s">
        <v>381</v>
      </c>
      <c r="C59" s="150" t="s">
        <v>921</v>
      </c>
      <c r="D59" s="682">
        <v>47550000</v>
      </c>
    </row>
    <row r="60" spans="1:4" s="37" customFormat="1" ht="45">
      <c r="A60" s="112">
        <v>53</v>
      </c>
      <c r="B60" s="91" t="s">
        <v>381</v>
      </c>
      <c r="C60" s="150" t="s">
        <v>1075</v>
      </c>
      <c r="D60" s="682">
        <v>829010</v>
      </c>
    </row>
    <row r="61" spans="1:4" s="37" customFormat="1" ht="29.25" customHeight="1">
      <c r="A61" s="112">
        <v>54</v>
      </c>
      <c r="B61" s="91" t="s">
        <v>381</v>
      </c>
      <c r="C61" s="150" t="s">
        <v>929</v>
      </c>
      <c r="D61" s="682">
        <v>6575332</v>
      </c>
    </row>
    <row r="62" spans="1:4" s="37" customFormat="1" ht="29.25" customHeight="1">
      <c r="A62" s="112">
        <v>55</v>
      </c>
      <c r="B62" s="91" t="s">
        <v>381</v>
      </c>
      <c r="C62" s="150" t="s">
        <v>928</v>
      </c>
      <c r="D62" s="682">
        <v>97606050</v>
      </c>
    </row>
    <row r="63" spans="1:4" s="37" customFormat="1" ht="29.25" customHeight="1">
      <c r="A63" s="112">
        <v>56</v>
      </c>
      <c r="B63" s="91" t="s">
        <v>381</v>
      </c>
      <c r="C63" s="150" t="s">
        <v>933</v>
      </c>
      <c r="D63" s="682">
        <v>522139</v>
      </c>
    </row>
    <row r="64" spans="1:4" ht="25.5" customHeight="1">
      <c r="A64" s="112">
        <v>57</v>
      </c>
      <c r="B64" s="91" t="s">
        <v>381</v>
      </c>
      <c r="C64" s="150" t="s">
        <v>930</v>
      </c>
      <c r="D64" s="682">
        <v>6462419</v>
      </c>
    </row>
    <row r="65" spans="1:4" ht="18.75" customHeight="1">
      <c r="A65" s="112">
        <v>58</v>
      </c>
      <c r="B65" s="91" t="s">
        <v>381</v>
      </c>
      <c r="C65" s="150" t="s">
        <v>932</v>
      </c>
      <c r="D65" s="682">
        <f>19957013-228000</f>
        <v>19729013</v>
      </c>
    </row>
    <row r="66" spans="1:4" ht="30">
      <c r="A66" s="112">
        <v>59</v>
      </c>
      <c r="B66" s="91" t="s">
        <v>381</v>
      </c>
      <c r="C66" s="150" t="s">
        <v>1150</v>
      </c>
      <c r="D66" s="682">
        <f>1600000+29999998</f>
        <v>31599998</v>
      </c>
    </row>
    <row r="67" spans="1:4" ht="15">
      <c r="A67" s="112">
        <v>60</v>
      </c>
      <c r="B67" s="91" t="s">
        <v>381</v>
      </c>
      <c r="C67" s="150" t="s">
        <v>1109</v>
      </c>
      <c r="D67" s="682">
        <v>152749</v>
      </c>
    </row>
    <row r="68" spans="1:4" s="13" customFormat="1" ht="15">
      <c r="A68" s="112">
        <v>61</v>
      </c>
      <c r="B68" s="110"/>
      <c r="C68" s="5" t="s">
        <v>397</v>
      </c>
      <c r="D68" s="318">
        <f>SUM(D54:D67)</f>
        <v>235376710</v>
      </c>
    </row>
    <row r="69" spans="1:4" s="37" customFormat="1" ht="15">
      <c r="A69" s="112">
        <v>62</v>
      </c>
      <c r="B69" s="1309" t="s">
        <v>771</v>
      </c>
      <c r="C69" s="1310"/>
      <c r="D69" s="1311"/>
    </row>
    <row r="70" spans="1:4" ht="25.5" customHeight="1">
      <c r="A70" s="112">
        <v>63</v>
      </c>
      <c r="B70" s="91" t="s">
        <v>381</v>
      </c>
      <c r="C70" s="150" t="s">
        <v>1151</v>
      </c>
      <c r="D70" s="682">
        <v>273095</v>
      </c>
    </row>
    <row r="71" spans="1:4" s="37" customFormat="1" ht="15">
      <c r="A71" s="112">
        <v>64</v>
      </c>
      <c r="B71" s="934"/>
      <c r="C71" s="15" t="s">
        <v>1015</v>
      </c>
      <c r="D71" s="316">
        <f>SUM(D70)</f>
        <v>273095</v>
      </c>
    </row>
    <row r="72" spans="1:4" ht="15.75" thickBot="1">
      <c r="A72" s="113">
        <v>65</v>
      </c>
      <c r="B72" s="109" t="s">
        <v>370</v>
      </c>
      <c r="C72" s="16"/>
      <c r="D72" s="319">
        <f>SUM(D68+D71)</f>
        <v>235649805</v>
      </c>
    </row>
    <row r="73" spans="1:4" ht="15">
      <c r="A73" s="112">
        <v>66</v>
      </c>
      <c r="B73" s="1303" t="s">
        <v>111</v>
      </c>
      <c r="C73" s="1303"/>
      <c r="D73" s="1304"/>
    </row>
    <row r="74" spans="1:4" s="13" customFormat="1" ht="15">
      <c r="A74" s="112">
        <v>67</v>
      </c>
      <c r="B74" s="17" t="s">
        <v>453</v>
      </c>
      <c r="C74" s="14"/>
      <c r="D74" s="9"/>
    </row>
    <row r="75" spans="1:4" s="37" customFormat="1" ht="20.25" customHeight="1">
      <c r="A75" s="112">
        <v>68</v>
      </c>
      <c r="B75" s="91" t="s">
        <v>381</v>
      </c>
      <c r="C75" s="150" t="s">
        <v>436</v>
      </c>
      <c r="D75" s="683">
        <v>449520</v>
      </c>
    </row>
    <row r="76" spans="1:4" ht="18.75" customHeight="1">
      <c r="A76" s="112">
        <v>69</v>
      </c>
      <c r="B76" s="91" t="s">
        <v>381</v>
      </c>
      <c r="C76" s="150" t="s">
        <v>920</v>
      </c>
      <c r="D76" s="682">
        <f>5000000+5000000</f>
        <v>10000000</v>
      </c>
    </row>
    <row r="77" spans="1:4" s="4" customFormat="1" ht="15" thickBot="1">
      <c r="A77" s="113">
        <v>70</v>
      </c>
      <c r="B77" s="18" t="s">
        <v>370</v>
      </c>
      <c r="C77" s="16"/>
      <c r="D77" s="320">
        <f>SUM(D75:D76)</f>
        <v>10449520</v>
      </c>
    </row>
    <row r="78" spans="1:4" ht="15" hidden="1">
      <c r="A78" s="578">
        <v>45</v>
      </c>
      <c r="B78" s="1303" t="s">
        <v>437</v>
      </c>
      <c r="C78" s="1303"/>
      <c r="D78" s="1304"/>
    </row>
    <row r="79" spans="1:4" s="13" customFormat="1" ht="15" hidden="1">
      <c r="A79" s="112">
        <v>46</v>
      </c>
      <c r="B79" s="91"/>
      <c r="C79" s="20"/>
      <c r="D79" s="19"/>
    </row>
    <row r="80" spans="1:4" s="4" customFormat="1" ht="15" hidden="1" thickBot="1">
      <c r="A80" s="112">
        <v>47</v>
      </c>
      <c r="B80" s="18" t="s">
        <v>370</v>
      </c>
      <c r="C80" s="16"/>
      <c r="D80" s="10">
        <f>SUM(D79:D79)</f>
        <v>0</v>
      </c>
    </row>
    <row r="81" spans="1:4" ht="15">
      <c r="A81" s="112">
        <v>71</v>
      </c>
      <c r="B81" s="1303" t="s">
        <v>438</v>
      </c>
      <c r="C81" s="1303"/>
      <c r="D81" s="1304"/>
    </row>
    <row r="82" spans="1:4" ht="15">
      <c r="A82" s="112">
        <v>72</v>
      </c>
      <c r="B82" s="17" t="s">
        <v>453</v>
      </c>
      <c r="C82" s="104"/>
      <c r="D82" s="103"/>
    </row>
    <row r="83" spans="1:4" s="4" customFormat="1" ht="15" thickBot="1">
      <c r="A83" s="113">
        <v>73</v>
      </c>
      <c r="B83" s="18" t="s">
        <v>370</v>
      </c>
      <c r="C83" s="16"/>
      <c r="D83" s="320">
        <v>0</v>
      </c>
    </row>
    <row r="84" spans="1:4" ht="21" customHeight="1" thickBot="1">
      <c r="A84" s="113">
        <v>74</v>
      </c>
      <c r="B84" s="111" t="s">
        <v>371</v>
      </c>
      <c r="C84" s="18"/>
      <c r="D84" s="320">
        <f>SUM(D83+D77+D72+D53)</f>
        <v>1268949194</v>
      </c>
    </row>
    <row r="86" ht="21" customHeight="1"/>
    <row r="88" spans="2:4" ht="15">
      <c r="B88" s="1314"/>
      <c r="C88" s="1314"/>
      <c r="D88" s="1314"/>
    </row>
    <row r="90" ht="15">
      <c r="H90" s="90"/>
    </row>
  </sheetData>
  <sheetProtection/>
  <mergeCells count="14">
    <mergeCell ref="A6:A7"/>
    <mergeCell ref="B78:D78"/>
    <mergeCell ref="B81:D81"/>
    <mergeCell ref="B69:D69"/>
    <mergeCell ref="B88:D88"/>
    <mergeCell ref="B47:D47"/>
    <mergeCell ref="C1:D1"/>
    <mergeCell ref="B73:D73"/>
    <mergeCell ref="B3:D3"/>
    <mergeCell ref="B6:C6"/>
    <mergeCell ref="B54:D54"/>
    <mergeCell ref="B7:C7"/>
    <mergeCell ref="B39:D39"/>
    <mergeCell ref="B42:D4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63" r:id="rId1"/>
  <rowBreaks count="1" manualBreakCount="1">
    <brk id="5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Tóth Erika</cp:lastModifiedBy>
  <cp:lastPrinted>2019-12-13T09:26:45Z</cp:lastPrinted>
  <dcterms:created xsi:type="dcterms:W3CDTF">2001-11-30T10:27:10Z</dcterms:created>
  <dcterms:modified xsi:type="dcterms:W3CDTF">2019-12-13T09:27:28Z</dcterms:modified>
  <cp:category/>
  <cp:version/>
  <cp:contentType/>
  <cp:contentStatus/>
</cp:coreProperties>
</file>