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 (2)" sheetId="2" r:id="rId2"/>
    <sheet name="2.mell - bevétel (2)" sheetId="3" r:id="rId3"/>
    <sheet name="3.mell. - bevét.Köá (2)" sheetId="4" r:id="rId4"/>
    <sheet name="4.mell. - kiadás (2)" sheetId="5" r:id="rId5"/>
    <sheet name="5.mell. - kiadás.köá. (2)" sheetId="6" r:id="rId6"/>
    <sheet name="6.mell - átadások (2)" sheetId="7" r:id="rId7"/>
    <sheet name="7.mell. - ellátottak jutt. (2)" sheetId="8" r:id="rId8"/>
    <sheet name="8.mell. - beruházások (2)" sheetId="9" r:id="rId9"/>
    <sheet name="9.mell.-felújítások (2)" sheetId="10" r:id="rId10"/>
    <sheet name="10.mell. - közgazd.mérleg (2)" sheetId="11" r:id="rId11"/>
    <sheet name="11.mell. -ei.felh.ütemt. (2)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</sheets>
  <definedNames/>
  <calcPr fullCalcOnLoad="1"/>
</workbook>
</file>

<file path=xl/sharedStrings.xml><?xml version="1.0" encoding="utf-8"?>
<sst xmlns="http://schemas.openxmlformats.org/spreadsheetml/2006/main" count="950" uniqueCount="547">
  <si>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</si>
  <si>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</si>
  <si>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</si>
  <si>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</si>
  <si>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</si>
  <si>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</si>
  <si>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</si>
  <si>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</si>
  <si>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</si>
  <si>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</si>
  <si>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</si>
  <si>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</si>
  <si>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</si>
  <si>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</si>
  <si>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</si>
  <si>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</si>
  <si>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</si>
  <si>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</si>
  <si>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</si>
  <si>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</si>
  <si>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</si>
  <si>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</si>
  <si>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</si>
  <si>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</si>
  <si>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</si>
  <si>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Körjegyzőségi feladatok ellátása</t>
  </si>
  <si>
    <t>Bursa Hungarica Alapítvány támogatása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</si>
  <si>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</si>
  <si>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</si>
  <si>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</si>
  <si>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</si>
  <si>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</si>
  <si>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</si>
  <si>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</si>
  <si>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</si>
  <si>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</si>
  <si>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</si>
  <si>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</si>
  <si>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</si>
  <si>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</si>
  <si>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</si>
  <si>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</si>
  <si>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</si>
  <si>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</si>
  <si>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</si>
  <si>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</si>
  <si>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</si>
  <si>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</si>
  <si>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</si>
  <si>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</si>
  <si>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</si>
  <si>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</si>
  <si>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</si>
  <si>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</si>
  <si>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</si>
  <si>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</si>
  <si>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</si>
  <si>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</si>
  <si>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</si>
  <si>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</si>
  <si>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</si>
  <si>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</si>
  <si>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</si>
  <si>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</si>
  <si>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</si>
  <si>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</si>
  <si>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</si>
  <si>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</si>
  <si>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</si>
  <si>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</si>
  <si>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</si>
  <si>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</si>
  <si>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</si>
  <si>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</si>
  <si>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</si>
  <si>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</si>
  <si>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</si>
  <si>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</si>
  <si>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</si>
  <si>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</si>
  <si>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</si>
  <si>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</si>
  <si>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</si>
  <si>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</si>
  <si>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</si>
  <si>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</si>
  <si>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</si>
  <si>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</si>
  <si>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</si>
  <si>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</si>
  <si>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</si>
  <si>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</si>
  <si>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</si>
  <si>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</si>
  <si>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</si>
  <si>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</si>
  <si>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</si>
  <si>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</si>
  <si>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</si>
  <si>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</si>
  <si>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</si>
  <si>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</si>
  <si>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</si>
  <si>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</si>
  <si>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</si>
  <si>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</si>
  <si>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</si>
  <si>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</si>
  <si>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</si>
  <si>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</si>
  <si>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</si>
  <si>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</si>
  <si>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</si>
  <si>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</si>
  <si>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</si>
  <si>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</si>
  <si>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</si>
  <si>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</si>
  <si>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</si>
  <si>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</si>
  <si>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</si>
  <si>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</si>
  <si>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</si>
  <si>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</si>
  <si>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</si>
  <si>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</si>
  <si>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</si>
  <si>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</si>
  <si>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</si>
  <si>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</si>
  <si>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</si>
  <si>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</si>
  <si>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</si>
  <si>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</si>
  <si>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</si>
  <si>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</si>
  <si>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</si>
  <si>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</si>
  <si>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</si>
  <si>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</si>
  <si>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</si>
  <si>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</si>
  <si>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</si>
  <si>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</si>
  <si>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</si>
  <si>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</si>
  <si>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</si>
  <si>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</si>
  <si>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</si>
  <si>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</si>
  <si>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</si>
  <si>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</si>
  <si>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</si>
  <si>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</si>
  <si>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</si>
  <si>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</si>
  <si>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</si>
  <si>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</si>
  <si>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</si>
  <si>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</si>
  <si>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</si>
  <si>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</si>
  <si>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</si>
  <si>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</si>
  <si>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</si>
  <si>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</si>
  <si>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</si>
  <si>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</si>
  <si>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</si>
  <si>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</si>
  <si>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</si>
  <si>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</si>
  <si>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</si>
  <si>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</si>
  <si>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</si>
  <si>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</si>
  <si>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</si>
  <si>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</si>
  <si>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</si>
  <si>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Kápolnáért Kulturális és Sport Egyesület művelődési ház kialakításával kacsolatos támogatásának visszatérülése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</si>
  <si>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</si>
  <si>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</si>
  <si>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</si>
  <si>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</si>
  <si>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</si>
  <si>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</si>
  <si>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</si>
  <si>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</si>
  <si>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</si>
  <si>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</si>
  <si>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</si>
  <si>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</si>
  <si>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</si>
  <si>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</si>
  <si>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</si>
  <si>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</si>
  <si>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</si>
  <si>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</si>
  <si>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</si>
  <si>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</si>
  <si>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</si>
  <si>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</si>
  <si>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</si>
  <si>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</si>
  <si>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</si>
  <si>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</si>
  <si>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</si>
  <si>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</si>
  <si>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</si>
  <si>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</si>
  <si>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</si>
  <si>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</si>
  <si>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</si>
  <si>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</si>
  <si>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</si>
  <si>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</si>
  <si>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</si>
  <si>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</si>
  <si>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</si>
  <si>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</si>
  <si>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</si>
  <si>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</si>
  <si>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</si>
  <si>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</si>
  <si>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</si>
  <si>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</si>
  <si>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</si>
  <si>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</si>
  <si>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</si>
  <si>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</si>
  <si>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</si>
  <si>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</si>
  <si>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</si>
  <si>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</si>
  <si>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</si>
  <si>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</si>
  <si>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</si>
  <si>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</si>
  <si>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</si>
  <si>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</si>
  <si>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</si>
  <si>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</si>
  <si>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</si>
  <si>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</si>
  <si>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</si>
  <si>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</si>
  <si>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</si>
  <si>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</si>
  <si>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</si>
  <si>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</si>
  <si>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</si>
  <si>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</si>
  <si>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</si>
  <si>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</si>
  <si>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</si>
  <si>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</si>
  <si>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</si>
  <si>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</si>
  <si>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</si>
  <si>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</si>
  <si>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</si>
  <si>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</si>
  <si>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</si>
  <si>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</si>
  <si>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</si>
  <si>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</si>
  <si>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</si>
  <si>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</si>
  <si>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</si>
  <si>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</si>
  <si>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</si>
  <si>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</si>
  <si>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</si>
  <si>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</si>
  <si>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</si>
  <si>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</si>
  <si>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</si>
  <si>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</si>
  <si>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</si>
  <si>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</si>
  <si>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</si>
  <si>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</si>
  <si>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</si>
  <si>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</si>
  <si>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</si>
  <si>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</si>
  <si>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</si>
  <si>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</si>
  <si>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</si>
  <si>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</si>
  <si>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</si>
  <si>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</si>
  <si>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</si>
  <si>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</si>
  <si>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</si>
  <si>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</si>
  <si>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</si>
  <si>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</si>
  <si>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</si>
  <si>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</si>
  <si>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</si>
  <si>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</si>
  <si>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</si>
  <si>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</si>
  <si>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</si>
  <si>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</si>
  <si>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</si>
  <si>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</si>
  <si>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</si>
  <si>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</si>
  <si>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</si>
  <si>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</si>
  <si>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</si>
  <si>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</si>
  <si>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</si>
  <si>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</si>
  <si>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</si>
  <si>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</si>
  <si>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</si>
  <si>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</si>
  <si>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</si>
  <si>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</si>
  <si>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</si>
  <si>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</si>
  <si>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</si>
  <si>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</si>
  <si>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</si>
  <si>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</si>
  <si>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</si>
  <si>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</si>
  <si>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</si>
  <si>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</si>
  <si>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</si>
  <si>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</si>
  <si>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</si>
  <si>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</si>
  <si>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</si>
  <si>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</si>
  <si>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</si>
  <si>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</si>
  <si>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</si>
  <si>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</si>
  <si>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</si>
  <si>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</si>
  <si>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</si>
  <si>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</si>
  <si>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</si>
  <si>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</si>
  <si>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</si>
  <si>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</si>
  <si>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</si>
  <si>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</si>
  <si>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</si>
  <si>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</si>
  <si>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</si>
  <si>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</si>
  <si>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</si>
  <si>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</si>
  <si>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</si>
  <si>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</si>
  <si>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</si>
  <si>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</si>
  <si>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</si>
  <si>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</si>
  <si>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</si>
  <si>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</si>
  <si>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</si>
  <si>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</si>
  <si>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</si>
  <si>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</si>
  <si>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</si>
  <si>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</si>
  <si>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</si>
  <si>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</si>
  <si>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</si>
  <si>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</si>
  <si>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</si>
  <si>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</si>
  <si>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</si>
  <si>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</si>
  <si>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</si>
  <si>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</si>
  <si>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</si>
  <si>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</si>
  <si>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</si>
  <si>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</si>
  <si>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</si>
  <si>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</si>
  <si>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</si>
  <si>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>066020 Városi és községgazdálkodási egyéb szolgáltatások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</si>
  <si>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</si>
  <si>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</si>
  <si>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</si>
  <si>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</si>
  <si>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</si>
  <si>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</si>
  <si>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</si>
  <si>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</si>
  <si>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</si>
  <si>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</si>
  <si>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2014-2015. év</t>
  </si>
  <si>
    <t>2014.</t>
  </si>
  <si>
    <t>2015.</t>
  </si>
  <si>
    <t>2017.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</si>
  <si>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</si>
  <si>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</si>
  <si>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</si>
  <si>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</si>
  <si>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</si>
  <si>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</si>
  <si>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</si>
  <si>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</si>
  <si>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</si>
  <si>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</si>
  <si>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</si>
  <si>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</si>
  <si>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</si>
  <si>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</si>
  <si>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</si>
  <si>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</si>
  <si>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</si>
  <si>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</si>
  <si>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</si>
  <si>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</si>
  <si>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</si>
  <si>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</si>
  <si>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</si>
  <si>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</si>
  <si>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</si>
  <si>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</si>
  <si>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</si>
  <si>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</si>
  <si>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</si>
  <si>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</si>
  <si>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</si>
  <si>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</si>
  <si>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</si>
  <si>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</si>
  <si>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</si>
  <si>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</si>
  <si>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</si>
  <si>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</si>
  <si>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</si>
  <si>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</si>
  <si>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</si>
  <si>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</si>
  <si>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</si>
  <si>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</si>
  <si>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</si>
  <si>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</si>
  <si>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</si>
  <si>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</si>
  <si>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</si>
  <si>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</si>
  <si>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</si>
  <si>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</si>
  <si>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</si>
  <si>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</si>
  <si>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</si>
  <si>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</si>
  <si>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</si>
  <si>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</si>
  <si>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</si>
  <si>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</si>
  <si>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</si>
  <si>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</si>
  <si>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</si>
  <si>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</si>
  <si>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</si>
  <si>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</si>
  <si>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</si>
  <si>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 xml:space="preserve">2016. évi </t>
  </si>
  <si>
    <t>2016. évre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</si>
  <si>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</si>
  <si>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</si>
  <si>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</si>
  <si>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</si>
  <si>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</si>
  <si>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</si>
  <si>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</si>
  <si>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</si>
  <si>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</si>
  <si>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</si>
  <si>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</si>
  <si>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Közművelődés - amatőr művészetek</t>
  </si>
  <si>
    <t>Munkahelyi étkeztetés köznevelési int.(562920) (vendég)</t>
  </si>
  <si>
    <t xml:space="preserve"> egyéb működési és felhalmozási kiadásai</t>
  </si>
  <si>
    <t>2016.évre</t>
  </si>
  <si>
    <t>2017-2019. év</t>
  </si>
  <si>
    <t>2019.</t>
  </si>
  <si>
    <t>időskoruak támogatása</t>
  </si>
  <si>
    <t xml:space="preserve">Eszközbeszerzés </t>
  </si>
  <si>
    <t>Egyéb gép, berendezés, felszerelés beszerzése</t>
  </si>
  <si>
    <t>096015 Gyermekétkeztetés köznevelési intézményben</t>
  </si>
  <si>
    <t>Konyhai eszközök pótlására</t>
  </si>
  <si>
    <t>096025 Munkahelyi étkeztetés köznevelési intézményekben</t>
  </si>
  <si>
    <t>096025Munkahelyi étkeztetés köznevelési int.(562920) (vendég)</t>
  </si>
  <si>
    <t>107051 Szociális étkeztetés (889921)</t>
  </si>
  <si>
    <t>082044Könyvtári szolgáltatások</t>
  </si>
  <si>
    <t>Könyvtári infrastruktúra fejlesztés támogatása, eszközbeszerzés</t>
  </si>
  <si>
    <t>Áht-n belüli megelőlegezések viszafizetése</t>
  </si>
  <si>
    <t>2016.év</t>
  </si>
  <si>
    <t xml:space="preserve">          Áht-n belüli megelőlegezések visszafizetése</t>
  </si>
  <si>
    <t>(2015. december 31-i állapot szerint)</t>
  </si>
  <si>
    <t>-Áht-n belüli megelőlegezések visszafizetése</t>
  </si>
  <si>
    <t>2016. 01.01-től</t>
  </si>
  <si>
    <t>FELÚJÍTÁSI KIADÁSOK</t>
  </si>
  <si>
    <t xml:space="preserve">Összesen: </t>
  </si>
  <si>
    <t>FELÚJÍTÁSOK ÖSSZESEN:</t>
  </si>
  <si>
    <t xml:space="preserve">072111 Háziorvosi szolgálat </t>
  </si>
  <si>
    <t>Egyéb épület felújítása</t>
  </si>
  <si>
    <t xml:space="preserve">2015.évi Önkományzatok feladatfejlesztési támogatásából áthúzódó összeg  az önkormányzati önrésszel </t>
  </si>
  <si>
    <t>-orvosi rendelő felújítására</t>
  </si>
  <si>
    <t>Felújítási célú előzetesen felszámított le nem vonható általános forgalmi adóra</t>
  </si>
  <si>
    <t>költségvetési szerv,társadalmi szervezet</t>
  </si>
  <si>
    <t>Gjt.5.§.a.-b. pont</t>
  </si>
  <si>
    <t xml:space="preserve"> 013350 Önkormányzati vagyonnal való gazdálkodás</t>
  </si>
  <si>
    <t>Közművesített telek vásárlása</t>
  </si>
  <si>
    <t xml:space="preserve"> 011130 Önkormányzatok és önk. hivatalok jogalkotó és ált. igaztatási tev.</t>
  </si>
  <si>
    <t>1. melléklet  a  3/2016. (II.16.) önkormányzati rendelethez</t>
  </si>
  <si>
    <t>2. melléklet  a  3/2016. (II.16.) önkormányzati rendelethez</t>
  </si>
  <si>
    <t>3. melléklet  a  3/2016. (II.16.) önkormányzati rendelethez</t>
  </si>
  <si>
    <t>4. melléklet  a 3/2016. (II.16.) önkormányzati rendelethez</t>
  </si>
  <si>
    <t>5. melléklet  a 3/2016. (II.16.) önkormányzati rendelethez</t>
  </si>
  <si>
    <t>6. melléklet  a 3/2016. (II.16.) önkormányzati rendelethez</t>
  </si>
  <si>
    <t>7. melléklet  a  3/2016. (II.16.) önkormányzati rendelethez</t>
  </si>
  <si>
    <t>8. melléklet a 3/2016. (II.16.) önkormányzati rendelethez</t>
  </si>
  <si>
    <t>9 sz. melléklet a 3/2016. (II.16.) sz. önkormányzati rendelethez</t>
  </si>
  <si>
    <t>10. melléklet a 3/2016. (II.16.) önkormányzati rendelethez</t>
  </si>
  <si>
    <t>11. melléklet a 3/2016. (II.16.)önkormányzati rendelethez</t>
  </si>
  <si>
    <t>12. melléklet a 3/2016. (II.16.) önkormányzati rendelethez</t>
  </si>
  <si>
    <t>13. melléklet a 3/2016. (II.16.) önkormányzati rendelethez</t>
  </si>
  <si>
    <t>14. melléklet  a  3/2016. (II.16.) önkormányzati rendelethez</t>
  </si>
  <si>
    <t>15. melléklet  a  3/2016. (II.16.) önkormányzati rendelethez</t>
  </si>
  <si>
    <t>16. melléklet  a  3/2016. (II.16.) önkormányzati rendelethez</t>
  </si>
  <si>
    <t xml:space="preserve"> Ft</t>
  </si>
  <si>
    <t xml:space="preserve"> -TARTALÉKBA</t>
  </si>
  <si>
    <t>ELŐZŐ ÉVEK KÖLTSÉGVETÉSI MARADVÁNY IGÉNYBEVÉTELE:                                                                              - 2015. ÉVRŐL ÁTHÚZÓDÓ FELADATOKRA</t>
  </si>
  <si>
    <t>2016.évi bérkompenzáció támogatása</t>
  </si>
  <si>
    <t>(  Ft-ban)</t>
  </si>
  <si>
    <t>Hosszabb időtartamú közfoglalkoztatás</t>
  </si>
  <si>
    <t>041233</t>
  </si>
  <si>
    <t>Támogatási célú finanszírozási műveletek</t>
  </si>
  <si>
    <t>018030</t>
  </si>
  <si>
    <t>( Ft-ban)</t>
  </si>
  <si>
    <t>(  Ft-ban )</t>
  </si>
  <si>
    <t xml:space="preserve"> előirányzat   (  Ft)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</si>
</sst>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</numFmts>
  <fonts count="7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double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164" fontId="12" fillId="0" borderId="0" xfId="58" applyNumberFormat="1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3" xfId="58" applyFont="1" applyBorder="1">
      <alignment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1" fillId="0" borderId="11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6" fillId="0" borderId="0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6" fillId="0" borderId="0" xfId="0" applyFont="1" applyAlignment="1">
      <alignment horizontal="left" wrapText="1"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 quotePrefix="1">
      <alignment horizontal="center" vertical="center" wrapText="1"/>
      <protection/>
    </xf>
    <xf numFmtId="0" fontId="11" fillId="0" borderId="27" xfId="60" applyFont="1" applyBorder="1" applyAlignment="1">
      <alignment horizontal="left" wrapText="1"/>
      <protection/>
    </xf>
    <xf numFmtId="0" fontId="11" fillId="0" borderId="28" xfId="61" applyFont="1" applyBorder="1">
      <alignment/>
      <protection/>
    </xf>
    <xf numFmtId="0" fontId="11" fillId="0" borderId="29" xfId="61" applyFont="1" applyBorder="1">
      <alignment/>
      <protection/>
    </xf>
    <xf numFmtId="0" fontId="11" fillId="0" borderId="30" xfId="60" applyFont="1" applyBorder="1" applyAlignment="1" quotePrefix="1">
      <alignment horizontal="center" vertical="center" wrapText="1"/>
      <protection/>
    </xf>
    <xf numFmtId="0" fontId="11" fillId="0" borderId="31" xfId="61" applyFont="1" applyBorder="1">
      <alignment/>
      <protection/>
    </xf>
    <xf numFmtId="0" fontId="11" fillId="0" borderId="32" xfId="61" applyFont="1" applyBorder="1">
      <alignment/>
      <protection/>
    </xf>
    <xf numFmtId="0" fontId="11" fillId="0" borderId="33" xfId="61" applyFont="1" applyBorder="1">
      <alignment/>
      <protection/>
    </xf>
    <xf numFmtId="0" fontId="11" fillId="0" borderId="27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11" fillId="0" borderId="33" xfId="60" applyFont="1" applyBorder="1" applyAlignment="1">
      <alignment horizontal="right"/>
      <protection/>
    </xf>
    <xf numFmtId="0" fontId="11" fillId="0" borderId="28" xfId="60" applyFont="1" applyBorder="1" applyAlignment="1">
      <alignment horizontal="right"/>
      <protection/>
    </xf>
    <xf numFmtId="0" fontId="11" fillId="0" borderId="28" xfId="60" applyFont="1" applyBorder="1">
      <alignment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8" xfId="58" applyFont="1" applyBorder="1" applyAlignment="1">
      <alignment horizontal="right"/>
      <protection/>
    </xf>
    <xf numFmtId="0" fontId="12" fillId="0" borderId="28" xfId="58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34" xfId="58" applyFont="1" applyBorder="1" applyAlignment="1">
      <alignment horizontal="right"/>
      <protection/>
    </xf>
    <xf numFmtId="0" fontId="6" fillId="0" borderId="34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8" xfId="0" applyFont="1" applyBorder="1" applyAlignment="1">
      <alignment/>
    </xf>
    <xf numFmtId="0" fontId="6" fillId="0" borderId="0" xfId="59" applyFont="1">
      <alignment/>
      <protection/>
    </xf>
    <xf numFmtId="0" fontId="6" fillId="0" borderId="34" xfId="59" applyFont="1" applyBorder="1" applyAlignment="1">
      <alignment horizontal="right"/>
      <protection/>
    </xf>
    <xf numFmtId="0" fontId="6" fillId="0" borderId="34" xfId="59" applyFont="1" applyBorder="1">
      <alignment/>
      <protection/>
    </xf>
    <xf numFmtId="168" fontId="6" fillId="0" borderId="34" xfId="59" applyNumberFormat="1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11" fillId="0" borderId="22" xfId="61" applyFont="1" applyBorder="1">
      <alignment/>
      <protection/>
    </xf>
    <xf numFmtId="0" fontId="23" fillId="0" borderId="34" xfId="58" applyFont="1" applyBorder="1" applyAlignment="1">
      <alignment horizontal="center"/>
      <protection/>
    </xf>
    <xf numFmtId="0" fontId="7" fillId="0" borderId="34" xfId="58" applyFont="1" applyBorder="1" applyAlignment="1">
      <alignment horizontal="center"/>
      <protection/>
    </xf>
    <xf numFmtId="164" fontId="11" fillId="0" borderId="32" xfId="61" applyNumberFormat="1" applyFont="1" applyBorder="1">
      <alignment/>
      <protection/>
    </xf>
    <xf numFmtId="164" fontId="11" fillId="0" borderId="28" xfId="61" applyNumberFormat="1" applyFont="1" applyBorder="1">
      <alignment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35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0" fillId="0" borderId="36" xfId="61" applyFont="1" applyBorder="1">
      <alignment/>
      <protection/>
    </xf>
    <xf numFmtId="0" fontId="10" fillId="0" borderId="34" xfId="61" applyFont="1" applyBorder="1">
      <alignment/>
      <protection/>
    </xf>
    <xf numFmtId="0" fontId="11" fillId="0" borderId="37" xfId="60" applyFont="1" applyBorder="1" applyAlignment="1" quotePrefix="1">
      <alignment horizontal="center" vertical="center" wrapText="1"/>
      <protection/>
    </xf>
    <xf numFmtId="0" fontId="4" fillId="0" borderId="34" xfId="0" applyFont="1" applyBorder="1" applyAlignment="1">
      <alignment/>
    </xf>
    <xf numFmtId="0" fontId="22" fillId="0" borderId="0" xfId="0" applyFont="1" applyAlignment="1">
      <alignment/>
    </xf>
    <xf numFmtId="0" fontId="11" fillId="0" borderId="29" xfId="60" applyFont="1" applyBorder="1" applyAlignment="1">
      <alignment horizontal="right"/>
      <protection/>
    </xf>
    <xf numFmtId="0" fontId="22" fillId="0" borderId="28" xfId="60" applyFont="1" applyBorder="1">
      <alignment/>
      <protection/>
    </xf>
    <xf numFmtId="0" fontId="22" fillId="0" borderId="32" xfId="60" applyFont="1" applyBorder="1">
      <alignment/>
      <protection/>
    </xf>
    <xf numFmtId="0" fontId="11" fillId="0" borderId="32" xfId="60" applyFont="1" applyBorder="1">
      <alignment/>
      <protection/>
    </xf>
    <xf numFmtId="0" fontId="11" fillId="0" borderId="38" xfId="60" applyFont="1" applyBorder="1">
      <alignment/>
      <protection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8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right"/>
      <protection/>
    </xf>
    <xf numFmtId="0" fontId="12" fillId="0" borderId="0" xfId="61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4" xfId="0" applyFont="1" applyBorder="1" applyAlignment="1">
      <alignment/>
    </xf>
    <xf numFmtId="0" fontId="6" fillId="0" borderId="36" xfId="0" applyFont="1" applyBorder="1" applyAlignment="1">
      <alignment/>
    </xf>
    <xf numFmtId="0" fontId="12" fillId="0" borderId="28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60" applyFont="1" applyBorder="1" applyAlignment="1">
      <alignment horizontal="left" wrapText="1"/>
      <protection/>
    </xf>
    <xf numFmtId="0" fontId="6" fillId="0" borderId="0" xfId="61" applyFont="1" applyBorder="1" quotePrefix="1">
      <alignment/>
      <protection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4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42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42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0" fontId="12" fillId="0" borderId="43" xfId="58" applyFont="1" applyBorder="1" applyAlignment="1">
      <alignment horizontal="center" vertical="center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12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16" xfId="58" applyFont="1" applyBorder="1" applyAlignment="1">
      <alignment horizontal="center" vertical="center"/>
      <protection/>
    </xf>
    <xf numFmtId="0" fontId="12" fillId="0" borderId="46" xfId="58" applyFont="1" applyBorder="1" applyAlignment="1">
      <alignment horizontal="center" vertical="center"/>
      <protection/>
    </xf>
    <xf numFmtId="0" fontId="12" fillId="0" borderId="14" xfId="58" applyFont="1" applyBorder="1" applyAlignment="1">
      <alignment horizontal="center" vertical="center"/>
      <protection/>
    </xf>
    <xf numFmtId="168" fontId="4" fillId="0" borderId="33" xfId="60" applyNumberFormat="1" applyFont="1" applyBorder="1" applyAlignment="1">
      <alignment/>
      <protection/>
    </xf>
    <xf numFmtId="168" fontId="4" fillId="0" borderId="33" xfId="60" applyNumberFormat="1" applyFont="1" applyBorder="1" applyAlignment="1">
      <alignment horizontal="right"/>
      <protection/>
    </xf>
    <xf numFmtId="168" fontId="12" fillId="0" borderId="0" xfId="61" applyNumberFormat="1" applyFont="1" applyBorder="1" applyAlignment="1">
      <alignment horizontal="right"/>
      <protection/>
    </xf>
    <xf numFmtId="0" fontId="10" fillId="0" borderId="0" xfId="60" applyFont="1" applyBorder="1" applyAlignment="1" quotePrefix="1">
      <alignment horizontal="left" wrapText="1"/>
      <protection/>
    </xf>
    <xf numFmtId="0" fontId="11" fillId="0" borderId="0" xfId="60" applyFont="1" applyBorder="1" applyAlignment="1" quotePrefix="1">
      <alignment horizontal="left" wrapText="1"/>
      <protection/>
    </xf>
    <xf numFmtId="168" fontId="12" fillId="0" borderId="42" xfId="61" applyNumberFormat="1" applyFont="1" applyBorder="1" applyAlignment="1">
      <alignment horizontal="right"/>
      <protection/>
    </xf>
    <xf numFmtId="168" fontId="12" fillId="0" borderId="0" xfId="61" applyNumberFormat="1" applyFont="1" applyBorder="1" applyAlignment="1">
      <alignment horizontal="center"/>
      <protection/>
    </xf>
    <xf numFmtId="168" fontId="12" fillId="0" borderId="42" xfId="61" applyNumberFormat="1" applyFont="1" applyBorder="1" applyAlignment="1">
      <alignment horizontal="center"/>
      <protection/>
    </xf>
    <xf numFmtId="0" fontId="10" fillId="0" borderId="0" xfId="61" applyFont="1" applyBorder="1" quotePrefix="1">
      <alignment/>
      <protection/>
    </xf>
    <xf numFmtId="0" fontId="6" fillId="0" borderId="0" xfId="58" applyFont="1" applyBorder="1" applyAlignment="1">
      <alignment horizontal="center"/>
      <protection/>
    </xf>
    <xf numFmtId="0" fontId="6" fillId="0" borderId="43" xfId="58" applyFont="1" applyBorder="1">
      <alignment/>
      <protection/>
    </xf>
    <xf numFmtId="0" fontId="6" fillId="0" borderId="4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8" xfId="0" applyFont="1" applyBorder="1" applyAlignment="1" quotePrefix="1">
      <alignment/>
    </xf>
    <xf numFmtId="0" fontId="0" fillId="0" borderId="0" xfId="0" applyAlignment="1">
      <alignment horizontal="center"/>
    </xf>
    <xf numFmtId="0" fontId="37" fillId="0" borderId="0" xfId="0" applyFont="1" applyAlignment="1" quotePrefix="1">
      <alignment/>
    </xf>
    <xf numFmtId="0" fontId="0" fillId="0" borderId="0" xfId="0" applyNumberFormat="1" applyAlignment="1" quotePrefix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10" xfId="58" applyFont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10" xfId="58" applyFont="1" applyBorder="1" applyAlignment="1">
      <alignment horizontal="center"/>
      <protection/>
    </xf>
    <xf numFmtId="0" fontId="12" fillId="0" borderId="43" xfId="58" applyFont="1" applyBorder="1" applyAlignment="1">
      <alignment horizontal="center"/>
      <protection/>
    </xf>
    <xf numFmtId="0" fontId="12" fillId="0" borderId="44" xfId="58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45" xfId="58" applyFont="1" applyBorder="1" applyAlignment="1">
      <alignment horizontal="center"/>
      <protection/>
    </xf>
    <xf numFmtId="0" fontId="12" fillId="0" borderId="14" xfId="58" applyFont="1" applyBorder="1" applyAlignment="1">
      <alignment horizontal="center"/>
      <protection/>
    </xf>
    <xf numFmtId="0" fontId="12" fillId="0" borderId="16" xfId="58" applyFont="1" applyBorder="1" applyAlignment="1">
      <alignment horizontal="center"/>
      <protection/>
    </xf>
    <xf numFmtId="0" fontId="12" fillId="0" borderId="46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left" wrapText="1"/>
    </xf>
    <xf numFmtId="0" fontId="12" fillId="0" borderId="10" xfId="58" applyFont="1" applyBorder="1" applyAlignment="1">
      <alignment horizontal="center" vertical="center"/>
      <protection/>
    </xf>
    <xf numFmtId="0" fontId="12" fillId="0" borderId="43" xfId="58" applyFont="1" applyBorder="1" applyAlignment="1">
      <alignment horizontal="center" vertical="center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14" xfId="58" applyFont="1" applyBorder="1" applyAlignment="1">
      <alignment horizontal="center" vertical="center"/>
      <protection/>
    </xf>
    <xf numFmtId="0" fontId="12" fillId="0" borderId="16" xfId="58" applyFont="1" applyBorder="1" applyAlignment="1">
      <alignment horizontal="center" vertical="center"/>
      <protection/>
    </xf>
    <xf numFmtId="0" fontId="12" fillId="0" borderId="46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Alignment="1">
      <alignment horizontal="left" wrapText="1"/>
      <protection/>
    </xf>
    <xf numFmtId="0" fontId="21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10" fillId="0" borderId="0" xfId="0" applyFont="1" applyAlignment="1">
      <alignment horizontal="left" wrapText="1"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11" fillId="0" borderId="0" xfId="0" applyFont="1" applyAlignment="1">
      <alignment horizontal="right"/>
    </xf>
    <xf numFmtId="0" fontId="11" fillId="0" borderId="16" xfId="61" applyFont="1" applyBorder="1" applyAlignment="1">
      <alignment horizontal="right"/>
      <protection/>
    </xf>
    <xf numFmtId="0" fontId="10" fillId="0" borderId="0" xfId="61" applyFont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7" fillId="0" borderId="14" xfId="58" applyFont="1" applyBorder="1" applyAlignment="1">
      <alignment horizontal="center"/>
      <protection/>
    </xf>
    <xf numFmtId="0" fontId="7" fillId="0" borderId="46" xfId="58" applyFont="1" applyBorder="1" applyAlignment="1">
      <alignment horizontal="center"/>
      <protection/>
    </xf>
    <xf numFmtId="0" fontId="7" fillId="0" borderId="36" xfId="58" applyFont="1" applyBorder="1" applyAlignment="1">
      <alignment horizontal="center"/>
      <protection/>
    </xf>
    <xf numFmtId="0" fontId="7" fillId="0" borderId="47" xfId="58" applyFont="1" applyBorder="1" applyAlignment="1">
      <alignment horizontal="center"/>
      <protection/>
    </xf>
    <xf numFmtId="0" fontId="11" fillId="0" borderId="36" xfId="58" applyFont="1" applyBorder="1" applyAlignment="1">
      <alignment horizontal="center"/>
      <protection/>
    </xf>
    <xf numFmtId="0" fontId="11" fillId="0" borderId="48" xfId="58" applyFont="1" applyBorder="1" applyAlignment="1">
      <alignment horizontal="center"/>
      <protection/>
    </xf>
    <xf numFmtId="0" fontId="11" fillId="0" borderId="47" xfId="58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45" xfId="58" applyFont="1" applyBorder="1" applyAlignment="1">
      <alignment horizontal="center"/>
      <protection/>
    </xf>
    <xf numFmtId="0" fontId="11" fillId="0" borderId="36" xfId="58" applyFont="1" applyBorder="1" applyAlignment="1">
      <alignment horizontal="center" wrapText="1"/>
      <protection/>
    </xf>
    <xf numFmtId="0" fontId="11" fillId="0" borderId="48" xfId="58" applyFont="1" applyBorder="1" applyAlignment="1">
      <alignment horizontal="center" wrapText="1"/>
      <protection/>
    </xf>
    <xf numFmtId="0" fontId="11" fillId="0" borderId="47" xfId="58" applyFont="1" applyBorder="1" applyAlignment="1">
      <alignment horizont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6" fillId="0" borderId="0" xfId="60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wrapText="1"/>
    </xf>
    <xf numFmtId="0" fontId="37" fillId="0" borderId="54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11" xfId="59" applyFont="1" applyBorder="1" applyAlignment="1">
      <alignment horizontal="center" vertical="center"/>
      <protection/>
    </xf>
    <xf numFmtId="0" fontId="12" fillId="0" borderId="13" xfId="59" applyFont="1" applyBorder="1" applyAlignment="1">
      <alignment horizontal="center" vertical="center"/>
      <protection/>
    </xf>
    <xf numFmtId="0" fontId="12" fillId="0" borderId="15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" fillId="0" borderId="56" xfId="58" applyFont="1" applyBorder="1" applyAlignment="1">
      <alignment horizontal="center"/>
      <protection/>
    </xf>
    <xf numFmtId="0" fontId="4" fillId="0" borderId="57" xfId="58" applyFont="1" applyBorder="1" applyAlignment="1">
      <alignment horizontal="center"/>
      <protection/>
    </xf>
    <xf numFmtId="0" fontId="4" fillId="0" borderId="58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0" fillId="0" borderId="0" xfId="58" applyFont="1" applyAlignment="1">
      <alignment horizontal="center"/>
      <protection/>
    </xf>
    <xf numFmtId="0" fontId="4" fillId="0" borderId="59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168" fontId="4" fillId="0" borderId="58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168" fontId="4" fillId="0" borderId="60" xfId="40" applyNumberFormat="1" applyFont="1" applyBorder="1" applyAlignment="1">
      <alignment horizontal="center" vertical="center"/>
    </xf>
    <xf numFmtId="168" fontId="4" fillId="0" borderId="61" xfId="40" applyNumberFormat="1" applyFont="1" applyBorder="1" applyAlignment="1">
      <alignment horizontal="center" vertical="center"/>
    </xf>
    <xf numFmtId="0" fontId="4" fillId="0" borderId="62" xfId="58" applyFont="1" applyBorder="1" applyAlignment="1">
      <alignment horizontal="center" vertical="center"/>
      <protection/>
    </xf>
    <xf numFmtId="0" fontId="4" fillId="0" borderId="61" xfId="58" applyFont="1" applyBorder="1" applyAlignment="1">
      <alignment horizontal="center" vertical="center"/>
      <protection/>
    </xf>
    <xf numFmtId="0" fontId="4" fillId="0" borderId="63" xfId="58" applyFont="1" applyBorder="1" applyAlignment="1">
      <alignment horizontal="center" vertical="center"/>
      <protection/>
    </xf>
    <xf numFmtId="168" fontId="12" fillId="0" borderId="6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168" fontId="12" fillId="0" borderId="66" xfId="40" applyNumberFormat="1" applyFont="1" applyBorder="1" applyAlignment="1">
      <alignment horizontal="center" vertical="center"/>
    </xf>
    <xf numFmtId="168" fontId="12" fillId="0" borderId="67" xfId="40" applyNumberFormat="1" applyFont="1" applyBorder="1" applyAlignment="1">
      <alignment horizontal="center" vertical="center"/>
    </xf>
    <xf numFmtId="168" fontId="12" fillId="0" borderId="68" xfId="40" applyNumberFormat="1" applyFont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7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73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168" fontId="12" fillId="0" borderId="75" xfId="4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5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168" fontId="12" fillId="0" borderId="58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77" xfId="40" applyNumberFormat="1" applyFont="1" applyBorder="1" applyAlignment="1">
      <alignment horizontal="center" vertical="center"/>
    </xf>
    <xf numFmtId="168" fontId="18" fillId="0" borderId="78" xfId="40" applyNumberFormat="1" applyFont="1" applyBorder="1" applyAlignment="1">
      <alignment horizontal="center" vertical="center"/>
    </xf>
    <xf numFmtId="168" fontId="18" fillId="0" borderId="79" xfId="40" applyNumberFormat="1" applyFont="1" applyBorder="1" applyAlignment="1">
      <alignment horizontal="center" vertical="center"/>
    </xf>
    <xf numFmtId="168" fontId="18" fillId="0" borderId="80" xfId="40" applyNumberFormat="1" applyFont="1" applyBorder="1" applyAlignment="1">
      <alignment horizontal="center" vertical="center"/>
    </xf>
    <xf numFmtId="2" fontId="12" fillId="0" borderId="66" xfId="0" applyNumberFormat="1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8" fontId="12" fillId="0" borderId="88" xfId="40" applyNumberFormat="1" applyFont="1" applyBorder="1" applyAlignment="1">
      <alignment horizontal="center" vertical="center"/>
    </xf>
    <xf numFmtId="168" fontId="12" fillId="0" borderId="89" xfId="40" applyNumberFormat="1" applyFont="1" applyBorder="1" applyAlignment="1">
      <alignment horizontal="center" vertical="center"/>
    </xf>
    <xf numFmtId="168" fontId="12" fillId="0" borderId="90" xfId="4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8" fontId="12" fillId="0" borderId="4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0" fillId="0" borderId="4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12" fillId="0" borderId="40" xfId="4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68" fontId="12" fillId="0" borderId="21" xfId="40" applyNumberFormat="1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44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46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44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46" xfId="40" applyNumberFormat="1" applyFont="1" applyBorder="1" applyAlignment="1">
      <alignment horizontal="center"/>
    </xf>
    <xf numFmtId="168" fontId="12" fillId="0" borderId="91" xfId="40" applyNumberFormat="1" applyFont="1" applyBorder="1" applyAlignment="1">
      <alignment horizontal="center"/>
    </xf>
    <xf numFmtId="168" fontId="12" fillId="0" borderId="92" xfId="4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30" fillId="0" borderId="28" xfId="0" applyFont="1" applyBorder="1" applyAlignment="1">
      <alignment horizontal="center" wrapText="1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9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9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57" applyFont="1" applyAlignment="1">
      <alignment horizont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6" xfId="57" applyFont="1" applyBorder="1" applyAlignment="1">
      <alignment horizontal="center"/>
      <protection/>
    </xf>
    <xf numFmtId="0" fontId="6" fillId="0" borderId="48" xfId="57" applyFont="1" applyBorder="1" applyAlignment="1">
      <alignment horizontal="center"/>
      <protection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70" fontId="10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0" fontId="6" fillId="0" borderId="0" xfId="0" applyFont="1" applyAlignment="1" quotePrefix="1">
      <alignment/>
    </xf>
    <xf numFmtId="168" fontId="5" fillId="0" borderId="0" xfId="42" applyNumberFormat="1" applyFont="1" applyAlignment="1">
      <alignment/>
    </xf>
    <xf numFmtId="3" fontId="10" fillId="0" borderId="0" xfId="42" applyNumberFormat="1" applyFont="1" applyAlignment="1">
      <alignment/>
    </xf>
    <xf numFmtId="3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3" fontId="7" fillId="0" borderId="0" xfId="42" applyNumberFormat="1" applyFont="1" applyAlignment="1">
      <alignment/>
    </xf>
    <xf numFmtId="170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5" fillId="0" borderId="0" xfId="42" applyNumberFormat="1" applyFont="1" applyAlignment="1">
      <alignment/>
    </xf>
    <xf numFmtId="170" fontId="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42" applyNumberFormat="1" applyFont="1" applyAlignment="1">
      <alignment/>
    </xf>
    <xf numFmtId="3" fontId="12" fillId="0" borderId="0" xfId="42" applyNumberFormat="1" applyFont="1" applyAlignment="1">
      <alignment wrapText="1"/>
    </xf>
    <xf numFmtId="168" fontId="12" fillId="0" borderId="0" xfId="42" applyNumberFormat="1" applyFont="1" applyBorder="1" applyAlignment="1">
      <alignment horizontal="center"/>
    </xf>
    <xf numFmtId="168" fontId="12" fillId="0" borderId="0" xfId="42" applyNumberFormat="1" applyFont="1" applyAlignment="1">
      <alignment wrapText="1"/>
    </xf>
    <xf numFmtId="170" fontId="6" fillId="0" borderId="0" xfId="0" applyNumberFormat="1" applyFont="1" applyAlignment="1">
      <alignment/>
    </xf>
    <xf numFmtId="170" fontId="12" fillId="0" borderId="0" xfId="42" applyNumberFormat="1" applyFont="1" applyBorder="1" applyAlignment="1">
      <alignment horizontal="center"/>
    </xf>
    <xf numFmtId="168" fontId="12" fillId="0" borderId="0" xfId="42" applyNumberFormat="1" applyFont="1" applyAlignment="1">
      <alignment horizontal="left" wrapText="1"/>
    </xf>
    <xf numFmtId="168" fontId="6" fillId="0" borderId="0" xfId="42" applyNumberFormat="1" applyFont="1" applyAlignment="1">
      <alignment/>
    </xf>
    <xf numFmtId="170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 horizontal="center"/>
    </xf>
    <xf numFmtId="0" fontId="6" fillId="0" borderId="0" xfId="42" applyNumberFormat="1" applyFont="1" applyBorder="1" applyAlignment="1">
      <alignment horizontal="center"/>
    </xf>
    <xf numFmtId="168" fontId="12" fillId="0" borderId="0" xfId="42" applyNumberFormat="1" applyFont="1" applyAlignment="1">
      <alignment/>
    </xf>
    <xf numFmtId="168" fontId="12" fillId="0" borderId="15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 horizontal="center"/>
    </xf>
    <xf numFmtId="170" fontId="12" fillId="0" borderId="0" xfId="42" applyNumberFormat="1" applyFont="1" applyAlignment="1">
      <alignment/>
    </xf>
    <xf numFmtId="170" fontId="6" fillId="0" borderId="0" xfId="42" applyNumberFormat="1" applyFont="1" applyAlignment="1">
      <alignment/>
    </xf>
    <xf numFmtId="168" fontId="12" fillId="0" borderId="0" xfId="42" applyNumberFormat="1" applyFont="1" applyBorder="1" applyAlignment="1">
      <alignment horizontal="center"/>
    </xf>
    <xf numFmtId="168" fontId="6" fillId="0" borderId="0" xfId="42" applyNumberFormat="1" applyFont="1" applyAlignment="1">
      <alignment wrapText="1"/>
    </xf>
    <xf numFmtId="170" fontId="6" fillId="0" borderId="0" xfId="0" applyNumberFormat="1" applyFont="1" applyAlignment="1">
      <alignment wrapText="1"/>
    </xf>
    <xf numFmtId="168" fontId="18" fillId="0" borderId="0" xfId="42" applyNumberFormat="1" applyFont="1" applyAlignment="1">
      <alignment/>
    </xf>
    <xf numFmtId="4" fontId="18" fillId="0" borderId="0" xfId="0" applyNumberFormat="1" applyFont="1" applyAlignment="1">
      <alignment/>
    </xf>
    <xf numFmtId="3" fontId="18" fillId="0" borderId="0" xfId="42" applyNumberFormat="1" applyFont="1" applyAlignment="1">
      <alignment/>
    </xf>
    <xf numFmtId="170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 horizontal="right"/>
    </xf>
    <xf numFmtId="170" fontId="18" fillId="0" borderId="0" xfId="42" applyNumberFormat="1" applyFont="1" applyAlignment="1">
      <alignment/>
    </xf>
    <xf numFmtId="3" fontId="12" fillId="0" borderId="0" xfId="58" applyNumberFormat="1" applyFont="1">
      <alignment/>
      <protection/>
    </xf>
    <xf numFmtId="170" fontId="18" fillId="0" borderId="0" xfId="42" applyNumberFormat="1" applyFont="1" applyAlignment="1">
      <alignment wrapText="1"/>
    </xf>
    <xf numFmtId="168" fontId="4" fillId="0" borderId="34" xfId="42" applyNumberFormat="1" applyFont="1" applyBorder="1" applyAlignment="1">
      <alignment/>
    </xf>
    <xf numFmtId="168" fontId="4" fillId="0" borderId="38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4" fillId="0" borderId="95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46" xfId="42" applyNumberFormat="1" applyFont="1" applyBorder="1" applyAlignment="1">
      <alignment horizontal="center"/>
    </xf>
    <xf numFmtId="168" fontId="23" fillId="0" borderId="16" xfId="42" applyNumberFormat="1" applyFont="1" applyBorder="1" applyAlignment="1">
      <alignment horizontal="center"/>
    </xf>
    <xf numFmtId="168" fontId="23" fillId="0" borderId="14" xfId="42" applyNumberFormat="1" applyFont="1" applyBorder="1" applyAlignment="1">
      <alignment horizontal="center"/>
    </xf>
    <xf numFmtId="168" fontId="23" fillId="0" borderId="45" xfId="42" applyNumberFormat="1" applyFont="1" applyBorder="1" applyAlignment="1">
      <alignment horizontal="center"/>
    </xf>
    <xf numFmtId="168" fontId="23" fillId="0" borderId="0" xfId="42" applyNumberFormat="1" applyFont="1" applyBorder="1" applyAlignment="1">
      <alignment horizontal="center"/>
    </xf>
    <xf numFmtId="168" fontId="23" fillId="0" borderId="12" xfId="42" applyNumberFormat="1" applyFont="1" applyBorder="1" applyAlignment="1">
      <alignment horizontal="center"/>
    </xf>
    <xf numFmtId="168" fontId="23" fillId="0" borderId="44" xfId="42" applyNumberFormat="1" applyFont="1" applyBorder="1" applyAlignment="1">
      <alignment horizontal="center"/>
    </xf>
    <xf numFmtId="168" fontId="23" fillId="0" borderId="43" xfId="42" applyNumberFormat="1" applyFont="1" applyBorder="1" applyAlignment="1">
      <alignment horizontal="center"/>
    </xf>
    <xf numFmtId="168" fontId="23" fillId="0" borderId="10" xfId="42" applyNumberFormat="1" applyFont="1" applyBorder="1" applyAlignment="1">
      <alignment horizontal="center"/>
    </xf>
    <xf numFmtId="168" fontId="23" fillId="0" borderId="11" xfId="42" applyNumberFormat="1" applyFont="1" applyBorder="1" applyAlignment="1">
      <alignment horizontal="center" wrapText="1"/>
    </xf>
    <xf numFmtId="168" fontId="23" fillId="0" borderId="11" xfId="42" applyNumberFormat="1" applyFont="1" applyBorder="1" applyAlignment="1">
      <alignment horizontal="center"/>
    </xf>
    <xf numFmtId="168" fontId="23" fillId="0" borderId="44" xfId="42" applyNumberFormat="1" applyFont="1" applyBorder="1" applyAlignment="1">
      <alignment horizontal="center"/>
    </xf>
    <xf numFmtId="168" fontId="23" fillId="0" borderId="47" xfId="42" applyNumberFormat="1" applyFont="1" applyBorder="1" applyAlignment="1">
      <alignment horizontal="center"/>
    </xf>
    <xf numFmtId="168" fontId="23" fillId="0" borderId="48" xfId="42" applyNumberFormat="1" applyFont="1" applyBorder="1" applyAlignment="1">
      <alignment horizont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168" fontId="10" fillId="0" borderId="0" xfId="42" applyNumberFormat="1" applyFont="1" applyAlignment="1">
      <alignment/>
    </xf>
    <xf numFmtId="168" fontId="26" fillId="0" borderId="0" xfId="42" applyNumberFormat="1" applyFont="1" applyAlignment="1">
      <alignment/>
    </xf>
    <xf numFmtId="0" fontId="4" fillId="0" borderId="0" xfId="61" applyFont="1" applyAlignment="1">
      <alignment vertical="center"/>
      <protection/>
    </xf>
    <xf numFmtId="0" fontId="10" fillId="0" borderId="34" xfId="61" applyFont="1" applyBorder="1" applyAlignment="1">
      <alignment vertical="center"/>
      <protection/>
    </xf>
    <xf numFmtId="0" fontId="10" fillId="0" borderId="36" xfId="60" applyFont="1" applyBorder="1" applyAlignment="1">
      <alignment horizontal="right" vertical="center"/>
      <protection/>
    </xf>
    <xf numFmtId="0" fontId="10" fillId="0" borderId="34" xfId="60" applyFont="1" applyBorder="1" applyAlignment="1">
      <alignment vertical="center"/>
      <protection/>
    </xf>
    <xf numFmtId="0" fontId="10" fillId="0" borderId="36" xfId="60" applyFont="1" applyBorder="1" applyAlignment="1">
      <alignment vertical="center"/>
      <protection/>
    </xf>
    <xf numFmtId="44" fontId="11" fillId="0" borderId="47" xfId="65" applyFont="1" applyBorder="1" applyAlignment="1">
      <alignment horizontal="center"/>
    </xf>
    <xf numFmtId="44" fontId="11" fillId="0" borderId="48" xfId="65" applyFont="1" applyBorder="1" applyAlignment="1">
      <alignment horizontal="center"/>
    </xf>
    <xf numFmtId="44" fontId="11" fillId="0" borderId="36" xfId="65" applyFont="1" applyBorder="1" applyAlignment="1">
      <alignment horizontal="center"/>
    </xf>
    <xf numFmtId="0" fontId="4" fillId="0" borderId="0" xfId="61" applyFont="1" applyAlignment="1">
      <alignment horizontal="left"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168" fontId="11" fillId="0" borderId="0" xfId="42" applyNumberFormat="1" applyFont="1" applyAlignment="1">
      <alignment/>
    </xf>
    <xf numFmtId="0" fontId="11" fillId="0" borderId="0" xfId="0" applyFont="1" applyAlignment="1">
      <alignment horizontal="left"/>
    </xf>
    <xf numFmtId="168" fontId="16" fillId="0" borderId="0" xfId="42" applyNumberFormat="1" applyFont="1" applyAlignment="1">
      <alignment/>
    </xf>
    <xf numFmtId="170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170" fontId="11" fillId="0" borderId="0" xfId="42" applyNumberFormat="1" applyFont="1" applyAlignment="1">
      <alignment/>
    </xf>
    <xf numFmtId="168" fontId="6" fillId="0" borderId="15" xfId="42" applyNumberFormat="1" applyFont="1" applyBorder="1" applyAlignment="1">
      <alignment horizontal="center" wrapText="1"/>
    </xf>
    <xf numFmtId="168" fontId="6" fillId="0" borderId="13" xfId="42" applyNumberFormat="1" applyFont="1" applyBorder="1" applyAlignment="1">
      <alignment horizontal="center" wrapText="1"/>
    </xf>
    <xf numFmtId="168" fontId="6" fillId="0" borderId="11" xfId="42" applyNumberFormat="1" applyFont="1" applyBorder="1" applyAlignment="1">
      <alignment horizontal="center" wrapText="1"/>
    </xf>
    <xf numFmtId="168" fontId="12" fillId="0" borderId="0" xfId="42" applyNumberFormat="1" applyFont="1" applyAlignment="1">
      <alignment horizontal="center"/>
    </xf>
    <xf numFmtId="0" fontId="10" fillId="0" borderId="0" xfId="60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170" fontId="6" fillId="0" borderId="0" xfId="42" applyNumberFormat="1" applyFont="1" applyBorder="1" applyAlignment="1">
      <alignment horizontal="right"/>
    </xf>
    <xf numFmtId="168" fontId="6" fillId="0" borderId="0" xfId="42" applyNumberFormat="1" applyFont="1" applyBorder="1" applyAlignment="1">
      <alignment horizontal="right"/>
    </xf>
    <xf numFmtId="168" fontId="12" fillId="0" borderId="42" xfId="42" applyNumberFormat="1" applyFont="1" applyBorder="1" applyAlignment="1">
      <alignment horizontal="right"/>
    </xf>
    <xf numFmtId="168" fontId="12" fillId="0" borderId="0" xfId="42" applyNumberFormat="1" applyFont="1" applyBorder="1" applyAlignment="1">
      <alignment horizontal="right"/>
    </xf>
    <xf numFmtId="168" fontId="13" fillId="0" borderId="0" xfId="42" applyNumberFormat="1" applyFont="1" applyBorder="1" applyAlignment="1">
      <alignment horizontal="right"/>
    </xf>
    <xf numFmtId="168" fontId="12" fillId="0" borderId="0" xfId="42" applyNumberFormat="1" applyFont="1" applyAlignment="1">
      <alignment horizontal="left" wrapText="1"/>
    </xf>
    <xf numFmtId="44" fontId="12" fillId="0" borderId="0" xfId="65" applyFont="1" applyAlignment="1">
      <alignment horizontal="left" wrapText="1"/>
    </xf>
    <xf numFmtId="0" fontId="55" fillId="0" borderId="0" xfId="0" applyFont="1" applyAlignment="1">
      <alignment horizontal="center"/>
    </xf>
    <xf numFmtId="0" fontId="10" fillId="0" borderId="0" xfId="61" applyFont="1" applyAlignment="1">
      <alignment horizontal="center"/>
      <protection/>
    </xf>
    <xf numFmtId="168" fontId="12" fillId="0" borderId="0" xfId="42" applyNumberFormat="1" applyFont="1" applyAlignment="1">
      <alignment/>
    </xf>
    <xf numFmtId="168" fontId="12" fillId="0" borderId="28" xfId="42" applyNumberFormat="1" applyFont="1" applyBorder="1" applyAlignment="1">
      <alignment/>
    </xf>
    <xf numFmtId="168" fontId="6" fillId="0" borderId="28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34" xfId="42" applyNumberFormat="1" applyFont="1" applyBorder="1" applyAlignment="1">
      <alignment/>
    </xf>
    <xf numFmtId="168" fontId="12" fillId="0" borderId="0" xfId="42" applyNumberFormat="1" applyFont="1" applyBorder="1" applyAlignment="1">
      <alignment/>
    </xf>
    <xf numFmtId="168" fontId="12" fillId="0" borderId="0" xfId="42" applyNumberFormat="1" applyFont="1" applyAlignment="1">
      <alignment horizontal="right"/>
    </xf>
    <xf numFmtId="168" fontId="6" fillId="0" borderId="43" xfId="42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168" fontId="18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8" fontId="12" fillId="0" borderId="96" xfId="42" applyNumberFormat="1" applyFont="1" applyBorder="1" applyAlignment="1">
      <alignment/>
    </xf>
    <xf numFmtId="168" fontId="12" fillId="0" borderId="97" xfId="42" applyNumberFormat="1" applyFont="1" applyBorder="1" applyAlignment="1">
      <alignment/>
    </xf>
    <xf numFmtId="168" fontId="6" fillId="0" borderId="34" xfId="42" applyNumberFormat="1" applyFont="1" applyBorder="1" applyAlignment="1">
      <alignment/>
    </xf>
    <xf numFmtId="168" fontId="6" fillId="0" borderId="98" xfId="42" applyNumberFormat="1" applyFont="1" applyBorder="1" applyAlignment="1">
      <alignment/>
    </xf>
    <xf numFmtId="168" fontId="12" fillId="0" borderId="38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99" xfId="42" applyNumberFormat="1" applyFont="1" applyBorder="1" applyAlignment="1">
      <alignment/>
    </xf>
    <xf numFmtId="168" fontId="12" fillId="0" borderId="28" xfId="42" applyNumberFormat="1" applyFont="1" applyFill="1" applyBorder="1" applyAlignment="1">
      <alignment/>
    </xf>
    <xf numFmtId="168" fontId="12" fillId="0" borderId="32" xfId="42" applyNumberFormat="1" applyFont="1" applyFill="1" applyBorder="1" applyAlignment="1">
      <alignment/>
    </xf>
    <xf numFmtId="168" fontId="29" fillId="0" borderId="32" xfId="42" applyNumberFormat="1" applyFont="1" applyFill="1" applyBorder="1" applyAlignment="1">
      <alignment/>
    </xf>
    <xf numFmtId="168" fontId="29" fillId="0" borderId="28" xfId="42" applyNumberFormat="1" applyFont="1" applyFill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100" xfId="42" applyNumberFormat="1" applyFont="1" applyBorder="1" applyAlignment="1">
      <alignment/>
    </xf>
    <xf numFmtId="168" fontId="12" fillId="0" borderId="77" xfId="42" applyNumberFormat="1" applyFont="1" applyBorder="1" applyAlignment="1">
      <alignment/>
    </xf>
    <xf numFmtId="168" fontId="12" fillId="0" borderId="101" xfId="42" applyNumberFormat="1" applyFont="1" applyBorder="1" applyAlignment="1">
      <alignment/>
    </xf>
    <xf numFmtId="168" fontId="12" fillId="0" borderId="50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51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102" xfId="42" applyNumberFormat="1" applyFont="1" applyBorder="1" applyAlignment="1">
      <alignment/>
    </xf>
    <xf numFmtId="168" fontId="12" fillId="0" borderId="58" xfId="42" applyNumberFormat="1" applyFont="1" applyBorder="1" applyAlignment="1">
      <alignment/>
    </xf>
    <xf numFmtId="168" fontId="6" fillId="0" borderId="58" xfId="42" applyNumberFormat="1" applyFont="1" applyBorder="1" applyAlignment="1">
      <alignment/>
    </xf>
    <xf numFmtId="168" fontId="6" fillId="0" borderId="102" xfId="42" applyNumberFormat="1" applyFont="1" applyBorder="1" applyAlignment="1">
      <alignment/>
    </xf>
    <xf numFmtId="168" fontId="6" fillId="0" borderId="103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zoomScalePageLayoutView="0" workbookViewId="0" topLeftCell="C28">
      <selection activeCell="H48" sqref="H48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4"/>
      <c r="J39" s="2"/>
      <c r="N39" s="329" t="s">
        <v>4</v>
      </c>
      <c r="O39" s="329"/>
      <c r="P39" s="329"/>
      <c r="Q39" s="329"/>
      <c r="R39" s="329"/>
      <c r="S39" s="329"/>
      <c r="T39" s="329"/>
      <c r="U39" s="329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3"/>
      <c r="J41" s="2"/>
      <c r="N41" s="329" t="s">
        <v>471</v>
      </c>
      <c r="O41" s="329"/>
      <c r="P41" s="329"/>
      <c r="Q41" s="329"/>
      <c r="R41" s="329"/>
      <c r="S41" s="329"/>
      <c r="T41" s="329"/>
      <c r="U41" s="329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3"/>
      <c r="J43" s="2"/>
      <c r="N43" s="329" t="s">
        <v>470</v>
      </c>
      <c r="O43" s="329"/>
      <c r="P43" s="329"/>
      <c r="Q43" s="329"/>
      <c r="R43" s="329"/>
      <c r="S43" s="329"/>
      <c r="T43" s="329"/>
      <c r="U43" s="329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19" ht="27.75">
      <c r="B45" s="2"/>
      <c r="C45" s="3"/>
      <c r="D45" s="3"/>
      <c r="E45" s="3"/>
      <c r="F45" s="3"/>
      <c r="G45" s="3"/>
      <c r="H45" s="3"/>
      <c r="I45" s="3"/>
      <c r="J45" s="2"/>
      <c r="P45" s="330"/>
      <c r="Q45" s="331"/>
      <c r="R45" s="331"/>
      <c r="S45" s="331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55"/>
      <c r="M46" s="294"/>
      <c r="N46" s="19"/>
      <c r="O46" s="176"/>
    </row>
    <row r="47" spans="1:10" ht="27.75">
      <c r="A47" s="55"/>
      <c r="B47" s="56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P45:S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K2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9.25390625" style="0" customWidth="1"/>
    <col min="2" max="2" width="12.375" style="0" customWidth="1"/>
  </cols>
  <sheetData>
    <row r="5" ht="12.75">
      <c r="A5" t="s">
        <v>527</v>
      </c>
    </row>
    <row r="7" spans="1:2" ht="12.75">
      <c r="A7" s="429"/>
      <c r="B7" s="693"/>
    </row>
    <row r="8" spans="1:11" ht="12.75">
      <c r="A8" s="429" t="s">
        <v>46</v>
      </c>
      <c r="B8" s="430"/>
      <c r="K8" s="317"/>
    </row>
    <row r="9" spans="1:2" ht="12.75">
      <c r="A9" s="429" t="s">
        <v>506</v>
      </c>
      <c r="B9" s="430"/>
    </row>
    <row r="10" spans="1:2" ht="12.75">
      <c r="A10" s="429" t="s">
        <v>473</v>
      </c>
      <c r="B10" s="430"/>
    </row>
    <row r="11" ht="13.5" thickBot="1"/>
    <row r="12" spans="1:2" ht="13.5" thickTop="1">
      <c r="A12" s="423" t="s">
        <v>0</v>
      </c>
      <c r="B12" s="426" t="s">
        <v>546</v>
      </c>
    </row>
    <row r="13" spans="1:2" ht="12.75">
      <c r="A13" s="424"/>
      <c r="B13" s="427"/>
    </row>
    <row r="14" spans="1:2" ht="13.5" thickBot="1">
      <c r="A14" s="425"/>
      <c r="B14" s="428"/>
    </row>
    <row r="15" ht="13.5" thickTop="1"/>
    <row r="16" ht="12.75">
      <c r="A16" s="318" t="s">
        <v>509</v>
      </c>
    </row>
    <row r="18" spans="1:3" ht="12.75">
      <c r="A18" t="s">
        <v>510</v>
      </c>
      <c r="C18" s="317"/>
    </row>
    <row r="19" spans="1:3" ht="33" customHeight="1">
      <c r="A19" s="322" t="s">
        <v>511</v>
      </c>
      <c r="B19" s="322"/>
      <c r="C19" s="322"/>
    </row>
    <row r="20" spans="1:2" ht="19.5" customHeight="1">
      <c r="A20" s="319" t="s">
        <v>512</v>
      </c>
      <c r="B20">
        <v>18272000</v>
      </c>
    </row>
    <row r="21" spans="1:2" ht="18.75" customHeight="1">
      <c r="A21" t="s">
        <v>513</v>
      </c>
      <c r="B21">
        <v>4933000</v>
      </c>
    </row>
    <row r="22" spans="1:2" ht="18.75" customHeight="1">
      <c r="A22" s="320" t="s">
        <v>507</v>
      </c>
      <c r="B22" s="321">
        <f>B20+B21</f>
        <v>23205000</v>
      </c>
    </row>
    <row r="26" spans="1:2" s="320" customFormat="1" ht="12.75">
      <c r="A26" s="320" t="s">
        <v>508</v>
      </c>
      <c r="B26" s="321">
        <f>B22</f>
        <v>23205000</v>
      </c>
    </row>
  </sheetData>
  <sheetProtection/>
  <mergeCells count="6">
    <mergeCell ref="A12:A14"/>
    <mergeCell ref="B12:B14"/>
    <mergeCell ref="A8:B8"/>
    <mergeCell ref="A9:B9"/>
    <mergeCell ref="A10:B10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716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194"/>
      <c r="B1" s="194"/>
      <c r="C1" s="97"/>
    </row>
    <row r="2" s="145" customFormat="1" ht="15.75">
      <c r="C2" s="729"/>
    </row>
    <row r="3" spans="1:3" s="128" customFormat="1" ht="15">
      <c r="A3" s="194" t="s">
        <v>528</v>
      </c>
      <c r="B3" s="69"/>
      <c r="C3" s="69"/>
    </row>
    <row r="4" spans="1:3" s="128" customFormat="1" ht="15">
      <c r="A4" s="194"/>
      <c r="B4" s="69"/>
      <c r="C4" s="69"/>
    </row>
    <row r="5" spans="1:3" s="128" customFormat="1" ht="15">
      <c r="A5" s="407"/>
      <c r="B5" s="728"/>
      <c r="C5" s="728"/>
    </row>
    <row r="6" spans="1:3" ht="15.75">
      <c r="A6" s="422" t="s">
        <v>4</v>
      </c>
      <c r="B6" s="422"/>
      <c r="C6" s="422"/>
    </row>
    <row r="7" spans="1:3" ht="15.75">
      <c r="A7" s="346" t="s">
        <v>312</v>
      </c>
      <c r="B7" s="346"/>
      <c r="C7" s="346"/>
    </row>
    <row r="8" spans="1:3" ht="15.75">
      <c r="A8" s="346" t="s">
        <v>255</v>
      </c>
      <c r="B8" s="346"/>
      <c r="C8" s="346"/>
    </row>
    <row r="9" spans="1:3" ht="15.75">
      <c r="A9" s="346" t="s">
        <v>473</v>
      </c>
      <c r="B9" s="346"/>
      <c r="C9" s="346"/>
    </row>
    <row r="10" ht="16.5" thickBot="1"/>
    <row r="11" spans="1:3" ht="15.75">
      <c r="A11" s="152" t="s">
        <v>47</v>
      </c>
      <c r="B11" s="147"/>
      <c r="C11" s="722" t="s">
        <v>19</v>
      </c>
    </row>
    <row r="12" spans="1:3" ht="15.75">
      <c r="A12" s="148"/>
      <c r="B12" s="149" t="s">
        <v>0</v>
      </c>
      <c r="C12" s="721"/>
    </row>
    <row r="13" spans="1:3" ht="34.5" customHeight="1" thickBot="1">
      <c r="A13" s="150" t="s">
        <v>48</v>
      </c>
      <c r="B13" s="153"/>
      <c r="C13" s="720" t="s">
        <v>10</v>
      </c>
    </row>
    <row r="14" spans="2:4" ht="34.5" customHeight="1">
      <c r="B14" s="313"/>
      <c r="C14" s="314"/>
      <c r="D14" s="727"/>
    </row>
    <row r="15" spans="1:3" ht="20.25" customHeight="1">
      <c r="A15" s="435" t="s">
        <v>256</v>
      </c>
      <c r="B15" s="435"/>
      <c r="C15" s="435"/>
    </row>
    <row r="16" spans="1:3" ht="20.25" customHeight="1">
      <c r="A16" s="154" t="s">
        <v>49</v>
      </c>
      <c r="B16" s="155" t="s">
        <v>257</v>
      </c>
      <c r="C16" s="725"/>
    </row>
    <row r="17" spans="1:3" ht="20.25" customHeight="1">
      <c r="A17" s="154"/>
      <c r="B17" s="22" t="s">
        <v>258</v>
      </c>
      <c r="C17" s="725">
        <v>28626632</v>
      </c>
    </row>
    <row r="18" spans="1:5" ht="20.25" customHeight="1">
      <c r="A18" s="154"/>
      <c r="B18" s="102" t="s">
        <v>259</v>
      </c>
      <c r="C18" s="725">
        <f>46000+756671</f>
        <v>802671</v>
      </c>
      <c r="D18" s="100"/>
      <c r="E18" s="100"/>
    </row>
    <row r="19" spans="1:3" ht="20.25" customHeight="1">
      <c r="A19" s="154" t="s">
        <v>29</v>
      </c>
      <c r="B19" s="155" t="s">
        <v>260</v>
      </c>
      <c r="C19" s="725">
        <f>7808000+5000</f>
        <v>7813000</v>
      </c>
    </row>
    <row r="20" spans="1:3" ht="20.25" customHeight="1">
      <c r="A20" s="154" t="s">
        <v>50</v>
      </c>
      <c r="B20" s="155" t="s">
        <v>261</v>
      </c>
      <c r="C20" s="725">
        <v>10908000</v>
      </c>
    </row>
    <row r="21" spans="1:3" ht="20.25" customHeight="1">
      <c r="A21" s="154" t="s">
        <v>113</v>
      </c>
      <c r="B21" s="156" t="s">
        <v>262</v>
      </c>
      <c r="C21" s="725"/>
    </row>
    <row r="22" spans="1:5" ht="36" customHeight="1">
      <c r="A22" s="154"/>
      <c r="B22" s="102" t="s">
        <v>263</v>
      </c>
      <c r="C22" s="725"/>
      <c r="D22" s="102"/>
      <c r="E22" s="102"/>
    </row>
    <row r="23" spans="1:3" ht="20.25" customHeight="1">
      <c r="A23" s="154"/>
      <c r="B23" s="22" t="s">
        <v>264</v>
      </c>
      <c r="C23" s="725"/>
    </row>
    <row r="24" spans="1:3" ht="36" customHeight="1">
      <c r="A24" s="157"/>
      <c r="B24" s="158" t="s">
        <v>265</v>
      </c>
      <c r="C24" s="717">
        <f>SUM(C17:C23)</f>
        <v>48150303</v>
      </c>
    </row>
    <row r="25" spans="1:3" ht="21" customHeight="1">
      <c r="A25" s="151" t="s">
        <v>115</v>
      </c>
      <c r="B25" s="155" t="s">
        <v>266</v>
      </c>
      <c r="C25" s="617">
        <f>16287000+950760</f>
        <v>17237760</v>
      </c>
    </row>
    <row r="26" spans="1:3" ht="21" customHeight="1">
      <c r="A26" s="151" t="s">
        <v>121</v>
      </c>
      <c r="B26" s="155" t="s">
        <v>267</v>
      </c>
      <c r="C26" s="617">
        <f>4524000+145007</f>
        <v>4669007</v>
      </c>
    </row>
    <row r="27" spans="1:3" ht="21" customHeight="1">
      <c r="A27" s="151" t="s">
        <v>268</v>
      </c>
      <c r="B27" s="159" t="s">
        <v>269</v>
      </c>
      <c r="C27" s="617">
        <f>22513000+63508</f>
        <v>22576508</v>
      </c>
    </row>
    <row r="28" spans="1:3" ht="21" customHeight="1">
      <c r="A28" s="151" t="s">
        <v>270</v>
      </c>
      <c r="B28" s="159" t="s">
        <v>271</v>
      </c>
      <c r="C28" s="617">
        <v>3361000</v>
      </c>
    </row>
    <row r="29" spans="1:3" ht="21" customHeight="1">
      <c r="A29" s="151" t="s">
        <v>272</v>
      </c>
      <c r="B29" s="159" t="s">
        <v>273</v>
      </c>
      <c r="C29" s="617"/>
    </row>
    <row r="30" spans="1:3" ht="32.25" customHeight="1">
      <c r="A30" s="151"/>
      <c r="B30" s="102" t="s">
        <v>274</v>
      </c>
      <c r="C30" s="726">
        <v>884145</v>
      </c>
    </row>
    <row r="31" spans="1:3" ht="15.75">
      <c r="A31" s="151"/>
      <c r="B31" s="160" t="s">
        <v>275</v>
      </c>
      <c r="C31" s="726">
        <v>1127000</v>
      </c>
    </row>
    <row r="32" spans="1:5" ht="15.75">
      <c r="A32" s="151"/>
      <c r="B32" s="160" t="s">
        <v>276</v>
      </c>
      <c r="C32" s="716">
        <v>40789124</v>
      </c>
      <c r="E32" s="103"/>
    </row>
    <row r="33" spans="1:6" ht="33.75" customHeight="1">
      <c r="A33" s="157"/>
      <c r="B33" s="158" t="s">
        <v>277</v>
      </c>
      <c r="C33" s="717">
        <f>SUM(C25:C32)</f>
        <v>90644544</v>
      </c>
      <c r="E33" s="103"/>
      <c r="F33" s="103"/>
    </row>
    <row r="34" spans="1:6" ht="33.75" customHeight="1">
      <c r="A34" s="154"/>
      <c r="B34" s="155"/>
      <c r="C34" s="725"/>
      <c r="E34" s="103"/>
      <c r="F34" s="103"/>
    </row>
    <row r="35" spans="1:6" ht="33.75" customHeight="1">
      <c r="A35" s="154"/>
      <c r="B35" s="155"/>
      <c r="C35" s="725"/>
      <c r="E35" s="103"/>
      <c r="F35" s="103"/>
    </row>
    <row r="36" spans="1:3" ht="15.75">
      <c r="A36" s="341">
        <v>2</v>
      </c>
      <c r="B36" s="341"/>
      <c r="C36" s="341"/>
    </row>
    <row r="37" spans="1:3" ht="16.5" thickBot="1">
      <c r="A37" s="295"/>
      <c r="B37" s="295"/>
      <c r="C37" s="295"/>
    </row>
    <row r="38" spans="1:3" ht="15.75">
      <c r="A38" s="152" t="s">
        <v>47</v>
      </c>
      <c r="B38" s="147"/>
      <c r="C38" s="722" t="s">
        <v>19</v>
      </c>
    </row>
    <row r="39" spans="1:3" ht="15.75">
      <c r="A39" s="148"/>
      <c r="B39" s="149" t="s">
        <v>0</v>
      </c>
      <c r="C39" s="721"/>
    </row>
    <row r="40" spans="1:3" ht="31.5" customHeight="1" thickBot="1">
      <c r="A40" s="150" t="s">
        <v>48</v>
      </c>
      <c r="B40" s="153"/>
      <c r="C40" s="720" t="s">
        <v>10</v>
      </c>
    </row>
    <row r="41" spans="1:3" ht="31.5" customHeight="1">
      <c r="A41" s="165"/>
      <c r="B41" s="312"/>
      <c r="C41" s="719"/>
    </row>
    <row r="42" spans="1:3" ht="21" customHeight="1">
      <c r="A42" s="437" t="s">
        <v>278</v>
      </c>
      <c r="B42" s="437"/>
      <c r="C42" s="437"/>
    </row>
    <row r="43" spans="1:2" ht="21" customHeight="1">
      <c r="A43" s="151" t="s">
        <v>279</v>
      </c>
      <c r="B43" s="60" t="s">
        <v>280</v>
      </c>
    </row>
    <row r="44" spans="1:2" ht="21" customHeight="1">
      <c r="A44" s="151" t="s">
        <v>281</v>
      </c>
      <c r="B44" s="60" t="s">
        <v>282</v>
      </c>
    </row>
    <row r="45" spans="1:2" ht="21" customHeight="1">
      <c r="A45" s="151" t="s">
        <v>283</v>
      </c>
      <c r="B45" s="156" t="s">
        <v>284</v>
      </c>
    </row>
    <row r="46" spans="1:3" ht="31.5" customHeight="1">
      <c r="A46" s="151"/>
      <c r="B46" s="122" t="s">
        <v>285</v>
      </c>
      <c r="C46" s="716">
        <v>62000</v>
      </c>
    </row>
    <row r="47" spans="1:2" ht="21" customHeight="1">
      <c r="A47" s="151"/>
      <c r="B47" s="51" t="s">
        <v>286</v>
      </c>
    </row>
    <row r="48" spans="1:5" ht="39.75" customHeight="1">
      <c r="A48" s="157"/>
      <c r="B48" s="158" t="s">
        <v>287</v>
      </c>
      <c r="C48" s="717">
        <f>SUM(C43:C47)</f>
        <v>62000</v>
      </c>
      <c r="E48" s="103"/>
    </row>
    <row r="49" spans="1:3" ht="21" customHeight="1">
      <c r="A49" s="151" t="s">
        <v>288</v>
      </c>
      <c r="B49" s="60" t="s">
        <v>289</v>
      </c>
      <c r="C49" s="716">
        <f>848000+2000000</f>
        <v>2848000</v>
      </c>
    </row>
    <row r="50" spans="1:3" ht="21" customHeight="1">
      <c r="A50" s="151" t="s">
        <v>290</v>
      </c>
      <c r="B50" s="60" t="s">
        <v>291</v>
      </c>
      <c r="C50" s="716">
        <v>23205000</v>
      </c>
    </row>
    <row r="51" spans="1:2" ht="21" customHeight="1">
      <c r="A51" s="151" t="s">
        <v>292</v>
      </c>
      <c r="B51" s="156" t="s">
        <v>293</v>
      </c>
    </row>
    <row r="52" spans="1:3" ht="21" customHeight="1">
      <c r="A52" s="151"/>
      <c r="B52" s="160" t="s">
        <v>294</v>
      </c>
      <c r="C52" s="716">
        <v>600000</v>
      </c>
    </row>
    <row r="53" spans="1:2" ht="21" customHeight="1">
      <c r="A53" s="151"/>
      <c r="B53" s="160" t="s">
        <v>276</v>
      </c>
    </row>
    <row r="54" spans="1:6" s="9" customFormat="1" ht="42" customHeight="1" thickBot="1">
      <c r="A54" s="157"/>
      <c r="B54" s="158" t="s">
        <v>295</v>
      </c>
      <c r="C54" s="717">
        <f>SUM(C49:C53)</f>
        <v>26653000</v>
      </c>
      <c r="F54" s="161"/>
    </row>
    <row r="55" spans="1:3" s="9" customFormat="1" ht="35.25" customHeight="1" thickBot="1">
      <c r="A55" s="162"/>
      <c r="B55" s="163" t="s">
        <v>296</v>
      </c>
      <c r="C55" s="724">
        <f>C24+C48</f>
        <v>48212303</v>
      </c>
    </row>
    <row r="56" spans="1:6" s="9" customFormat="1" ht="35.25" customHeight="1" thickBot="1">
      <c r="A56" s="162"/>
      <c r="B56" s="163" t="s">
        <v>297</v>
      </c>
      <c r="C56" s="724">
        <f>C33+C54</f>
        <v>117297544</v>
      </c>
      <c r="F56" s="161"/>
    </row>
    <row r="57" spans="1:3" s="9" customFormat="1" ht="15.75">
      <c r="A57" s="164"/>
      <c r="B57" s="165"/>
      <c r="C57" s="723"/>
    </row>
    <row r="62" spans="1:3" s="166" customFormat="1" ht="15.75">
      <c r="A62" s="165"/>
      <c r="B62" s="174"/>
      <c r="C62" s="719"/>
    </row>
    <row r="63" spans="1:3" s="166" customFormat="1" ht="15.75">
      <c r="A63" s="165"/>
      <c r="B63" s="174"/>
      <c r="C63" s="719"/>
    </row>
    <row r="64" spans="1:3" s="166" customFormat="1" ht="15.75">
      <c r="A64" s="165"/>
      <c r="B64" s="174"/>
      <c r="C64" s="719"/>
    </row>
    <row r="65" spans="1:3" s="166" customFormat="1" ht="15.75">
      <c r="A65" s="165"/>
      <c r="B65" s="174"/>
      <c r="C65" s="719"/>
    </row>
    <row r="66" spans="1:3" s="166" customFormat="1" ht="15.75">
      <c r="A66" s="436">
        <v>3</v>
      </c>
      <c r="B66" s="436"/>
      <c r="C66" s="436"/>
    </row>
    <row r="67" spans="1:3" s="166" customFormat="1" ht="16.5" thickBot="1">
      <c r="A67" s="315"/>
      <c r="B67" s="315"/>
      <c r="C67" s="315"/>
    </row>
    <row r="68" spans="1:3" s="166" customFormat="1" ht="19.5" customHeight="1">
      <c r="A68" s="152" t="s">
        <v>47</v>
      </c>
      <c r="B68" s="431" t="s">
        <v>0</v>
      </c>
      <c r="C68" s="722" t="s">
        <v>19</v>
      </c>
    </row>
    <row r="69" spans="1:3" s="166" customFormat="1" ht="15.75">
      <c r="A69" s="148"/>
      <c r="B69" s="432"/>
      <c r="C69" s="721"/>
    </row>
    <row r="70" spans="1:3" s="166" customFormat="1" ht="16.5" thickBot="1">
      <c r="A70" s="150" t="s">
        <v>48</v>
      </c>
      <c r="B70" s="433"/>
      <c r="C70" s="720" t="s">
        <v>10</v>
      </c>
    </row>
    <row r="71" spans="1:3" s="166" customFormat="1" ht="15.75">
      <c r="A71" s="165"/>
      <c r="B71" s="174"/>
      <c r="C71" s="719"/>
    </row>
    <row r="72" spans="1:3" ht="20.25" customHeight="1">
      <c r="A72" s="434" t="s">
        <v>298</v>
      </c>
      <c r="B72" s="434"/>
      <c r="C72" s="434"/>
    </row>
    <row r="73" spans="1:3" ht="20.25" customHeight="1">
      <c r="A73" s="167"/>
      <c r="B73" s="167"/>
      <c r="C73" s="167"/>
    </row>
    <row r="74" spans="1:3" ht="20.25" customHeight="1">
      <c r="A74" s="157" t="s">
        <v>299</v>
      </c>
      <c r="B74" s="168" t="s">
        <v>300</v>
      </c>
      <c r="C74" s="717">
        <f>26261000+2000000+42143000</f>
        <v>70404000</v>
      </c>
    </row>
    <row r="75" spans="1:3" ht="21" customHeight="1">
      <c r="A75" s="157"/>
      <c r="B75" s="158" t="s">
        <v>301</v>
      </c>
      <c r="C75" s="718">
        <f>SUM(C74:C74)</f>
        <v>70404000</v>
      </c>
    </row>
    <row r="76" spans="1:3" ht="21" customHeight="1">
      <c r="A76" s="154" t="s">
        <v>302</v>
      </c>
      <c r="B76" s="158" t="s">
        <v>500</v>
      </c>
      <c r="C76" s="718">
        <f>1139077+179682</f>
        <v>1318759</v>
      </c>
    </row>
    <row r="77" spans="1:3" ht="15.75">
      <c r="A77" s="154" t="s">
        <v>304</v>
      </c>
      <c r="B77" s="168" t="s">
        <v>303</v>
      </c>
      <c r="C77" s="717"/>
    </row>
    <row r="78" spans="1:3" ht="15.75">
      <c r="A78" s="151" t="s">
        <v>376</v>
      </c>
      <c r="B78" s="168" t="s">
        <v>305</v>
      </c>
      <c r="C78" s="717"/>
    </row>
    <row r="79" spans="1:3" s="169" customFormat="1" ht="30" customHeight="1" thickBot="1">
      <c r="A79" s="157"/>
      <c r="B79" s="158" t="s">
        <v>306</v>
      </c>
      <c r="C79" s="717">
        <f>SUM(C76:C78)</f>
        <v>1318759</v>
      </c>
    </row>
    <row r="80" spans="1:5" s="169" customFormat="1" ht="30" customHeight="1" thickBot="1">
      <c r="A80" s="170"/>
      <c r="B80" s="171" t="s">
        <v>307</v>
      </c>
      <c r="C80" s="172">
        <f>C55+C75</f>
        <v>118616303</v>
      </c>
      <c r="E80" s="173"/>
    </row>
    <row r="81" spans="1:5" ht="35.25" customHeight="1" thickBot="1">
      <c r="A81" s="170"/>
      <c r="B81" s="171" t="s">
        <v>308</v>
      </c>
      <c r="C81" s="172">
        <f>C56+C79</f>
        <v>118616303</v>
      </c>
      <c r="E81" s="173"/>
    </row>
  </sheetData>
  <sheetProtection/>
  <mergeCells count="11">
    <mergeCell ref="A42:C42"/>
    <mergeCell ref="A5:C5"/>
    <mergeCell ref="A6:C6"/>
    <mergeCell ref="B68:B70"/>
    <mergeCell ref="A72:C72"/>
    <mergeCell ref="A7:C7"/>
    <mergeCell ref="A8:C8"/>
    <mergeCell ref="A9:C9"/>
    <mergeCell ref="A15:C15"/>
    <mergeCell ref="A66:C66"/>
    <mergeCell ref="A36:C3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5.125" style="51" customWidth="1"/>
    <col min="2" max="2" width="43.625" style="51" customWidth="1"/>
    <col min="3" max="14" width="15.375" style="617" customWidth="1"/>
    <col min="15" max="15" width="16.625" style="617" customWidth="1"/>
    <col min="16" max="16" width="12.625" style="51" bestFit="1" customWidth="1"/>
    <col min="17" max="16384" width="9.125" style="51" customWidth="1"/>
  </cols>
  <sheetData>
    <row r="2" spans="3:15" s="104" customFormat="1" ht="15.75"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4" spans="1:15" ht="15.75">
      <c r="A4" s="694" t="s">
        <v>529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2:15" ht="15.75"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</row>
    <row r="6" spans="2:15" ht="15.75">
      <c r="B6" s="334" t="s">
        <v>46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2:15" ht="15.75">
      <c r="B7" s="334" t="s">
        <v>341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2:15" ht="15.75">
      <c r="B8" s="334" t="s">
        <v>473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</row>
    <row r="9" spans="3:15" ht="16.5" thickBot="1">
      <c r="C9" s="616"/>
      <c r="D9" s="616"/>
      <c r="E9" s="616"/>
      <c r="F9" s="758"/>
      <c r="G9" s="616"/>
      <c r="H9" s="616"/>
      <c r="I9" s="616"/>
      <c r="J9" s="616"/>
      <c r="O9" s="757" t="s">
        <v>544</v>
      </c>
    </row>
    <row r="10" spans="1:15" ht="15.75">
      <c r="A10" s="212" t="s">
        <v>47</v>
      </c>
      <c r="B10" s="213"/>
      <c r="C10" s="756"/>
      <c r="D10" s="755"/>
      <c r="E10" s="754"/>
      <c r="F10" s="753"/>
      <c r="G10" s="753"/>
      <c r="H10" s="753"/>
      <c r="I10" s="753"/>
      <c r="J10" s="753"/>
      <c r="K10" s="752"/>
      <c r="L10" s="752"/>
      <c r="M10" s="752"/>
      <c r="N10" s="751"/>
      <c r="O10" s="750"/>
    </row>
    <row r="11" spans="1:15" ht="15.75">
      <c r="A11" s="214"/>
      <c r="B11" s="215" t="s">
        <v>0</v>
      </c>
      <c r="C11" s="646" t="s">
        <v>342</v>
      </c>
      <c r="D11" s="749" t="s">
        <v>343</v>
      </c>
      <c r="E11" s="747" t="s">
        <v>344</v>
      </c>
      <c r="F11" s="748" t="s">
        <v>345</v>
      </c>
      <c r="G11" s="748" t="s">
        <v>346</v>
      </c>
      <c r="H11" s="748" t="s">
        <v>347</v>
      </c>
      <c r="I11" s="748" t="s">
        <v>348</v>
      </c>
      <c r="J11" s="748" t="s">
        <v>349</v>
      </c>
      <c r="K11" s="748" t="s">
        <v>350</v>
      </c>
      <c r="L11" s="748" t="s">
        <v>351</v>
      </c>
      <c r="M11" s="748" t="s">
        <v>352</v>
      </c>
      <c r="N11" s="747" t="s">
        <v>353</v>
      </c>
      <c r="O11" s="721" t="s">
        <v>333</v>
      </c>
    </row>
    <row r="12" spans="1:15" ht="16.5" thickBot="1">
      <c r="A12" s="216" t="s">
        <v>48</v>
      </c>
      <c r="B12" s="217"/>
      <c r="C12" s="743"/>
      <c r="D12" s="746"/>
      <c r="E12" s="744"/>
      <c r="F12" s="745"/>
      <c r="G12" s="745"/>
      <c r="H12" s="745"/>
      <c r="I12" s="745"/>
      <c r="J12" s="745"/>
      <c r="K12" s="745"/>
      <c r="L12" s="745"/>
      <c r="M12" s="745"/>
      <c r="N12" s="744"/>
      <c r="O12" s="743"/>
    </row>
    <row r="13" spans="1:15" ht="28.5" customHeight="1">
      <c r="A13" s="218"/>
      <c r="B13" s="219" t="s">
        <v>354</v>
      </c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5"/>
    </row>
    <row r="14" spans="1:15" ht="28.5" customHeight="1">
      <c r="A14" s="218" t="s">
        <v>49</v>
      </c>
      <c r="B14" s="219" t="s">
        <v>355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5"/>
    </row>
    <row r="15" spans="1:15" ht="28.5" customHeight="1">
      <c r="A15" s="218"/>
      <c r="B15" s="219" t="s">
        <v>356</v>
      </c>
      <c r="C15" s="736">
        <v>3515000</v>
      </c>
      <c r="D15" s="736">
        <v>2273000</v>
      </c>
      <c r="E15" s="736">
        <v>2273000</v>
      </c>
      <c r="F15" s="736">
        <v>2273000</v>
      </c>
      <c r="G15" s="736">
        <f>2273000+112611+21</f>
        <v>2385632</v>
      </c>
      <c r="H15" s="736">
        <v>2273000</v>
      </c>
      <c r="I15" s="736">
        <v>2273000</v>
      </c>
      <c r="J15" s="736">
        <v>2273000</v>
      </c>
      <c r="K15" s="736">
        <v>2272000</v>
      </c>
      <c r="L15" s="736">
        <v>2272000</v>
      </c>
      <c r="M15" s="736">
        <v>2272000</v>
      </c>
      <c r="N15" s="736">
        <v>2272000</v>
      </c>
      <c r="O15" s="735">
        <f>SUM(C15:N15)</f>
        <v>28626632</v>
      </c>
    </row>
    <row r="16" spans="1:15" ht="28.5" customHeight="1">
      <c r="A16" s="218"/>
      <c r="B16" s="219" t="s">
        <v>357</v>
      </c>
      <c r="C16" s="736"/>
      <c r="D16" s="736"/>
      <c r="E16" s="736"/>
      <c r="F16" s="736">
        <v>526211</v>
      </c>
      <c r="G16" s="736">
        <v>230460</v>
      </c>
      <c r="H16" s="736"/>
      <c r="I16" s="736"/>
      <c r="J16" s="736">
        <v>23000</v>
      </c>
      <c r="K16" s="736"/>
      <c r="L16" s="736"/>
      <c r="M16" s="736">
        <v>23000</v>
      </c>
      <c r="N16" s="736"/>
      <c r="O16" s="735">
        <f>SUM(C16:N16)</f>
        <v>802671</v>
      </c>
    </row>
    <row r="17" spans="1:15" ht="15.75">
      <c r="A17" s="218" t="s">
        <v>50</v>
      </c>
      <c r="B17" s="219" t="s">
        <v>358</v>
      </c>
      <c r="C17" s="736">
        <f>12000+44000+32000+31000</f>
        <v>119000</v>
      </c>
      <c r="D17" s="736">
        <f>19000+12000+118000+253000+31000</f>
        <v>433000</v>
      </c>
      <c r="E17" s="736">
        <f>1127000+11000+620000+382000+31000</f>
        <v>2171000</v>
      </c>
      <c r="F17" s="736">
        <f>9000+12000+76000+34000+31000+200000</f>
        <v>362000</v>
      </c>
      <c r="G17" s="736">
        <f>408000+12000+48000+35000+31000-200000</f>
        <v>334000</v>
      </c>
      <c r="H17" s="736">
        <f>46000+12000+20000+19000+31000</f>
        <v>128000</v>
      </c>
      <c r="I17" s="736">
        <f>12000+2000+2000+31000</f>
        <v>47000</v>
      </c>
      <c r="J17" s="736">
        <f>12000+237000+346000+31000</f>
        <v>626000</v>
      </c>
      <c r="K17" s="736">
        <f>1188000+11000+601000+335000+31000</f>
        <v>2166000</v>
      </c>
      <c r="L17" s="736">
        <f>10000+12000+27000+35000+31000</f>
        <v>115000</v>
      </c>
      <c r="M17" s="736">
        <f>852000+11000+76000+12000+31000</f>
        <v>982000</v>
      </c>
      <c r="N17" s="736">
        <f>241000+11000+34000+15000+29000</f>
        <v>330000</v>
      </c>
      <c r="O17" s="735">
        <f>SUM(C17:N17)</f>
        <v>7813000</v>
      </c>
    </row>
    <row r="18" spans="1:17" ht="15.75">
      <c r="A18" s="218" t="s">
        <v>113</v>
      </c>
      <c r="B18" s="219" t="s">
        <v>359</v>
      </c>
      <c r="C18" s="736">
        <v>931000</v>
      </c>
      <c r="D18" s="736">
        <v>877000</v>
      </c>
      <c r="E18" s="736">
        <v>958000</v>
      </c>
      <c r="F18" s="736">
        <v>1036000</v>
      </c>
      <c r="G18" s="736">
        <v>890000</v>
      </c>
      <c r="H18" s="736">
        <v>804000</v>
      </c>
      <c r="I18" s="736">
        <v>758000</v>
      </c>
      <c r="J18" s="736">
        <v>704000</v>
      </c>
      <c r="K18" s="736">
        <v>1004000</v>
      </c>
      <c r="L18" s="736">
        <v>1030000</v>
      </c>
      <c r="M18" s="736">
        <v>913000</v>
      </c>
      <c r="N18" s="736">
        <v>1003000</v>
      </c>
      <c r="O18" s="735">
        <f>SUM(C18:N18)</f>
        <v>10908000</v>
      </c>
      <c r="Q18" s="230"/>
    </row>
    <row r="19" spans="1:15" ht="15.75">
      <c r="A19" s="218" t="s">
        <v>115</v>
      </c>
      <c r="B19" s="220" t="s">
        <v>360</v>
      </c>
      <c r="C19" s="742">
        <v>5000</v>
      </c>
      <c r="D19" s="742">
        <v>6000</v>
      </c>
      <c r="E19" s="742">
        <v>5000</v>
      </c>
      <c r="F19" s="742">
        <v>5000</v>
      </c>
      <c r="G19" s="742">
        <v>5000</v>
      </c>
      <c r="H19" s="742">
        <v>5000</v>
      </c>
      <c r="I19" s="742">
        <v>5000</v>
      </c>
      <c r="J19" s="742">
        <v>5000</v>
      </c>
      <c r="K19" s="742">
        <v>5000</v>
      </c>
      <c r="L19" s="742">
        <v>6000</v>
      </c>
      <c r="M19" s="742">
        <v>5000</v>
      </c>
      <c r="N19" s="742">
        <v>5000</v>
      </c>
      <c r="O19" s="735">
        <f>SUM(C19:N19)</f>
        <v>62000</v>
      </c>
    </row>
    <row r="20" spans="1:15" ht="15.75">
      <c r="A20" s="218" t="s">
        <v>121</v>
      </c>
      <c r="B20" s="220" t="s">
        <v>262</v>
      </c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0"/>
      <c r="O20" s="735">
        <f>SUM(C20:N20)</f>
        <v>0</v>
      </c>
    </row>
    <row r="21" spans="1:15" ht="31.5">
      <c r="A21" s="218"/>
      <c r="B21" s="219" t="s">
        <v>361</v>
      </c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9"/>
      <c r="O21" s="735">
        <f>SUM(C21:N21)</f>
        <v>0</v>
      </c>
    </row>
    <row r="22" spans="1:15" ht="17.25" customHeight="1">
      <c r="A22" s="218"/>
      <c r="B22" s="219" t="s">
        <v>362</v>
      </c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9"/>
      <c r="O22" s="735">
        <f>SUM(C22:N22)</f>
        <v>0</v>
      </c>
    </row>
    <row r="23" spans="1:15" ht="15.75">
      <c r="A23" s="218" t="s">
        <v>268</v>
      </c>
      <c r="B23" s="220" t="s">
        <v>363</v>
      </c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9"/>
      <c r="O23" s="735">
        <f>SUM(C23:N23)</f>
        <v>0</v>
      </c>
    </row>
    <row r="24" spans="1:15" ht="47.25">
      <c r="A24" s="218"/>
      <c r="B24" s="229" t="s">
        <v>364</v>
      </c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  <c r="N24" s="739"/>
      <c r="O24" s="735">
        <f>SUM(C24:N24)</f>
        <v>0</v>
      </c>
    </row>
    <row r="25" spans="1:15" ht="15.75">
      <c r="A25" s="218"/>
      <c r="B25" s="219" t="s">
        <v>365</v>
      </c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9"/>
      <c r="O25" s="735">
        <f>SUM(C25:N25)</f>
        <v>0</v>
      </c>
    </row>
    <row r="26" spans="1:15" ht="15.75">
      <c r="A26" s="218" t="s">
        <v>270</v>
      </c>
      <c r="B26" s="220" t="s">
        <v>366</v>
      </c>
      <c r="C26" s="738">
        <v>1139077</v>
      </c>
      <c r="D26" s="738">
        <v>1917000</v>
      </c>
      <c r="E26" s="738">
        <v>2000000</v>
      </c>
      <c r="F26" s="738">
        <v>5046000</v>
      </c>
      <c r="G26" s="738">
        <v>42142923</v>
      </c>
      <c r="H26" s="738">
        <v>10260000</v>
      </c>
      <c r="I26" s="738"/>
      <c r="J26" s="738"/>
      <c r="K26" s="738"/>
      <c r="L26" s="738">
        <v>7899000</v>
      </c>
      <c r="M26" s="738"/>
      <c r="N26" s="739"/>
      <c r="O26" s="735">
        <f>SUM(C26:N26)</f>
        <v>70404000</v>
      </c>
    </row>
    <row r="27" spans="1:15" ht="16.5" thickBot="1">
      <c r="A27" s="221" t="s">
        <v>272</v>
      </c>
      <c r="B27" s="222" t="s">
        <v>367</v>
      </c>
      <c r="C27" s="738"/>
      <c r="D27" s="738">
        <f>C49</f>
        <v>975000</v>
      </c>
      <c r="E27" s="738">
        <f>D49</f>
        <v>2941000</v>
      </c>
      <c r="F27" s="738">
        <f>E49</f>
        <v>4410128</v>
      </c>
      <c r="G27" s="738">
        <f>F49</f>
        <v>3933341</v>
      </c>
      <c r="H27" s="738">
        <f>G49</f>
        <v>3867086</v>
      </c>
      <c r="I27" s="738">
        <f>H49</f>
        <v>2723145</v>
      </c>
      <c r="J27" s="738">
        <f>I49</f>
        <v>1372000</v>
      </c>
      <c r="K27" s="738">
        <f>J49</f>
        <v>954000</v>
      </c>
      <c r="L27" s="738">
        <f>K49</f>
        <v>2111000</v>
      </c>
      <c r="M27" s="738">
        <f>L49</f>
        <v>1104000</v>
      </c>
      <c r="N27" s="738">
        <f>M49</f>
        <v>1291000</v>
      </c>
      <c r="O27" s="735"/>
    </row>
    <row r="28" spans="1:16" s="19" customFormat="1" ht="27.75" customHeight="1" thickBot="1">
      <c r="A28" s="223"/>
      <c r="B28" s="223" t="s">
        <v>368</v>
      </c>
      <c r="C28" s="734">
        <f>SUM(C15:C27)</f>
        <v>5709077</v>
      </c>
      <c r="D28" s="734">
        <f>SUM(D15:D27)</f>
        <v>6481000</v>
      </c>
      <c r="E28" s="734">
        <f>SUM(E15:E27)</f>
        <v>10348000</v>
      </c>
      <c r="F28" s="734">
        <f>SUM(F15:F27)</f>
        <v>13658339</v>
      </c>
      <c r="G28" s="734">
        <f>SUM(G15:G27)</f>
        <v>49921356</v>
      </c>
      <c r="H28" s="734">
        <f>SUM(H15:H27)</f>
        <v>17337086</v>
      </c>
      <c r="I28" s="734">
        <f>SUM(I15:I27)</f>
        <v>5806145</v>
      </c>
      <c r="J28" s="734">
        <f>SUM(J15:J27)</f>
        <v>5003000</v>
      </c>
      <c r="K28" s="734">
        <f>SUM(K15:K27)</f>
        <v>6401000</v>
      </c>
      <c r="L28" s="734">
        <f>SUM(L15:L27)</f>
        <v>13433000</v>
      </c>
      <c r="M28" s="734">
        <f>SUM(M15:M27)</f>
        <v>5299000</v>
      </c>
      <c r="N28" s="734">
        <f>SUM(N15:N27)</f>
        <v>4901000</v>
      </c>
      <c r="O28" s="733">
        <f>SUM(O14:O27)</f>
        <v>118616303</v>
      </c>
      <c r="P28" s="114"/>
    </row>
    <row r="29" spans="1:15" ht="15.75">
      <c r="A29" s="224"/>
      <c r="B29" s="225" t="s">
        <v>369</v>
      </c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7"/>
    </row>
    <row r="30" spans="1:16" ht="15.75">
      <c r="A30" s="218" t="s">
        <v>279</v>
      </c>
      <c r="B30" s="220" t="s">
        <v>209</v>
      </c>
      <c r="C30" s="736">
        <f>1061000+37000</f>
        <v>1098000</v>
      </c>
      <c r="D30" s="736">
        <v>1223000</v>
      </c>
      <c r="E30" s="736">
        <v>1222000</v>
      </c>
      <c r="F30" s="736">
        <f>1416000+414339+181465</f>
        <v>2011804</v>
      </c>
      <c r="G30" s="736">
        <f>1416000+88670+266286</f>
        <v>1770956</v>
      </c>
      <c r="H30" s="736">
        <v>1416000</v>
      </c>
      <c r="I30" s="736">
        <v>1416000</v>
      </c>
      <c r="J30" s="736">
        <v>1416000</v>
      </c>
      <c r="K30" s="736">
        <v>1416000</v>
      </c>
      <c r="L30" s="736">
        <v>1416000</v>
      </c>
      <c r="M30" s="736">
        <v>1416000</v>
      </c>
      <c r="N30" s="736">
        <v>1416000</v>
      </c>
      <c r="O30" s="735">
        <f>SUM(C30:N30)</f>
        <v>17237760</v>
      </c>
      <c r="P30" s="230"/>
    </row>
    <row r="31" spans="1:15" ht="31.5">
      <c r="A31" s="218" t="s">
        <v>281</v>
      </c>
      <c r="B31" s="229" t="s">
        <v>370</v>
      </c>
      <c r="C31" s="736">
        <v>302000</v>
      </c>
      <c r="D31" s="736">
        <v>302000</v>
      </c>
      <c r="E31" s="736">
        <f>392000+118872</f>
        <v>510872</v>
      </c>
      <c r="F31" s="736">
        <f>392000+48995-46801</f>
        <v>394194</v>
      </c>
      <c r="G31" s="736">
        <v>392000</v>
      </c>
      <c r="H31" s="736">
        <f>392000+23941</f>
        <v>415941</v>
      </c>
      <c r="I31" s="736">
        <v>392000</v>
      </c>
      <c r="J31" s="736">
        <v>392000</v>
      </c>
      <c r="K31" s="736">
        <v>392000</v>
      </c>
      <c r="L31" s="736">
        <v>392000</v>
      </c>
      <c r="M31" s="736">
        <v>392000</v>
      </c>
      <c r="N31" s="736">
        <v>392000</v>
      </c>
      <c r="O31" s="735">
        <f>SUM(C31:N31)</f>
        <v>4669007</v>
      </c>
    </row>
    <row r="32" spans="1:15" ht="15.75">
      <c r="A32" s="218" t="s">
        <v>283</v>
      </c>
      <c r="B32" s="220" t="s">
        <v>211</v>
      </c>
      <c r="C32" s="736">
        <f>1827000+95000</f>
        <v>1922000</v>
      </c>
      <c r="D32" s="736">
        <f>1701000+95000</f>
        <v>1796000</v>
      </c>
      <c r="E32" s="736">
        <f>1890000+95000</f>
        <v>1985000</v>
      </c>
      <c r="F32" s="736">
        <f>1853000+95000</f>
        <v>1948000</v>
      </c>
      <c r="G32" s="736">
        <f>2215000+63508</f>
        <v>2278508</v>
      </c>
      <c r="H32" s="736">
        <f>1533000+95000</f>
        <v>1628000</v>
      </c>
      <c r="I32" s="736">
        <f>1428000+95000</f>
        <v>1523000</v>
      </c>
      <c r="J32" s="736">
        <f>1302000+95000</f>
        <v>1397000</v>
      </c>
      <c r="K32" s="736">
        <f>1995000+95000</f>
        <v>2090000</v>
      </c>
      <c r="L32" s="736">
        <f>1787000+95000</f>
        <v>1882000</v>
      </c>
      <c r="M32" s="736">
        <f>1886000+95000</f>
        <v>1981000</v>
      </c>
      <c r="N32" s="736">
        <f>2047000+99000</f>
        <v>2146000</v>
      </c>
      <c r="O32" s="735">
        <f>SUM(C32:N32)</f>
        <v>22576508</v>
      </c>
    </row>
    <row r="33" spans="1:15" ht="15.75">
      <c r="A33" s="218" t="s">
        <v>288</v>
      </c>
      <c r="B33" s="220" t="s">
        <v>212</v>
      </c>
      <c r="C33" s="736">
        <f>219000+4000</f>
        <v>223000</v>
      </c>
      <c r="D33" s="736">
        <f>219000</f>
        <v>219000</v>
      </c>
      <c r="E33" s="736">
        <f>219000+1000</f>
        <v>220000</v>
      </c>
      <c r="F33" s="736">
        <f>219000</f>
        <v>219000</v>
      </c>
      <c r="G33" s="736">
        <f>219000</f>
        <v>219000</v>
      </c>
      <c r="H33" s="736">
        <f>219000</f>
        <v>219000</v>
      </c>
      <c r="I33" s="736">
        <f>219000</f>
        <v>219000</v>
      </c>
      <c r="J33" s="736">
        <f>219000</f>
        <v>219000</v>
      </c>
      <c r="K33" s="736">
        <f>219000</f>
        <v>219000</v>
      </c>
      <c r="L33" s="736">
        <f>219000</f>
        <v>219000</v>
      </c>
      <c r="M33" s="736">
        <f>219000</f>
        <v>219000</v>
      </c>
      <c r="N33" s="736">
        <v>947000</v>
      </c>
      <c r="O33" s="735">
        <f>SUM(C33:N33)</f>
        <v>3361000</v>
      </c>
    </row>
    <row r="34" spans="1:15" ht="15.75">
      <c r="A34" s="218" t="s">
        <v>290</v>
      </c>
      <c r="B34" s="220" t="s">
        <v>371</v>
      </c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5"/>
    </row>
    <row r="35" spans="1:15" ht="15.75">
      <c r="A35" s="218"/>
      <c r="B35" s="220" t="s">
        <v>372</v>
      </c>
      <c r="C35" s="736"/>
      <c r="D35" s="736"/>
      <c r="E35" s="736"/>
      <c r="F35" s="736"/>
      <c r="G35" s="736"/>
      <c r="H35" s="736"/>
      <c r="I35" s="736">
        <v>884145</v>
      </c>
      <c r="J35" s="736"/>
      <c r="K35" s="736"/>
      <c r="L35" s="736"/>
      <c r="M35" s="736"/>
      <c r="N35" s="736"/>
      <c r="O35" s="735">
        <f>SUM(C35:N35)</f>
        <v>884145</v>
      </c>
    </row>
    <row r="36" spans="1:16" ht="15.75">
      <c r="A36" s="218"/>
      <c r="B36" s="220" t="s">
        <v>373</v>
      </c>
      <c r="C36" s="736">
        <v>50000</v>
      </c>
      <c r="D36" s="736"/>
      <c r="E36" s="736"/>
      <c r="F36" s="736">
        <v>112000</v>
      </c>
      <c r="G36" s="736">
        <v>200000</v>
      </c>
      <c r="H36" s="736">
        <v>675000</v>
      </c>
      <c r="I36" s="736"/>
      <c r="J36" s="736">
        <v>25000</v>
      </c>
      <c r="K36" s="736"/>
      <c r="L36" s="736">
        <v>65000</v>
      </c>
      <c r="M36" s="736"/>
      <c r="N36" s="736"/>
      <c r="O36" s="735">
        <f>SUM(C36:N36)</f>
        <v>1127000</v>
      </c>
      <c r="P36" s="230"/>
    </row>
    <row r="37" spans="1:15" ht="15.75">
      <c r="A37" s="218" t="s">
        <v>292</v>
      </c>
      <c r="B37" s="220" t="s">
        <v>215</v>
      </c>
      <c r="C37" s="736"/>
      <c r="D37" s="736"/>
      <c r="E37" s="736">
        <v>2000000</v>
      </c>
      <c r="F37" s="736">
        <v>450000</v>
      </c>
      <c r="G37" s="736">
        <v>225000</v>
      </c>
      <c r="H37" s="736"/>
      <c r="I37" s="736"/>
      <c r="J37" s="736"/>
      <c r="K37" s="736">
        <v>173000</v>
      </c>
      <c r="L37" s="736"/>
      <c r="M37" s="736"/>
      <c r="N37" s="736"/>
      <c r="O37" s="735">
        <f>SUM(C37:N37)</f>
        <v>2848000</v>
      </c>
    </row>
    <row r="38" spans="1:15" ht="15.75">
      <c r="A38" s="218" t="s">
        <v>299</v>
      </c>
      <c r="B38" s="220" t="s">
        <v>84</v>
      </c>
      <c r="C38" s="736"/>
      <c r="D38" s="736"/>
      <c r="E38" s="736"/>
      <c r="F38" s="736">
        <v>4590000</v>
      </c>
      <c r="G38" s="736"/>
      <c r="H38" s="736">
        <v>10260000</v>
      </c>
      <c r="I38" s="736"/>
      <c r="J38" s="736"/>
      <c r="K38" s="736"/>
      <c r="L38" s="736">
        <v>8355000</v>
      </c>
      <c r="M38" s="736"/>
      <c r="N38" s="736"/>
      <c r="O38" s="735">
        <f>SUM(C38:N38)</f>
        <v>23205000</v>
      </c>
    </row>
    <row r="39" spans="1:15" ht="20.25" customHeight="1">
      <c r="A39" s="218" t="s">
        <v>302</v>
      </c>
      <c r="B39" s="220" t="s">
        <v>293</v>
      </c>
      <c r="C39" s="736"/>
      <c r="D39" s="736"/>
      <c r="E39" s="736"/>
      <c r="F39" s="736"/>
      <c r="G39" s="736"/>
      <c r="H39" s="736"/>
      <c r="I39" s="736"/>
      <c r="J39" s="736"/>
      <c r="K39" s="736"/>
      <c r="L39" s="736"/>
      <c r="M39" s="736"/>
      <c r="N39" s="736"/>
      <c r="O39" s="735">
        <f>SUM(C39:N39)</f>
        <v>0</v>
      </c>
    </row>
    <row r="40" spans="1:15" ht="20.25" customHeight="1">
      <c r="A40" s="218"/>
      <c r="B40" s="220" t="s">
        <v>372</v>
      </c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5">
        <f>SUM(C40:N40)</f>
        <v>0</v>
      </c>
    </row>
    <row r="41" spans="1:15" ht="15.75">
      <c r="A41" s="218"/>
      <c r="B41" s="220" t="s">
        <v>373</v>
      </c>
      <c r="C41" s="736"/>
      <c r="D41" s="736"/>
      <c r="E41" s="736"/>
      <c r="F41" s="736"/>
      <c r="G41" s="736"/>
      <c r="H41" s="736"/>
      <c r="I41" s="736"/>
      <c r="J41" s="736">
        <v>600000</v>
      </c>
      <c r="K41" s="736"/>
      <c r="L41" s="736"/>
      <c r="M41" s="736"/>
      <c r="N41" s="736"/>
      <c r="O41" s="735">
        <f>SUM(C41:N41)</f>
        <v>600000</v>
      </c>
    </row>
    <row r="42" spans="1:15" ht="15.75">
      <c r="A42" s="218" t="s">
        <v>304</v>
      </c>
      <c r="B42" s="220" t="s">
        <v>208</v>
      </c>
      <c r="C42" s="736"/>
      <c r="D42" s="736"/>
      <c r="E42" s="736"/>
      <c r="F42" s="736"/>
      <c r="G42" s="736"/>
      <c r="H42" s="736"/>
      <c r="I42" s="736"/>
      <c r="J42" s="736"/>
      <c r="K42" s="736"/>
      <c r="L42" s="736"/>
      <c r="M42" s="736"/>
      <c r="N42" s="736"/>
      <c r="O42" s="735">
        <f>SUM(C42:N42)</f>
        <v>0</v>
      </c>
    </row>
    <row r="43" spans="1:15" ht="15.75">
      <c r="A43" s="218"/>
      <c r="B43" s="316" t="s">
        <v>504</v>
      </c>
      <c r="C43" s="736">
        <v>1139077</v>
      </c>
      <c r="D43" s="736"/>
      <c r="E43" s="736"/>
      <c r="F43" s="736"/>
      <c r="G43" s="736">
        <v>179682</v>
      </c>
      <c r="H43" s="736"/>
      <c r="I43" s="736"/>
      <c r="J43" s="736"/>
      <c r="K43" s="736"/>
      <c r="L43" s="736"/>
      <c r="M43" s="736"/>
      <c r="N43" s="736"/>
      <c r="O43" s="735">
        <f>SUM(C43:N43)</f>
        <v>1318759</v>
      </c>
    </row>
    <row r="44" spans="1:15" ht="15.75">
      <c r="A44" s="218"/>
      <c r="B44" s="220" t="s">
        <v>374</v>
      </c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5">
        <f>SUM(C44:N44)</f>
        <v>0</v>
      </c>
    </row>
    <row r="45" spans="1:15" ht="15.75">
      <c r="A45" s="218"/>
      <c r="B45" s="220" t="s">
        <v>375</v>
      </c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5">
        <f>SUM(C45:N45)</f>
        <v>0</v>
      </c>
    </row>
    <row r="46" spans="1:16" ht="15.75">
      <c r="A46" s="218" t="s">
        <v>376</v>
      </c>
      <c r="B46" s="220" t="s">
        <v>377</v>
      </c>
      <c r="C46" s="736"/>
      <c r="D46" s="736"/>
      <c r="E46" s="736"/>
      <c r="F46" s="736"/>
      <c r="G46" s="736">
        <v>40789124</v>
      </c>
      <c r="H46" s="736"/>
      <c r="I46" s="736"/>
      <c r="J46" s="736"/>
      <c r="K46" s="736"/>
      <c r="L46" s="736"/>
      <c r="M46" s="736"/>
      <c r="N46" s="736"/>
      <c r="O46" s="735">
        <f>SUM(C46:N46)</f>
        <v>40789124</v>
      </c>
      <c r="P46" s="230"/>
    </row>
    <row r="47" spans="1:15" ht="16.5" thickBot="1">
      <c r="A47" s="221" t="s">
        <v>378</v>
      </c>
      <c r="B47" s="222" t="s">
        <v>379</v>
      </c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5">
        <f>SUM(C47:N47)</f>
        <v>0</v>
      </c>
    </row>
    <row r="48" spans="1:19" s="19" customFormat="1" ht="24" customHeight="1" thickBot="1">
      <c r="A48" s="223"/>
      <c r="B48" s="223" t="s">
        <v>380</v>
      </c>
      <c r="C48" s="734">
        <f>SUM(C30:C47)</f>
        <v>4734077</v>
      </c>
      <c r="D48" s="734">
        <f>SUM(D30:D47)</f>
        <v>3540000</v>
      </c>
      <c r="E48" s="734">
        <f>SUM(E30:E47)</f>
        <v>5937872</v>
      </c>
      <c r="F48" s="734">
        <f>SUM(F30:F47)</f>
        <v>9724998</v>
      </c>
      <c r="G48" s="734">
        <f>SUM(G30:G47)</f>
        <v>46054270</v>
      </c>
      <c r="H48" s="734">
        <f>SUM(H30:H47)</f>
        <v>14613941</v>
      </c>
      <c r="I48" s="734">
        <f>SUM(I30:I47)</f>
        <v>4434145</v>
      </c>
      <c r="J48" s="734">
        <f>SUM(J30:J47)</f>
        <v>4049000</v>
      </c>
      <c r="K48" s="734">
        <f>SUM(K30:K47)</f>
        <v>4290000</v>
      </c>
      <c r="L48" s="734">
        <f>SUM(L30:L47)</f>
        <v>12329000</v>
      </c>
      <c r="M48" s="734">
        <f>SUM(M30:M47)</f>
        <v>4008000</v>
      </c>
      <c r="N48" s="734">
        <f>SUM(N30:N47)</f>
        <v>4901000</v>
      </c>
      <c r="O48" s="733">
        <f>SUM(O30:O47)</f>
        <v>118616303</v>
      </c>
      <c r="S48" s="226"/>
    </row>
    <row r="49" spans="1:15" ht="26.25" customHeight="1" thickBot="1">
      <c r="A49" s="227"/>
      <c r="B49" s="228" t="s">
        <v>381</v>
      </c>
      <c r="C49" s="732">
        <f>C28-C48</f>
        <v>975000</v>
      </c>
      <c r="D49" s="732">
        <f>D28-D48</f>
        <v>2941000</v>
      </c>
      <c r="E49" s="732">
        <f>E28-E48</f>
        <v>4410128</v>
      </c>
      <c r="F49" s="732">
        <f>F28-F48</f>
        <v>3933341</v>
      </c>
      <c r="G49" s="732">
        <f>G28-G48</f>
        <v>3867086</v>
      </c>
      <c r="H49" s="732">
        <f>H28-H48</f>
        <v>2723145</v>
      </c>
      <c r="I49" s="732">
        <f>I28-I48</f>
        <v>1372000</v>
      </c>
      <c r="J49" s="732">
        <f>J28-J48</f>
        <v>954000</v>
      </c>
      <c r="K49" s="732">
        <f>K28-K48</f>
        <v>2111000</v>
      </c>
      <c r="L49" s="732">
        <f>L28-L48</f>
        <v>1104000</v>
      </c>
      <c r="M49" s="732">
        <f>M28-M48</f>
        <v>1291000</v>
      </c>
      <c r="N49" s="732">
        <f>N28-N48</f>
        <v>0</v>
      </c>
      <c r="O49" s="731"/>
    </row>
    <row r="51" spans="3:15" ht="15.75">
      <c r="C51" s="730"/>
      <c r="D51" s="730"/>
      <c r="E51" s="730"/>
      <c r="F51" s="730"/>
      <c r="G51" s="730"/>
      <c r="H51" s="730"/>
      <c r="I51" s="730"/>
      <c r="J51" s="730"/>
      <c r="K51" s="730"/>
      <c r="L51" s="730"/>
      <c r="M51" s="730"/>
      <c r="N51" s="730"/>
      <c r="O51" s="730"/>
    </row>
    <row r="52" ht="15.75">
      <c r="O52" s="730"/>
    </row>
    <row r="53" ht="15.75">
      <c r="O53" s="730"/>
    </row>
    <row r="54" ht="15.75">
      <c r="O54" s="730"/>
    </row>
    <row r="55" ht="15.75">
      <c r="O55" s="730"/>
    </row>
  </sheetData>
  <sheetProtection/>
  <mergeCells count="5">
    <mergeCell ref="B8:O8"/>
    <mergeCell ref="B5:O5"/>
    <mergeCell ref="B6:O6"/>
    <mergeCell ref="B7:O7"/>
    <mergeCell ref="A4:O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6" customWidth="1"/>
    <col min="2" max="2" width="56.25390625" style="26" customWidth="1"/>
    <col min="3" max="3" width="17.875" style="26" customWidth="1"/>
    <col min="4" max="4" width="4.875" style="26" customWidth="1"/>
    <col min="5" max="16384" width="9.125" style="26" customWidth="1"/>
  </cols>
  <sheetData>
    <row r="1" spans="1:5" ht="15.75">
      <c r="A1" s="104" t="s">
        <v>530</v>
      </c>
      <c r="B1" s="104"/>
      <c r="C1" s="104"/>
      <c r="D1" s="104"/>
      <c r="E1" s="25"/>
    </row>
    <row r="2" spans="1:5" ht="15.75">
      <c r="A2" s="27"/>
      <c r="B2" s="27"/>
      <c r="C2" s="27"/>
      <c r="D2" s="28"/>
      <c r="E2" s="25"/>
    </row>
    <row r="3" spans="1:5" ht="12.75" customHeight="1">
      <c r="A3" s="28"/>
      <c r="B3" s="28"/>
      <c r="C3" s="28"/>
      <c r="D3" s="28"/>
      <c r="E3" s="25"/>
    </row>
    <row r="4" spans="1:5" ht="15.75">
      <c r="A4" s="438" t="s">
        <v>4</v>
      </c>
      <c r="B4" s="438"/>
      <c r="C4" s="438"/>
      <c r="D4" s="438"/>
      <c r="E4" s="25"/>
    </row>
    <row r="5" spans="1:5" ht="15.75">
      <c r="A5" s="438" t="s">
        <v>24</v>
      </c>
      <c r="B5" s="438"/>
      <c r="C5" s="438"/>
      <c r="D5" s="438"/>
      <c r="E5" s="25"/>
    </row>
    <row r="6" spans="1:5" ht="15.75">
      <c r="A6" s="438" t="s">
        <v>503</v>
      </c>
      <c r="B6" s="438"/>
      <c r="C6" s="438"/>
      <c r="D6" s="438"/>
      <c r="E6" s="25"/>
    </row>
    <row r="7" spans="1:5" ht="15.75">
      <c r="A7" s="27"/>
      <c r="B7" s="27"/>
      <c r="C7" s="27"/>
      <c r="D7" s="25"/>
      <c r="E7" s="25"/>
    </row>
    <row r="8" spans="1:5" ht="15.75">
      <c r="A8" s="27"/>
      <c r="B8" s="27"/>
      <c r="C8" s="27"/>
      <c r="D8" s="25"/>
      <c r="E8" s="25"/>
    </row>
    <row r="9" spans="1:5" ht="15.75">
      <c r="A9" s="27"/>
      <c r="B9" s="27"/>
      <c r="C9" s="27"/>
      <c r="D9" s="25"/>
      <c r="E9" s="25"/>
    </row>
    <row r="10" spans="1:5" ht="15.75">
      <c r="A10" s="27"/>
      <c r="B10" s="27"/>
      <c r="C10" s="27"/>
      <c r="D10" s="25"/>
      <c r="E10" s="25"/>
    </row>
    <row r="11" spans="1:5" ht="15.75">
      <c r="A11" s="27"/>
      <c r="B11" s="29" t="s">
        <v>12</v>
      </c>
      <c r="C11" s="27"/>
      <c r="D11" s="25"/>
      <c r="E11" s="25"/>
    </row>
    <row r="12" spans="1:5" ht="10.5" customHeight="1">
      <c r="A12" s="27"/>
      <c r="B12" s="29"/>
      <c r="C12" s="27"/>
      <c r="D12" s="25"/>
      <c r="E12" s="25"/>
    </row>
    <row r="13" spans="1:5" ht="12" customHeight="1">
      <c r="A13" s="27"/>
      <c r="B13" s="29"/>
      <c r="C13" s="30"/>
      <c r="D13" s="25"/>
      <c r="E13" s="25"/>
    </row>
    <row r="14" spans="1:3" s="34" customFormat="1" ht="15">
      <c r="A14" s="31"/>
      <c r="B14" s="32" t="s">
        <v>13</v>
      </c>
      <c r="C14" s="33"/>
    </row>
    <row r="15" spans="1:5" ht="19.5" customHeight="1">
      <c r="A15" s="35"/>
      <c r="B15" s="25" t="s">
        <v>14</v>
      </c>
      <c r="C15" s="36">
        <v>1845000</v>
      </c>
      <c r="D15" s="25" t="s">
        <v>1</v>
      </c>
      <c r="E15" s="25"/>
    </row>
    <row r="16" spans="1:5" ht="19.5" customHeight="1">
      <c r="A16" s="25"/>
      <c r="B16" s="28" t="s">
        <v>15</v>
      </c>
      <c r="C16" s="37">
        <f>SUM(C15)</f>
        <v>1845000</v>
      </c>
      <c r="D16" s="28" t="s">
        <v>1</v>
      </c>
      <c r="E16" s="25"/>
    </row>
    <row r="17" spans="1:5" ht="19.5" customHeight="1">
      <c r="A17" s="25"/>
      <c r="B17" s="28"/>
      <c r="C17" s="37"/>
      <c r="D17" s="28"/>
      <c r="E17" s="25"/>
    </row>
    <row r="18" spans="1:5" ht="19.5" customHeight="1">
      <c r="A18" s="25"/>
      <c r="B18" s="28"/>
      <c r="C18" s="37"/>
      <c r="D18" s="28"/>
      <c r="E18" s="25"/>
    </row>
    <row r="19" spans="1:5" ht="10.5" customHeight="1">
      <c r="A19" s="25"/>
      <c r="B19" s="28"/>
      <c r="C19" s="37"/>
      <c r="D19" s="28"/>
      <c r="E19" s="25"/>
    </row>
    <row r="20" spans="1:5" ht="15.75">
      <c r="A20" s="25"/>
      <c r="B20" s="91"/>
      <c r="C20" s="25"/>
      <c r="D20" s="25"/>
      <c r="E20" s="25"/>
    </row>
    <row r="21" spans="1:5" ht="15.75">
      <c r="A21" s="25"/>
      <c r="B21" s="25"/>
      <c r="C21" s="25"/>
      <c r="D21" s="25"/>
      <c r="E21" s="25"/>
    </row>
    <row r="22" spans="1:5" ht="15.75">
      <c r="A22" s="25"/>
      <c r="B22" s="25"/>
      <c r="C22" s="25"/>
      <c r="D22" s="25"/>
      <c r="E22" s="25"/>
    </row>
    <row r="23" spans="1:5" ht="15.75">
      <c r="A23" s="25"/>
      <c r="B23" s="25"/>
      <c r="C23" s="25"/>
      <c r="D23" s="25"/>
      <c r="E23" s="25"/>
    </row>
    <row r="24" spans="1:5" ht="15.75">
      <c r="A24" s="25"/>
      <c r="B24" s="25"/>
      <c r="C24" s="25"/>
      <c r="D24" s="25"/>
      <c r="E24" s="25"/>
    </row>
    <row r="25" spans="1:5" ht="15.75">
      <c r="A25" s="25"/>
      <c r="B25" s="25"/>
      <c r="C25" s="25"/>
      <c r="D25" s="25"/>
      <c r="E25" s="25"/>
    </row>
    <row r="26" spans="1:5" ht="15.75">
      <c r="A26" s="25"/>
      <c r="B26" s="25"/>
      <c r="C26" s="25"/>
      <c r="D26" s="25"/>
      <c r="E26" s="25"/>
    </row>
    <row r="27" spans="1:5" ht="15.75">
      <c r="A27" s="25"/>
      <c r="B27" s="25"/>
      <c r="C27" s="25"/>
      <c r="D27" s="25"/>
      <c r="E27" s="25"/>
    </row>
    <row r="28" spans="1:5" ht="15.75">
      <c r="A28" s="25"/>
      <c r="B28" s="25"/>
      <c r="C28" s="25"/>
      <c r="D28" s="25"/>
      <c r="E28" s="25"/>
    </row>
  </sheetData>
  <sheetProtection/>
  <mergeCells count="3">
    <mergeCell ref="A6:D6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6" width="11.875" style="1" customWidth="1"/>
    <col min="7" max="7" width="12.375" style="1" customWidth="1"/>
    <col min="8" max="16384" width="9.125" style="1" customWidth="1"/>
  </cols>
  <sheetData>
    <row r="1" spans="1:7" ht="15.75">
      <c r="A1" s="104" t="s">
        <v>531</v>
      </c>
      <c r="C1" s="374"/>
      <c r="D1" s="374"/>
      <c r="E1" s="374"/>
      <c r="F1" s="374"/>
      <c r="G1" s="374"/>
    </row>
    <row r="3" spans="1:7" ht="12.75">
      <c r="A3" s="335"/>
      <c r="B3" s="335"/>
      <c r="C3" s="335"/>
      <c r="D3" s="335"/>
      <c r="E3" s="335"/>
      <c r="F3" s="335"/>
      <c r="G3" s="335"/>
    </row>
    <row r="4" spans="1:8" ht="14.25">
      <c r="A4" s="443"/>
      <c r="B4" s="443"/>
      <c r="C4" s="443"/>
      <c r="D4" s="443"/>
      <c r="E4" s="443"/>
      <c r="F4" s="443"/>
      <c r="G4" s="443"/>
      <c r="H4" s="69"/>
    </row>
    <row r="5" spans="1:8" ht="14.25">
      <c r="A5" s="443" t="s">
        <v>313</v>
      </c>
      <c r="B5" s="443"/>
      <c r="C5" s="443"/>
      <c r="D5" s="443"/>
      <c r="E5" s="443"/>
      <c r="F5" s="443"/>
      <c r="G5" s="443"/>
      <c r="H5" s="69"/>
    </row>
    <row r="6" spans="1:8" s="5" customFormat="1" ht="15.75">
      <c r="A6" s="346" t="s">
        <v>314</v>
      </c>
      <c r="B6" s="346"/>
      <c r="C6" s="346"/>
      <c r="D6" s="346"/>
      <c r="E6" s="346"/>
      <c r="F6" s="346"/>
      <c r="G6" s="346"/>
      <c r="H6" s="59"/>
    </row>
    <row r="7" spans="1:8" s="5" customFormat="1" ht="15.75">
      <c r="A7" s="346" t="s">
        <v>505</v>
      </c>
      <c r="B7" s="346"/>
      <c r="C7" s="346"/>
      <c r="D7" s="346"/>
      <c r="E7" s="346"/>
      <c r="F7" s="346"/>
      <c r="G7" s="346"/>
      <c r="H7" s="59"/>
    </row>
    <row r="8" spans="1:7" s="5" customFormat="1" ht="13.5" thickBot="1">
      <c r="A8" s="70"/>
      <c r="B8" s="70"/>
      <c r="C8" s="70"/>
      <c r="D8" s="70"/>
      <c r="E8" s="70"/>
      <c r="G8" s="71" t="s">
        <v>5</v>
      </c>
    </row>
    <row r="9" spans="1:7" s="74" customFormat="1" ht="22.5" customHeight="1" thickTop="1">
      <c r="A9" s="72" t="s">
        <v>47</v>
      </c>
      <c r="B9" s="73"/>
      <c r="C9" s="444" t="s">
        <v>68</v>
      </c>
      <c r="D9" s="444" t="s">
        <v>69</v>
      </c>
      <c r="E9" s="444" t="s">
        <v>70</v>
      </c>
      <c r="F9" s="444" t="s">
        <v>71</v>
      </c>
      <c r="G9" s="451" t="s">
        <v>72</v>
      </c>
    </row>
    <row r="10" spans="1:7" s="74" customFormat="1" ht="12.75">
      <c r="A10" s="75"/>
      <c r="B10" s="76" t="s">
        <v>73</v>
      </c>
      <c r="C10" s="445"/>
      <c r="D10" s="445"/>
      <c r="E10" s="445"/>
      <c r="F10" s="445"/>
      <c r="G10" s="452"/>
    </row>
    <row r="11" spans="1:7" s="74" customFormat="1" ht="13.5" thickBot="1">
      <c r="A11" s="77" t="s">
        <v>48</v>
      </c>
      <c r="B11" s="78"/>
      <c r="C11" s="446"/>
      <c r="D11" s="446"/>
      <c r="E11" s="446"/>
      <c r="F11" s="446"/>
      <c r="G11" s="453"/>
    </row>
    <row r="12" spans="1:7" s="74" customFormat="1" ht="12.75">
      <c r="A12" s="439" t="s">
        <v>49</v>
      </c>
      <c r="B12" s="441" t="s">
        <v>74</v>
      </c>
      <c r="C12" s="447">
        <v>1887</v>
      </c>
      <c r="D12" s="447">
        <v>1887</v>
      </c>
      <c r="E12" s="447">
        <v>1887</v>
      </c>
      <c r="F12" s="447">
        <v>1887</v>
      </c>
      <c r="G12" s="449">
        <f>SUM(C12:F17)</f>
        <v>7548</v>
      </c>
    </row>
    <row r="13" spans="1:7" s="74" customFormat="1" ht="15" customHeight="1">
      <c r="A13" s="440"/>
      <c r="B13" s="442"/>
      <c r="C13" s="448"/>
      <c r="D13" s="448"/>
      <c r="E13" s="448"/>
      <c r="F13" s="448"/>
      <c r="G13" s="450"/>
    </row>
    <row r="14" spans="1:7" s="74" customFormat="1" ht="15" customHeight="1">
      <c r="A14" s="440"/>
      <c r="B14" s="79" t="s">
        <v>75</v>
      </c>
      <c r="C14" s="448"/>
      <c r="D14" s="448"/>
      <c r="E14" s="448"/>
      <c r="F14" s="448"/>
      <c r="G14" s="450"/>
    </row>
    <row r="15" spans="1:7" s="74" customFormat="1" ht="25.5">
      <c r="A15" s="440"/>
      <c r="B15" s="79" t="s">
        <v>315</v>
      </c>
      <c r="C15" s="448"/>
      <c r="D15" s="448"/>
      <c r="E15" s="448"/>
      <c r="F15" s="448"/>
      <c r="G15" s="450"/>
    </row>
    <row r="16" spans="1:7" s="74" customFormat="1" ht="12.75">
      <c r="A16" s="440"/>
      <c r="B16" s="80" t="s">
        <v>76</v>
      </c>
      <c r="C16" s="448"/>
      <c r="D16" s="448"/>
      <c r="E16" s="448"/>
      <c r="F16" s="448"/>
      <c r="G16" s="450"/>
    </row>
    <row r="17" spans="1:7" s="74" customFormat="1" ht="13.5" thickBot="1">
      <c r="A17" s="440"/>
      <c r="B17" s="81" t="s">
        <v>77</v>
      </c>
      <c r="C17" s="448"/>
      <c r="D17" s="448"/>
      <c r="E17" s="448"/>
      <c r="F17" s="448"/>
      <c r="G17" s="450"/>
    </row>
    <row r="18" spans="1:8" s="87" customFormat="1" ht="40.5" customHeight="1" thickBot="1" thickTop="1">
      <c r="A18" s="82"/>
      <c r="B18" s="83" t="s">
        <v>78</v>
      </c>
      <c r="C18" s="84">
        <f>SUM(C12:C17)</f>
        <v>1887</v>
      </c>
      <c r="D18" s="84">
        <f>SUM(D12:D17)</f>
        <v>1887</v>
      </c>
      <c r="E18" s="84">
        <f>SUM(E12:E17)</f>
        <v>1887</v>
      </c>
      <c r="F18" s="84">
        <f>SUM(F12:F17)</f>
        <v>1887</v>
      </c>
      <c r="G18" s="85">
        <f>SUM(G12:G17)</f>
        <v>7548</v>
      </c>
      <c r="H18" s="86"/>
    </row>
    <row r="19" spans="1:6" s="87" customFormat="1" ht="27" customHeight="1">
      <c r="A19" s="88"/>
      <c r="B19" s="89"/>
      <c r="C19" s="90"/>
      <c r="D19" s="90"/>
      <c r="E19" s="90"/>
      <c r="F19" s="90"/>
    </row>
  </sheetData>
  <sheetProtection/>
  <mergeCells count="18">
    <mergeCell ref="C1:G1"/>
    <mergeCell ref="F12:F17"/>
    <mergeCell ref="G12:G17"/>
    <mergeCell ref="G9:G11"/>
    <mergeCell ref="C12:C17"/>
    <mergeCell ref="D12:D17"/>
    <mergeCell ref="D9:D11"/>
    <mergeCell ref="E12:E17"/>
    <mergeCell ref="A3:G3"/>
    <mergeCell ref="A4:G4"/>
    <mergeCell ref="A12:A17"/>
    <mergeCell ref="B12:B13"/>
    <mergeCell ref="A6:G6"/>
    <mergeCell ref="A7:G7"/>
    <mergeCell ref="A5:G5"/>
    <mergeCell ref="C9:C11"/>
    <mergeCell ref="F9:F11"/>
    <mergeCell ref="E9:E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2:M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51" customWidth="1"/>
    <col min="2" max="2" width="37.375" style="51" customWidth="1"/>
    <col min="3" max="3" width="9.625" style="51" customWidth="1"/>
    <col min="4" max="12" width="15.75390625" style="51" customWidth="1"/>
    <col min="13" max="13" width="13.625" style="51" bestFit="1" customWidth="1"/>
    <col min="14" max="16384" width="9.125" style="51" customWidth="1"/>
  </cols>
  <sheetData>
    <row r="2" spans="1:12" ht="15.75">
      <c r="A2" s="234" t="s">
        <v>532</v>
      </c>
      <c r="K2" s="484"/>
      <c r="L2" s="484"/>
    </row>
    <row r="3" spans="1:12" ht="15.7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2:12" ht="15.75"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5.7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5.75">
      <c r="A6" s="334" t="s">
        <v>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2" ht="15.75">
      <c r="A7" s="334" t="s">
        <v>390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2" ht="15.75">
      <c r="A8" s="334" t="s">
        <v>400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</row>
    <row r="9" spans="1:12" ht="15.75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5.75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</row>
    <row r="11" ht="16.5" thickBot="1">
      <c r="L11" s="235" t="s">
        <v>5</v>
      </c>
    </row>
    <row r="12" spans="1:12" ht="32.25" customHeight="1" thickTop="1">
      <c r="A12" s="485" t="s">
        <v>391</v>
      </c>
      <c r="B12" s="488" t="s">
        <v>392</v>
      </c>
      <c r="C12" s="488" t="s">
        <v>393</v>
      </c>
      <c r="D12" s="491" t="s">
        <v>394</v>
      </c>
      <c r="E12" s="492"/>
      <c r="F12" s="491" t="s">
        <v>395</v>
      </c>
      <c r="G12" s="492"/>
      <c r="H12" s="491" t="s">
        <v>72</v>
      </c>
      <c r="I12" s="492"/>
      <c r="J12" s="499" t="s">
        <v>396</v>
      </c>
      <c r="K12" s="500"/>
      <c r="L12" s="501"/>
    </row>
    <row r="13" spans="1:12" ht="16.5" thickBot="1">
      <c r="A13" s="486"/>
      <c r="B13" s="486"/>
      <c r="C13" s="486"/>
      <c r="D13" s="493"/>
      <c r="E13" s="494"/>
      <c r="F13" s="493"/>
      <c r="G13" s="494"/>
      <c r="H13" s="493"/>
      <c r="I13" s="494"/>
      <c r="J13" s="502"/>
      <c r="K13" s="503"/>
      <c r="L13" s="498"/>
    </row>
    <row r="14" spans="1:12" ht="15.75">
      <c r="A14" s="486"/>
      <c r="B14" s="486"/>
      <c r="C14" s="486"/>
      <c r="D14" s="489" t="s">
        <v>401</v>
      </c>
      <c r="E14" s="489" t="s">
        <v>402</v>
      </c>
      <c r="F14" s="489" t="s">
        <v>401</v>
      </c>
      <c r="G14" s="489" t="s">
        <v>402</v>
      </c>
      <c r="H14" s="489" t="s">
        <v>401</v>
      </c>
      <c r="I14" s="489" t="s">
        <v>402</v>
      </c>
      <c r="J14" s="489" t="s">
        <v>397</v>
      </c>
      <c r="K14" s="495" t="s">
        <v>395</v>
      </c>
      <c r="L14" s="497" t="s">
        <v>398</v>
      </c>
    </row>
    <row r="15" spans="1:12" ht="16.5" thickBot="1">
      <c r="A15" s="487"/>
      <c r="B15" s="487"/>
      <c r="C15" s="487"/>
      <c r="D15" s="490"/>
      <c r="E15" s="490"/>
      <c r="F15" s="490"/>
      <c r="G15" s="490"/>
      <c r="H15" s="490"/>
      <c r="I15" s="490"/>
      <c r="J15" s="490"/>
      <c r="K15" s="496"/>
      <c r="L15" s="498"/>
    </row>
    <row r="16" spans="1:13" ht="26.25" customHeight="1">
      <c r="A16" s="470" t="s">
        <v>49</v>
      </c>
      <c r="B16" s="472" t="s">
        <v>405</v>
      </c>
      <c r="C16" s="481"/>
      <c r="D16" s="457">
        <f>12559-9743</f>
        <v>2816</v>
      </c>
      <c r="E16" s="457"/>
      <c r="F16" s="457"/>
      <c r="G16" s="457">
        <v>9743</v>
      </c>
      <c r="H16" s="457">
        <f>D16+F16</f>
        <v>2816</v>
      </c>
      <c r="I16" s="457">
        <f>E16+G16</f>
        <v>9743</v>
      </c>
      <c r="J16" s="478">
        <f>D16+E16</f>
        <v>2816</v>
      </c>
      <c r="K16" s="475">
        <f>F16+G16</f>
        <v>9743</v>
      </c>
      <c r="L16" s="504">
        <f>H16+I16</f>
        <v>12559</v>
      </c>
      <c r="M16" s="230"/>
    </row>
    <row r="17" spans="1:12" ht="26.25" customHeight="1">
      <c r="A17" s="461"/>
      <c r="B17" s="473"/>
      <c r="C17" s="482"/>
      <c r="D17" s="458"/>
      <c r="E17" s="458"/>
      <c r="F17" s="458"/>
      <c r="G17" s="458"/>
      <c r="H17" s="458"/>
      <c r="I17" s="458"/>
      <c r="J17" s="479"/>
      <c r="K17" s="476"/>
      <c r="L17" s="505"/>
    </row>
    <row r="18" spans="1:12" s="236" customFormat="1" ht="26.25" customHeight="1" thickBot="1">
      <c r="A18" s="471"/>
      <c r="B18" s="474"/>
      <c r="C18" s="483"/>
      <c r="D18" s="469"/>
      <c r="E18" s="469"/>
      <c r="F18" s="459"/>
      <c r="G18" s="459"/>
      <c r="H18" s="459"/>
      <c r="I18" s="459"/>
      <c r="J18" s="480"/>
      <c r="K18" s="477"/>
      <c r="L18" s="506"/>
    </row>
    <row r="19" spans="1:12" ht="26.25" customHeight="1" thickTop="1">
      <c r="A19" s="460"/>
      <c r="B19" s="463" t="s">
        <v>399</v>
      </c>
      <c r="C19" s="466"/>
      <c r="D19" s="454">
        <f>D16</f>
        <v>2816</v>
      </c>
      <c r="E19" s="454">
        <f aca="true" t="shared" si="0" ref="E19:L19">E16</f>
        <v>0</v>
      </c>
      <c r="F19" s="454">
        <f t="shared" si="0"/>
        <v>0</v>
      </c>
      <c r="G19" s="454">
        <f t="shared" si="0"/>
        <v>9743</v>
      </c>
      <c r="H19" s="454">
        <f t="shared" si="0"/>
        <v>2816</v>
      </c>
      <c r="I19" s="454">
        <f t="shared" si="0"/>
        <v>9743</v>
      </c>
      <c r="J19" s="454">
        <f t="shared" si="0"/>
        <v>2816</v>
      </c>
      <c r="K19" s="454">
        <f t="shared" si="0"/>
        <v>9743</v>
      </c>
      <c r="L19" s="454">
        <f t="shared" si="0"/>
        <v>12559</v>
      </c>
    </row>
    <row r="20" spans="1:12" ht="26.25" customHeight="1">
      <c r="A20" s="461"/>
      <c r="B20" s="464"/>
      <c r="C20" s="467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236" customFormat="1" ht="26.25" customHeight="1" thickBot="1">
      <c r="A21" s="462"/>
      <c r="B21" s="465"/>
      <c r="C21" s="468"/>
      <c r="D21" s="456"/>
      <c r="E21" s="456"/>
      <c r="F21" s="456"/>
      <c r="G21" s="456"/>
      <c r="H21" s="456"/>
      <c r="I21" s="456"/>
      <c r="J21" s="456"/>
      <c r="K21" s="456"/>
      <c r="L21" s="456"/>
    </row>
    <row r="22" spans="1:12" ht="26.25" customHeight="1" thickTop="1">
      <c r="A22" s="237"/>
      <c r="B22" s="237"/>
      <c r="C22" s="237"/>
      <c r="D22" s="238"/>
      <c r="E22" s="238"/>
      <c r="F22" s="239"/>
      <c r="G22" s="239"/>
      <c r="H22" s="239"/>
      <c r="I22" s="239"/>
      <c r="J22" s="238"/>
      <c r="K22" s="239"/>
      <c r="L22" s="238"/>
    </row>
    <row r="23" spans="1:12" ht="26.25" customHeight="1">
      <c r="A23" s="237"/>
      <c r="B23" s="237"/>
      <c r="C23" s="237"/>
      <c r="D23" s="239"/>
      <c r="E23" s="239"/>
      <c r="F23" s="239"/>
      <c r="G23" s="239"/>
      <c r="H23" s="239"/>
      <c r="I23" s="239"/>
      <c r="J23" s="239"/>
      <c r="K23" s="239"/>
      <c r="L23" s="239"/>
    </row>
    <row r="24" spans="1:12" ht="26.25" customHeight="1">
      <c r="A24" s="237"/>
      <c r="B24" s="237"/>
      <c r="C24" s="237"/>
      <c r="D24" s="238"/>
      <c r="E24" s="238"/>
      <c r="F24" s="238"/>
      <c r="G24" s="238"/>
      <c r="H24" s="239"/>
      <c r="I24" s="239"/>
      <c r="J24" s="238"/>
      <c r="K24" s="238"/>
      <c r="L24" s="238"/>
    </row>
    <row r="25" spans="1:12" ht="26.25" customHeight="1">
      <c r="A25" s="237"/>
      <c r="B25" s="237"/>
      <c r="C25" s="237"/>
      <c r="D25" s="238"/>
      <c r="E25" s="238"/>
      <c r="F25" s="239"/>
      <c r="G25" s="239"/>
      <c r="H25" s="238"/>
      <c r="I25" s="238"/>
      <c r="J25" s="238"/>
      <c r="K25" s="238"/>
      <c r="L25" s="238"/>
    </row>
    <row r="26" spans="1:12" ht="26.25" customHeight="1">
      <c r="A26" s="237"/>
      <c r="B26" s="237"/>
      <c r="C26" s="237"/>
      <c r="D26" s="238"/>
      <c r="E26" s="238"/>
      <c r="F26" s="238"/>
      <c r="G26" s="238"/>
      <c r="H26" s="238"/>
      <c r="I26" s="238"/>
      <c r="J26" s="238"/>
      <c r="K26" s="238"/>
      <c r="L26" s="238"/>
    </row>
    <row r="30" spans="6:7" ht="15.75">
      <c r="F30" s="230"/>
      <c r="G30" s="230"/>
    </row>
  </sheetData>
  <sheetProtection/>
  <mergeCells count="45">
    <mergeCell ref="K14:K15"/>
    <mergeCell ref="L14:L15"/>
    <mergeCell ref="J12:L13"/>
    <mergeCell ref="J14:J15"/>
    <mergeCell ref="I16:I18"/>
    <mergeCell ref="L16:L18"/>
    <mergeCell ref="D14:D15"/>
    <mergeCell ref="E14:E15"/>
    <mergeCell ref="C12:C15"/>
    <mergeCell ref="D12:E13"/>
    <mergeCell ref="F12:G13"/>
    <mergeCell ref="H12:I13"/>
    <mergeCell ref="G14:G15"/>
    <mergeCell ref="H14:H15"/>
    <mergeCell ref="I14:I15"/>
    <mergeCell ref="F14:F15"/>
    <mergeCell ref="F19:F21"/>
    <mergeCell ref="C16:C18"/>
    <mergeCell ref="D16:D18"/>
    <mergeCell ref="K2:L2"/>
    <mergeCell ref="A3:L3"/>
    <mergeCell ref="A6:L6"/>
    <mergeCell ref="A7:L7"/>
    <mergeCell ref="A8:L8"/>
    <mergeCell ref="A12:A15"/>
    <mergeCell ref="B12:B15"/>
    <mergeCell ref="H19:H21"/>
    <mergeCell ref="H16:H18"/>
    <mergeCell ref="K19:K21"/>
    <mergeCell ref="K16:K18"/>
    <mergeCell ref="G19:G21"/>
    <mergeCell ref="G16:G18"/>
    <mergeCell ref="J16:J18"/>
    <mergeCell ref="I19:I21"/>
    <mergeCell ref="J19:J21"/>
    <mergeCell ref="L19:L21"/>
    <mergeCell ref="F16:F18"/>
    <mergeCell ref="A19:A21"/>
    <mergeCell ref="B19:B21"/>
    <mergeCell ref="C19:C21"/>
    <mergeCell ref="D19:D21"/>
    <mergeCell ref="E19:E21"/>
    <mergeCell ref="E16:E18"/>
    <mergeCell ref="A16:A18"/>
    <mergeCell ref="B16:B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9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484"/>
      <c r="L1" s="484"/>
      <c r="M1" s="484"/>
    </row>
    <row r="2" spans="1:13" ht="12.7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5.75">
      <c r="A3" s="146" t="s">
        <v>533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5.75">
      <c r="A4" s="146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s="51" customFormat="1" ht="15.75">
      <c r="A5" s="334" t="s">
        <v>46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1:13" s="51" customFormat="1" ht="15.75">
      <c r="A6" s="334" t="s">
        <v>406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</row>
    <row r="7" spans="1:13" s="51" customFormat="1" ht="15.75">
      <c r="A7" s="334" t="s">
        <v>473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</row>
    <row r="8" spans="1:13" ht="12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1:13" s="51" customFormat="1" ht="15.75">
      <c r="A9" s="242" t="s">
        <v>407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</row>
    <row r="10" spans="1:13" ht="12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1:13" ht="15.75">
      <c r="A11" s="243" t="s">
        <v>408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2" customHeight="1" thickBo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spans="1:13" ht="16.5" thickBot="1">
      <c r="A13" s="542" t="s">
        <v>409</v>
      </c>
      <c r="B13" s="543"/>
      <c r="C13" s="543"/>
      <c r="D13" s="585" t="s">
        <v>410</v>
      </c>
      <c r="E13" s="586"/>
      <c r="F13" s="587"/>
      <c r="G13" s="585" t="s">
        <v>411</v>
      </c>
      <c r="H13" s="586"/>
      <c r="I13" s="587"/>
      <c r="J13" s="585" t="s">
        <v>412</v>
      </c>
      <c r="K13" s="586"/>
      <c r="L13" s="587"/>
      <c r="M13" s="548" t="s">
        <v>413</v>
      </c>
    </row>
    <row r="14" spans="1:13" ht="15.75">
      <c r="A14" s="544"/>
      <c r="B14" s="545"/>
      <c r="C14" s="545"/>
      <c r="D14" s="244" t="s">
        <v>414</v>
      </c>
      <c r="E14" s="245" t="s">
        <v>415</v>
      </c>
      <c r="F14" s="246" t="s">
        <v>416</v>
      </c>
      <c r="G14" s="245" t="s">
        <v>417</v>
      </c>
      <c r="H14" s="245" t="s">
        <v>415</v>
      </c>
      <c r="I14" s="246" t="s">
        <v>418</v>
      </c>
      <c r="J14" s="245" t="s">
        <v>417</v>
      </c>
      <c r="K14" s="246" t="s">
        <v>415</v>
      </c>
      <c r="L14" s="245" t="s">
        <v>418</v>
      </c>
      <c r="M14" s="549"/>
    </row>
    <row r="15" spans="1:13" ht="16.5" thickBot="1">
      <c r="A15" s="544"/>
      <c r="B15" s="545"/>
      <c r="C15" s="545"/>
      <c r="D15" s="247" t="s">
        <v>419</v>
      </c>
      <c r="E15" s="248" t="s">
        <v>420</v>
      </c>
      <c r="F15" s="249" t="s">
        <v>6</v>
      </c>
      <c r="G15" s="250" t="s">
        <v>419</v>
      </c>
      <c r="H15" s="248" t="s">
        <v>420</v>
      </c>
      <c r="I15" s="249" t="s">
        <v>6</v>
      </c>
      <c r="J15" s="250" t="s">
        <v>419</v>
      </c>
      <c r="K15" s="249" t="s">
        <v>420</v>
      </c>
      <c r="L15" s="248" t="s">
        <v>6</v>
      </c>
      <c r="M15" s="550"/>
    </row>
    <row r="16" spans="1:13" ht="7.5" customHeight="1">
      <c r="A16" s="590" t="s">
        <v>421</v>
      </c>
      <c r="B16" s="591"/>
      <c r="C16" s="592"/>
      <c r="D16" s="522"/>
      <c r="E16" s="507"/>
      <c r="F16" s="525"/>
      <c r="G16" s="599" t="s">
        <v>422</v>
      </c>
      <c r="H16" s="602"/>
      <c r="I16" s="588">
        <v>2196</v>
      </c>
      <c r="J16" s="507"/>
      <c r="K16" s="507"/>
      <c r="L16" s="507"/>
      <c r="M16" s="510">
        <v>2196</v>
      </c>
    </row>
    <row r="17" spans="1:13" ht="7.5" customHeight="1">
      <c r="A17" s="593"/>
      <c r="B17" s="594"/>
      <c r="C17" s="595"/>
      <c r="D17" s="581"/>
      <c r="E17" s="511"/>
      <c r="F17" s="551"/>
      <c r="G17" s="600"/>
      <c r="H17" s="603"/>
      <c r="I17" s="511"/>
      <c r="J17" s="511"/>
      <c r="K17" s="511"/>
      <c r="L17" s="511"/>
      <c r="M17" s="511"/>
    </row>
    <row r="18" spans="1:13" ht="15.75" customHeight="1" thickBot="1">
      <c r="A18" s="596"/>
      <c r="B18" s="597"/>
      <c r="C18" s="598"/>
      <c r="D18" s="582"/>
      <c r="E18" s="512"/>
      <c r="F18" s="571"/>
      <c r="G18" s="601"/>
      <c r="H18" s="604"/>
      <c r="I18" s="589"/>
      <c r="J18" s="512"/>
      <c r="K18" s="512"/>
      <c r="L18" s="512"/>
      <c r="M18" s="512"/>
    </row>
    <row r="19" spans="1:13" s="121" customFormat="1" ht="12.75" customHeight="1">
      <c r="A19" s="538" t="s">
        <v>2</v>
      </c>
      <c r="B19" s="562"/>
      <c r="C19" s="539"/>
      <c r="D19" s="565"/>
      <c r="E19" s="565"/>
      <c r="F19" s="569">
        <f>SUM(F16)</f>
        <v>0</v>
      </c>
      <c r="G19" s="565"/>
      <c r="H19" s="565"/>
      <c r="I19" s="565">
        <v>2196</v>
      </c>
      <c r="J19" s="565"/>
      <c r="K19" s="565"/>
      <c r="L19" s="565"/>
      <c r="M19" s="567">
        <f>M16</f>
        <v>2196</v>
      </c>
    </row>
    <row r="20" spans="1:13" s="121" customFormat="1" ht="13.5" customHeight="1" thickBot="1">
      <c r="A20" s="540"/>
      <c r="B20" s="563"/>
      <c r="C20" s="541"/>
      <c r="D20" s="566"/>
      <c r="E20" s="566"/>
      <c r="F20" s="570"/>
      <c r="G20" s="566"/>
      <c r="H20" s="566"/>
      <c r="I20" s="566"/>
      <c r="J20" s="566"/>
      <c r="K20" s="566"/>
      <c r="L20" s="566"/>
      <c r="M20" s="566"/>
    </row>
    <row r="21" spans="1:13" ht="12" customHeight="1">
      <c r="A21" s="241"/>
      <c r="B21" s="241"/>
      <c r="C21" s="241"/>
      <c r="D21" s="241"/>
      <c r="E21" s="241"/>
      <c r="F21" s="251"/>
      <c r="G21" s="241"/>
      <c r="H21" s="241"/>
      <c r="I21" s="241"/>
      <c r="J21" s="241"/>
      <c r="K21" s="241"/>
      <c r="L21" s="241"/>
      <c r="M21" s="241"/>
    </row>
    <row r="22" spans="1:6" s="243" customFormat="1" ht="12" customHeight="1">
      <c r="A22" s="243" t="s">
        <v>423</v>
      </c>
      <c r="F22" s="252"/>
    </row>
    <row r="23" spans="1:13" ht="13.5" customHeight="1">
      <c r="A23" s="253" t="s">
        <v>424</v>
      </c>
      <c r="B23" s="253"/>
      <c r="C23" s="253"/>
      <c r="D23" s="253"/>
      <c r="E23" s="253"/>
      <c r="F23" s="254"/>
      <c r="G23" s="255" t="s">
        <v>6</v>
      </c>
      <c r="H23" s="241"/>
      <c r="I23" s="241"/>
      <c r="J23" s="241"/>
      <c r="K23" s="241"/>
      <c r="L23" s="241"/>
      <c r="M23" s="241"/>
    </row>
    <row r="24" spans="1:13" ht="13.5" customHeight="1">
      <c r="A24" s="253" t="s">
        <v>425</v>
      </c>
      <c r="B24" s="253"/>
      <c r="C24" s="253"/>
      <c r="D24" s="253"/>
      <c r="E24" s="253"/>
      <c r="F24" s="254">
        <v>167</v>
      </c>
      <c r="G24" s="255" t="s">
        <v>6</v>
      </c>
      <c r="H24" s="241"/>
      <c r="I24" s="241"/>
      <c r="J24" s="241"/>
      <c r="K24" s="241"/>
      <c r="L24" s="241"/>
      <c r="M24" s="241"/>
    </row>
    <row r="25" spans="1:13" ht="13.5" customHeight="1">
      <c r="A25" s="253" t="s">
        <v>426</v>
      </c>
      <c r="B25" s="253"/>
      <c r="C25" s="253"/>
      <c r="D25" s="253"/>
      <c r="E25" s="253"/>
      <c r="F25" s="256">
        <v>51</v>
      </c>
      <c r="G25" s="257" t="s">
        <v>6</v>
      </c>
      <c r="H25" s="241"/>
      <c r="I25" s="241"/>
      <c r="J25" s="241"/>
      <c r="K25" s="241"/>
      <c r="L25" s="241"/>
      <c r="M25" s="241"/>
    </row>
    <row r="26" spans="1:13" ht="13.5" customHeight="1">
      <c r="A26" s="253" t="s">
        <v>427</v>
      </c>
      <c r="B26" s="253"/>
      <c r="C26" s="253"/>
      <c r="D26" s="253"/>
      <c r="E26" s="253"/>
      <c r="F26" s="258">
        <f>SUM(F23:F25)</f>
        <v>218</v>
      </c>
      <c r="G26" s="259" t="s">
        <v>6</v>
      </c>
      <c r="H26" s="241"/>
      <c r="I26" s="241"/>
      <c r="J26" s="241"/>
      <c r="K26" s="241"/>
      <c r="L26" s="241"/>
      <c r="M26" s="241"/>
    </row>
    <row r="27" spans="1:13" ht="13.5" customHeight="1">
      <c r="A27" s="253"/>
      <c r="B27" s="253"/>
      <c r="C27" s="253"/>
      <c r="D27" s="253"/>
      <c r="E27" s="253"/>
      <c r="F27" s="258"/>
      <c r="G27" s="259"/>
      <c r="H27" s="241"/>
      <c r="I27" s="241"/>
      <c r="J27" s="241"/>
      <c r="K27" s="241"/>
      <c r="L27" s="241"/>
      <c r="M27" s="241"/>
    </row>
    <row r="28" spans="1:13" ht="15.75">
      <c r="A28" s="243" t="s">
        <v>428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3.5" customHeight="1">
      <c r="A29" s="253"/>
      <c r="B29" s="253"/>
      <c r="C29" s="253"/>
      <c r="D29" s="253"/>
      <c r="E29" s="253"/>
      <c r="F29" s="258"/>
      <c r="G29" s="259"/>
      <c r="H29" s="241"/>
      <c r="I29" s="241"/>
      <c r="J29" s="241"/>
      <c r="K29" s="241"/>
      <c r="L29" s="241"/>
      <c r="M29" s="241"/>
    </row>
    <row r="30" spans="1:13" ht="13.5" customHeight="1" thickBot="1">
      <c r="A30" s="253"/>
      <c r="B30" s="253"/>
      <c r="C30" s="253"/>
      <c r="D30" s="253"/>
      <c r="E30" s="253"/>
      <c r="F30" s="258"/>
      <c r="G30" s="259"/>
      <c r="H30" s="241"/>
      <c r="I30" s="241"/>
      <c r="J30" s="241"/>
      <c r="K30" s="241"/>
      <c r="L30" s="241"/>
      <c r="M30" s="241"/>
    </row>
    <row r="31" spans="1:13" ht="16.5" thickBot="1">
      <c r="A31" s="542" t="s">
        <v>409</v>
      </c>
      <c r="B31" s="543"/>
      <c r="C31" s="543"/>
      <c r="D31" s="585" t="s">
        <v>410</v>
      </c>
      <c r="E31" s="586"/>
      <c r="F31" s="587"/>
      <c r="G31" s="585" t="s">
        <v>411</v>
      </c>
      <c r="H31" s="586"/>
      <c r="I31" s="587"/>
      <c r="J31" s="585" t="s">
        <v>412</v>
      </c>
      <c r="K31" s="586"/>
      <c r="L31" s="587"/>
      <c r="M31" s="548" t="s">
        <v>413</v>
      </c>
    </row>
    <row r="32" spans="1:13" ht="15.75">
      <c r="A32" s="544"/>
      <c r="B32" s="545"/>
      <c r="C32" s="545"/>
      <c r="D32" s="244" t="s">
        <v>414</v>
      </c>
      <c r="E32" s="245" t="s">
        <v>415</v>
      </c>
      <c r="F32" s="246" t="s">
        <v>416</v>
      </c>
      <c r="G32" s="245" t="s">
        <v>417</v>
      </c>
      <c r="H32" s="245" t="s">
        <v>415</v>
      </c>
      <c r="I32" s="246" t="s">
        <v>418</v>
      </c>
      <c r="J32" s="245" t="s">
        <v>417</v>
      </c>
      <c r="K32" s="246" t="s">
        <v>415</v>
      </c>
      <c r="L32" s="245" t="s">
        <v>418</v>
      </c>
      <c r="M32" s="549"/>
    </row>
    <row r="33" spans="1:13" ht="16.5" thickBot="1">
      <c r="A33" s="544"/>
      <c r="B33" s="545"/>
      <c r="C33" s="545"/>
      <c r="D33" s="247" t="s">
        <v>419</v>
      </c>
      <c r="E33" s="248" t="s">
        <v>420</v>
      </c>
      <c r="F33" s="249" t="s">
        <v>6</v>
      </c>
      <c r="G33" s="250" t="s">
        <v>419</v>
      </c>
      <c r="H33" s="248" t="s">
        <v>420</v>
      </c>
      <c r="I33" s="249" t="s">
        <v>6</v>
      </c>
      <c r="J33" s="250" t="s">
        <v>419</v>
      </c>
      <c r="K33" s="249" t="s">
        <v>420</v>
      </c>
      <c r="L33" s="248" t="s">
        <v>6</v>
      </c>
      <c r="M33" s="550"/>
    </row>
    <row r="34" spans="1:13" ht="7.5" customHeight="1">
      <c r="A34" s="572" t="s">
        <v>429</v>
      </c>
      <c r="B34" s="573"/>
      <c r="C34" s="574"/>
      <c r="D34" s="522" t="s">
        <v>430</v>
      </c>
      <c r="E34" s="507"/>
      <c r="F34" s="525">
        <v>6</v>
      </c>
      <c r="G34" s="583"/>
      <c r="H34" s="583"/>
      <c r="I34" s="583"/>
      <c r="J34" s="507"/>
      <c r="K34" s="507"/>
      <c r="L34" s="507"/>
      <c r="M34" s="510">
        <f>L34+I34+F34</f>
        <v>6</v>
      </c>
    </row>
    <row r="35" spans="1:13" ht="7.5" customHeight="1">
      <c r="A35" s="575"/>
      <c r="B35" s="576"/>
      <c r="C35" s="577"/>
      <c r="D35" s="581"/>
      <c r="E35" s="511"/>
      <c r="F35" s="551"/>
      <c r="G35" s="583"/>
      <c r="H35" s="583"/>
      <c r="I35" s="583"/>
      <c r="J35" s="511"/>
      <c r="K35" s="511"/>
      <c r="L35" s="511"/>
      <c r="M35" s="511"/>
    </row>
    <row r="36" spans="1:13" ht="7.5" customHeight="1">
      <c r="A36" s="578"/>
      <c r="B36" s="579"/>
      <c r="C36" s="580"/>
      <c r="D36" s="582"/>
      <c r="E36" s="512"/>
      <c r="F36" s="571"/>
      <c r="G36" s="583"/>
      <c r="H36" s="583"/>
      <c r="I36" s="583"/>
      <c r="J36" s="512"/>
      <c r="K36" s="512"/>
      <c r="L36" s="512"/>
      <c r="M36" s="512"/>
    </row>
    <row r="37" spans="1:13" ht="7.5" customHeight="1">
      <c r="A37" s="513" t="s">
        <v>514</v>
      </c>
      <c r="B37" s="514"/>
      <c r="C37" s="515"/>
      <c r="D37" s="522" t="s">
        <v>515</v>
      </c>
      <c r="E37" s="507"/>
      <c r="F37" s="525">
        <v>45</v>
      </c>
      <c r="G37" s="507"/>
      <c r="H37" s="507"/>
      <c r="I37" s="507"/>
      <c r="J37" s="507"/>
      <c r="K37" s="507"/>
      <c r="L37" s="507"/>
      <c r="M37" s="510">
        <f>L37+I37+F37</f>
        <v>45</v>
      </c>
    </row>
    <row r="38" spans="1:13" ht="7.5" customHeight="1">
      <c r="A38" s="516"/>
      <c r="B38" s="517"/>
      <c r="C38" s="518"/>
      <c r="D38" s="523"/>
      <c r="E38" s="508"/>
      <c r="F38" s="508"/>
      <c r="G38" s="508"/>
      <c r="H38" s="508"/>
      <c r="I38" s="508"/>
      <c r="J38" s="508"/>
      <c r="K38" s="508"/>
      <c r="L38" s="508"/>
      <c r="M38" s="511"/>
    </row>
    <row r="39" spans="1:13" ht="7.5" customHeight="1">
      <c r="A39" s="519"/>
      <c r="B39" s="520"/>
      <c r="C39" s="521"/>
      <c r="D39" s="524"/>
      <c r="E39" s="509"/>
      <c r="F39" s="509"/>
      <c r="G39" s="509"/>
      <c r="H39" s="509"/>
      <c r="I39" s="509"/>
      <c r="J39" s="509"/>
      <c r="K39" s="509"/>
      <c r="L39" s="509"/>
      <c r="M39" s="512"/>
    </row>
    <row r="40" spans="1:13" ht="7.5" customHeight="1">
      <c r="A40" s="572" t="s">
        <v>431</v>
      </c>
      <c r="B40" s="573"/>
      <c r="C40" s="574"/>
      <c r="D40" s="522"/>
      <c r="E40" s="507"/>
      <c r="F40" s="525"/>
      <c r="G40" s="568" t="s">
        <v>432</v>
      </c>
      <c r="H40" s="583">
        <v>50</v>
      </c>
      <c r="I40" s="584">
        <v>167</v>
      </c>
      <c r="J40" s="507"/>
      <c r="K40" s="507"/>
      <c r="L40" s="507"/>
      <c r="M40" s="510">
        <f>L40+I40+F40</f>
        <v>167</v>
      </c>
    </row>
    <row r="41" spans="1:13" ht="7.5" customHeight="1">
      <c r="A41" s="575"/>
      <c r="B41" s="576"/>
      <c r="C41" s="577"/>
      <c r="D41" s="581"/>
      <c r="E41" s="511"/>
      <c r="F41" s="551"/>
      <c r="G41" s="568"/>
      <c r="H41" s="583"/>
      <c r="I41" s="584"/>
      <c r="J41" s="511"/>
      <c r="K41" s="511"/>
      <c r="L41" s="511"/>
      <c r="M41" s="511"/>
    </row>
    <row r="42" spans="1:13" ht="7.5" customHeight="1" thickBot="1">
      <c r="A42" s="578"/>
      <c r="B42" s="579"/>
      <c r="C42" s="580"/>
      <c r="D42" s="582"/>
      <c r="E42" s="512"/>
      <c r="F42" s="571"/>
      <c r="G42" s="568"/>
      <c r="H42" s="583"/>
      <c r="I42" s="584"/>
      <c r="J42" s="512"/>
      <c r="K42" s="512"/>
      <c r="L42" s="512"/>
      <c r="M42" s="512"/>
    </row>
    <row r="43" spans="1:13" s="121" customFormat="1" ht="12.75" customHeight="1">
      <c r="A43" s="538" t="s">
        <v>2</v>
      </c>
      <c r="B43" s="562"/>
      <c r="C43" s="539"/>
      <c r="D43" s="565"/>
      <c r="E43" s="565"/>
      <c r="F43" s="569">
        <f>SUM(F34:F42)</f>
        <v>51</v>
      </c>
      <c r="G43" s="565"/>
      <c r="H43" s="565"/>
      <c r="I43" s="567">
        <f>SUM(I40:I42)</f>
        <v>167</v>
      </c>
      <c r="J43" s="565"/>
      <c r="K43" s="565"/>
      <c r="L43" s="565"/>
      <c r="M43" s="567">
        <f>SUM(M34:M42)</f>
        <v>218</v>
      </c>
    </row>
    <row r="44" spans="1:13" s="121" customFormat="1" ht="13.5" customHeight="1" thickBot="1">
      <c r="A44" s="540"/>
      <c r="B44" s="563"/>
      <c r="C44" s="541"/>
      <c r="D44" s="566"/>
      <c r="E44" s="566"/>
      <c r="F44" s="570"/>
      <c r="G44" s="566"/>
      <c r="H44" s="566"/>
      <c r="I44" s="566"/>
      <c r="J44" s="566"/>
      <c r="K44" s="566"/>
      <c r="L44" s="566"/>
      <c r="M44" s="566"/>
    </row>
    <row r="45" spans="1:13" ht="13.5" customHeight="1">
      <c r="A45" s="253"/>
      <c r="B45" s="253"/>
      <c r="C45" s="253"/>
      <c r="D45" s="253"/>
      <c r="E45" s="253"/>
      <c r="F45" s="258"/>
      <c r="G45" s="259"/>
      <c r="H45" s="241"/>
      <c r="I45" s="241"/>
      <c r="J45" s="241"/>
      <c r="K45" s="241"/>
      <c r="L45" s="241"/>
      <c r="M45" s="241"/>
    </row>
    <row r="46" spans="1:13" ht="13.5" customHeight="1">
      <c r="A46" s="253"/>
      <c r="B46" s="253"/>
      <c r="C46" s="253"/>
      <c r="D46" s="253"/>
      <c r="E46" s="253"/>
      <c r="F46" s="258"/>
      <c r="G46" s="259"/>
      <c r="H46" s="241"/>
      <c r="I46" s="241"/>
      <c r="J46" s="241"/>
      <c r="K46" s="241"/>
      <c r="L46" s="241"/>
      <c r="M46" s="241"/>
    </row>
    <row r="47" spans="1:13" ht="13.5" customHeight="1">
      <c r="A47" s="253"/>
      <c r="B47" s="253"/>
      <c r="C47" s="253"/>
      <c r="D47" s="253"/>
      <c r="E47" s="253"/>
      <c r="F47" s="258"/>
      <c r="G47" s="259"/>
      <c r="H47" s="241"/>
      <c r="I47" s="241"/>
      <c r="J47" s="241"/>
      <c r="K47" s="241"/>
      <c r="L47" s="241"/>
      <c r="M47" s="241"/>
    </row>
    <row r="48" spans="1:13" ht="13.5" customHeight="1">
      <c r="A48" s="253"/>
      <c r="B48" s="253"/>
      <c r="C48" s="253"/>
      <c r="D48" s="253"/>
      <c r="E48" s="253"/>
      <c r="F48" s="258"/>
      <c r="G48" s="259"/>
      <c r="H48" s="241"/>
      <c r="I48" s="241"/>
      <c r="J48" s="241"/>
      <c r="K48" s="241"/>
      <c r="L48" s="241"/>
      <c r="M48" s="241"/>
    </row>
    <row r="49" spans="1:13" ht="13.5" customHeight="1">
      <c r="A49" s="253"/>
      <c r="B49" s="253"/>
      <c r="C49" s="253"/>
      <c r="D49" s="253"/>
      <c r="E49" s="253"/>
      <c r="F49" s="258"/>
      <c r="G49" s="259"/>
      <c r="H49" s="241"/>
      <c r="I49" s="241"/>
      <c r="J49" s="241"/>
      <c r="K49" s="241"/>
      <c r="L49" s="241"/>
      <c r="M49" s="241"/>
    </row>
    <row r="50" spans="1:13" ht="13.5" customHeight="1">
      <c r="A50" s="253"/>
      <c r="B50" s="253"/>
      <c r="C50" s="253"/>
      <c r="D50" s="253"/>
      <c r="E50" s="253"/>
      <c r="F50" s="258"/>
      <c r="G50" s="259"/>
      <c r="H50" s="241"/>
      <c r="I50" s="241"/>
      <c r="J50" s="241"/>
      <c r="K50" s="241"/>
      <c r="L50" s="241"/>
      <c r="M50" s="241"/>
    </row>
    <row r="51" spans="1:13" ht="13.5" customHeight="1">
      <c r="A51" s="253"/>
      <c r="B51" s="253"/>
      <c r="C51" s="253"/>
      <c r="D51" s="253"/>
      <c r="E51" s="253"/>
      <c r="F51" s="258"/>
      <c r="G51" s="259"/>
      <c r="H51" s="241"/>
      <c r="I51" s="241"/>
      <c r="J51" s="241"/>
      <c r="K51" s="241"/>
      <c r="L51" s="241"/>
      <c r="M51" s="241"/>
    </row>
    <row r="52" spans="1:13" ht="13.5" customHeight="1">
      <c r="A52" s="253"/>
      <c r="B52" s="253"/>
      <c r="C52" s="253"/>
      <c r="D52" s="253"/>
      <c r="E52" s="253"/>
      <c r="F52" s="258"/>
      <c r="G52" s="259"/>
      <c r="H52" s="241"/>
      <c r="I52" s="241"/>
      <c r="J52" s="241"/>
      <c r="K52" s="241"/>
      <c r="L52" s="241"/>
      <c r="M52" s="241"/>
    </row>
    <row r="53" spans="1:13" ht="13.5" customHeight="1">
      <c r="A53" s="253"/>
      <c r="B53" s="253"/>
      <c r="C53" s="253"/>
      <c r="D53" s="253"/>
      <c r="E53" s="253"/>
      <c r="F53" s="258"/>
      <c r="G53" s="259"/>
      <c r="H53" s="241"/>
      <c r="I53" s="241"/>
      <c r="J53" s="241"/>
      <c r="K53" s="241"/>
      <c r="L53" s="241"/>
      <c r="M53" s="241"/>
    </row>
    <row r="54" spans="1:13" ht="13.5" customHeight="1">
      <c r="A54" s="253"/>
      <c r="B54" s="253"/>
      <c r="C54" s="253"/>
      <c r="D54" s="253"/>
      <c r="E54" s="253"/>
      <c r="F54" s="258"/>
      <c r="G54" s="259"/>
      <c r="H54" s="241"/>
      <c r="I54" s="241"/>
      <c r="J54" s="241"/>
      <c r="K54" s="241"/>
      <c r="L54" s="241"/>
      <c r="M54" s="241"/>
    </row>
    <row r="55" spans="1:13" ht="13.5" customHeight="1">
      <c r="A55" s="253"/>
      <c r="B55" s="253"/>
      <c r="C55" s="253"/>
      <c r="D55" s="253"/>
      <c r="E55" s="253"/>
      <c r="F55" s="258"/>
      <c r="G55" s="259"/>
      <c r="H55" s="241"/>
      <c r="I55" s="241"/>
      <c r="J55" s="241"/>
      <c r="K55" s="241"/>
      <c r="L55" s="241"/>
      <c r="M55" s="241"/>
    </row>
    <row r="56" spans="1:13" ht="13.5" customHeight="1">
      <c r="A56" s="253"/>
      <c r="B56" s="253"/>
      <c r="C56" s="253"/>
      <c r="D56" s="253"/>
      <c r="E56" s="253"/>
      <c r="F56" s="258"/>
      <c r="G56" s="259"/>
      <c r="H56" s="241"/>
      <c r="I56" s="241"/>
      <c r="J56" s="241"/>
      <c r="K56" s="241"/>
      <c r="L56" s="241"/>
      <c r="M56" s="241"/>
    </row>
    <row r="57" spans="1:13" ht="15.75">
      <c r="A57" s="7" t="s">
        <v>433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12" customHeight="1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</row>
    <row r="59" spans="1:13" ht="15.75">
      <c r="A59" s="7" t="s">
        <v>434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2" customHeight="1" thickBot="1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</row>
    <row r="61" spans="1:11" ht="12.75" customHeight="1">
      <c r="A61" s="542" t="s">
        <v>409</v>
      </c>
      <c r="B61" s="543"/>
      <c r="C61" s="543"/>
      <c r="D61" s="542" t="s">
        <v>435</v>
      </c>
      <c r="E61" s="548"/>
      <c r="F61" s="542" t="s">
        <v>436</v>
      </c>
      <c r="G61" s="548"/>
      <c r="H61" s="542" t="s">
        <v>437</v>
      </c>
      <c r="I61" s="548"/>
      <c r="J61" s="542" t="s">
        <v>438</v>
      </c>
      <c r="K61" s="548"/>
    </row>
    <row r="62" spans="1:11" ht="12.75" customHeight="1">
      <c r="A62" s="544"/>
      <c r="B62" s="545"/>
      <c r="C62" s="545"/>
      <c r="D62" s="544"/>
      <c r="E62" s="549"/>
      <c r="F62" s="544"/>
      <c r="G62" s="549"/>
      <c r="H62" s="544"/>
      <c r="I62" s="549"/>
      <c r="J62" s="544"/>
      <c r="K62" s="549"/>
    </row>
    <row r="63" spans="1:11" ht="13.5" customHeight="1" thickBot="1">
      <c r="A63" s="546"/>
      <c r="B63" s="547"/>
      <c r="C63" s="547"/>
      <c r="D63" s="546"/>
      <c r="E63" s="550"/>
      <c r="F63" s="546"/>
      <c r="G63" s="550"/>
      <c r="H63" s="546"/>
      <c r="I63" s="550"/>
      <c r="J63" s="546"/>
      <c r="K63" s="550"/>
    </row>
    <row r="64" spans="1:12" s="51" customFormat="1" ht="25.5" customHeight="1" thickBot="1">
      <c r="A64" s="511" t="s">
        <v>439</v>
      </c>
      <c r="B64" s="511"/>
      <c r="C64" s="511"/>
      <c r="D64" s="511" t="s">
        <v>440</v>
      </c>
      <c r="E64" s="511"/>
      <c r="F64" s="535" t="s">
        <v>440</v>
      </c>
      <c r="G64" s="536"/>
      <c r="H64" s="535" t="s">
        <v>440</v>
      </c>
      <c r="I64" s="536"/>
      <c r="J64" s="511" t="s">
        <v>440</v>
      </c>
      <c r="K64" s="511"/>
      <c r="L64" s="260"/>
    </row>
    <row r="65" spans="1:13" s="121" customFormat="1" ht="12.75" customHeight="1">
      <c r="A65" s="538" t="s">
        <v>2</v>
      </c>
      <c r="B65" s="562"/>
      <c r="C65" s="539"/>
      <c r="D65" s="538"/>
      <c r="E65" s="539"/>
      <c r="F65" s="538"/>
      <c r="G65" s="539"/>
      <c r="H65" s="538"/>
      <c r="I65" s="539"/>
      <c r="J65" s="538" t="s">
        <v>440</v>
      </c>
      <c r="K65" s="539"/>
      <c r="L65" s="564"/>
      <c r="M65" s="564"/>
    </row>
    <row r="66" spans="1:13" s="121" customFormat="1" ht="13.5" customHeight="1" thickBot="1">
      <c r="A66" s="540"/>
      <c r="B66" s="563"/>
      <c r="C66" s="541"/>
      <c r="D66" s="540"/>
      <c r="E66" s="541"/>
      <c r="F66" s="540"/>
      <c r="G66" s="541"/>
      <c r="H66" s="540"/>
      <c r="I66" s="541"/>
      <c r="J66" s="540"/>
      <c r="K66" s="541"/>
      <c r="L66" s="564"/>
      <c r="M66" s="564"/>
    </row>
    <row r="68" spans="1:13" ht="15.75">
      <c r="A68" s="7" t="s">
        <v>441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ht="13.5" thickBot="1"/>
    <row r="70" spans="1:11" ht="12.75" customHeight="1">
      <c r="A70" s="542" t="s">
        <v>409</v>
      </c>
      <c r="B70" s="543"/>
      <c r="C70" s="543"/>
      <c r="D70" s="542" t="s">
        <v>435</v>
      </c>
      <c r="E70" s="548"/>
      <c r="F70" s="542" t="s">
        <v>442</v>
      </c>
      <c r="G70" s="548"/>
      <c r="H70" s="542" t="s">
        <v>437</v>
      </c>
      <c r="I70" s="548"/>
      <c r="J70" s="542" t="s">
        <v>438</v>
      </c>
      <c r="K70" s="548"/>
    </row>
    <row r="71" spans="1:11" ht="12.75" customHeight="1">
      <c r="A71" s="544"/>
      <c r="B71" s="545"/>
      <c r="C71" s="545"/>
      <c r="D71" s="544"/>
      <c r="E71" s="549"/>
      <c r="F71" s="544"/>
      <c r="G71" s="549"/>
      <c r="H71" s="544"/>
      <c r="I71" s="549"/>
      <c r="J71" s="544"/>
      <c r="K71" s="549"/>
    </row>
    <row r="72" spans="1:11" ht="13.5" customHeight="1" thickBot="1">
      <c r="A72" s="546"/>
      <c r="B72" s="547"/>
      <c r="C72" s="547"/>
      <c r="D72" s="546"/>
      <c r="E72" s="550"/>
      <c r="F72" s="546"/>
      <c r="G72" s="550"/>
      <c r="H72" s="546"/>
      <c r="I72" s="550"/>
      <c r="J72" s="546"/>
      <c r="K72" s="550"/>
    </row>
    <row r="73" spans="1:12" s="51" customFormat="1" ht="25.5" customHeight="1" thickBot="1">
      <c r="A73" s="511" t="s">
        <v>443</v>
      </c>
      <c r="B73" s="511"/>
      <c r="C73" s="511"/>
      <c r="D73" s="511" t="s">
        <v>444</v>
      </c>
      <c r="E73" s="511"/>
      <c r="F73" s="560" t="s">
        <v>440</v>
      </c>
      <c r="G73" s="561"/>
      <c r="H73" s="560"/>
      <c r="I73" s="561"/>
      <c r="J73" s="551"/>
      <c r="K73" s="551"/>
      <c r="L73" s="260"/>
    </row>
    <row r="74" spans="1:13" ht="12.75" customHeight="1">
      <c r="A74" s="526" t="s">
        <v>2</v>
      </c>
      <c r="B74" s="527"/>
      <c r="C74" s="528"/>
      <c r="D74" s="532"/>
      <c r="E74" s="533"/>
      <c r="F74" s="552">
        <f>SUM(F73)</f>
        <v>0</v>
      </c>
      <c r="G74" s="553"/>
      <c r="H74" s="556">
        <f>SUM(H73)</f>
        <v>0</v>
      </c>
      <c r="I74" s="557"/>
      <c r="J74" s="556">
        <f>SUM(J73)</f>
        <v>0</v>
      </c>
      <c r="K74" s="557"/>
      <c r="L74" s="537"/>
      <c r="M74" s="537"/>
    </row>
    <row r="75" spans="1:13" ht="13.5" customHeight="1" thickBot="1">
      <c r="A75" s="529"/>
      <c r="B75" s="530"/>
      <c r="C75" s="531"/>
      <c r="D75" s="534"/>
      <c r="E75" s="494"/>
      <c r="F75" s="554"/>
      <c r="G75" s="555"/>
      <c r="H75" s="558"/>
      <c r="I75" s="559"/>
      <c r="J75" s="558"/>
      <c r="K75" s="559"/>
      <c r="L75" s="537"/>
      <c r="M75" s="537"/>
    </row>
    <row r="77" spans="1:13" ht="15.75">
      <c r="A77" s="7" t="s">
        <v>445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ht="13.5" thickBot="1"/>
    <row r="79" spans="1:11" ht="12.75" customHeight="1">
      <c r="A79" s="542" t="s">
        <v>409</v>
      </c>
      <c r="B79" s="543"/>
      <c r="C79" s="543"/>
      <c r="D79" s="542" t="s">
        <v>435</v>
      </c>
      <c r="E79" s="548"/>
      <c r="F79" s="542" t="s">
        <v>436</v>
      </c>
      <c r="G79" s="548"/>
      <c r="H79" s="542" t="s">
        <v>437</v>
      </c>
      <c r="I79" s="548"/>
      <c r="J79" s="542" t="s">
        <v>438</v>
      </c>
      <c r="K79" s="548"/>
    </row>
    <row r="80" spans="1:11" ht="12.75" customHeight="1">
      <c r="A80" s="544"/>
      <c r="B80" s="545"/>
      <c r="C80" s="545"/>
      <c r="D80" s="544"/>
      <c r="E80" s="549"/>
      <c r="F80" s="544"/>
      <c r="G80" s="549"/>
      <c r="H80" s="544"/>
      <c r="I80" s="549"/>
      <c r="J80" s="544"/>
      <c r="K80" s="549"/>
    </row>
    <row r="81" spans="1:11" ht="13.5" customHeight="1" thickBot="1">
      <c r="A81" s="546"/>
      <c r="B81" s="547"/>
      <c r="C81" s="547"/>
      <c r="D81" s="546"/>
      <c r="E81" s="550"/>
      <c r="F81" s="546"/>
      <c r="G81" s="550"/>
      <c r="H81" s="546"/>
      <c r="I81" s="550"/>
      <c r="J81" s="546"/>
      <c r="K81" s="550"/>
    </row>
    <row r="82" spans="1:12" s="51" customFormat="1" ht="25.5" customHeight="1" thickBot="1">
      <c r="A82" s="511" t="s">
        <v>443</v>
      </c>
      <c r="B82" s="511"/>
      <c r="C82" s="511"/>
      <c r="D82" s="511" t="s">
        <v>446</v>
      </c>
      <c r="E82" s="511"/>
      <c r="F82" s="535" t="s">
        <v>440</v>
      </c>
      <c r="G82" s="536"/>
      <c r="H82" s="535"/>
      <c r="I82" s="536"/>
      <c r="J82" s="511"/>
      <c r="K82" s="511"/>
      <c r="L82" s="260"/>
    </row>
    <row r="83" spans="1:13" ht="12.75" customHeight="1">
      <c r="A83" s="526" t="s">
        <v>2</v>
      </c>
      <c r="B83" s="527"/>
      <c r="C83" s="528"/>
      <c r="D83" s="532"/>
      <c r="E83" s="533"/>
      <c r="F83" s="532"/>
      <c r="G83" s="533"/>
      <c r="H83" s="538">
        <f>SUM(H82)</f>
        <v>0</v>
      </c>
      <c r="I83" s="539"/>
      <c r="J83" s="538">
        <f>SUM(J82)</f>
        <v>0</v>
      </c>
      <c r="K83" s="539"/>
      <c r="L83" s="537"/>
      <c r="M83" s="537"/>
    </row>
    <row r="84" spans="1:13" ht="13.5" customHeight="1" thickBot="1">
      <c r="A84" s="529"/>
      <c r="B84" s="530"/>
      <c r="C84" s="531"/>
      <c r="D84" s="534"/>
      <c r="E84" s="494"/>
      <c r="F84" s="534"/>
      <c r="G84" s="494"/>
      <c r="H84" s="540"/>
      <c r="I84" s="541"/>
      <c r="J84" s="540"/>
      <c r="K84" s="541"/>
      <c r="L84" s="537"/>
      <c r="M84" s="537"/>
    </row>
    <row r="86" spans="1:13" ht="15.75">
      <c r="A86" s="7" t="s">
        <v>447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ht="13.5" thickBot="1"/>
    <row r="88" spans="1:11" ht="12.75" customHeight="1">
      <c r="A88" s="542" t="s">
        <v>409</v>
      </c>
      <c r="B88" s="543"/>
      <c r="C88" s="543"/>
      <c r="D88" s="542" t="s">
        <v>435</v>
      </c>
      <c r="E88" s="548"/>
      <c r="F88" s="542" t="s">
        <v>436</v>
      </c>
      <c r="G88" s="548"/>
      <c r="H88" s="542" t="s">
        <v>437</v>
      </c>
      <c r="I88" s="548"/>
      <c r="J88" s="542" t="s">
        <v>438</v>
      </c>
      <c r="K88" s="548"/>
    </row>
    <row r="89" spans="1:11" ht="12.75" customHeight="1">
      <c r="A89" s="544"/>
      <c r="B89" s="545"/>
      <c r="C89" s="545"/>
      <c r="D89" s="544"/>
      <c r="E89" s="549"/>
      <c r="F89" s="544"/>
      <c r="G89" s="549"/>
      <c r="H89" s="544"/>
      <c r="I89" s="549"/>
      <c r="J89" s="544"/>
      <c r="K89" s="549"/>
    </row>
    <row r="90" spans="1:11" ht="13.5" customHeight="1" thickBot="1">
      <c r="A90" s="546"/>
      <c r="B90" s="547"/>
      <c r="C90" s="547"/>
      <c r="D90" s="546"/>
      <c r="E90" s="550"/>
      <c r="F90" s="546"/>
      <c r="G90" s="550"/>
      <c r="H90" s="546"/>
      <c r="I90" s="550"/>
      <c r="J90" s="546"/>
      <c r="K90" s="550"/>
    </row>
    <row r="91" spans="1:12" s="51" customFormat="1" ht="25.5" customHeight="1" thickBot="1">
      <c r="A91" s="511" t="s">
        <v>443</v>
      </c>
      <c r="B91" s="511"/>
      <c r="C91" s="511"/>
      <c r="D91" s="511"/>
      <c r="E91" s="511"/>
      <c r="F91" s="535" t="s">
        <v>440</v>
      </c>
      <c r="G91" s="536"/>
      <c r="H91" s="535"/>
      <c r="I91" s="536"/>
      <c r="J91" s="511"/>
      <c r="K91" s="511"/>
      <c r="L91" s="260"/>
    </row>
    <row r="92" spans="1:13" ht="12.75" customHeight="1">
      <c r="A92" s="526" t="s">
        <v>2</v>
      </c>
      <c r="B92" s="527"/>
      <c r="C92" s="528"/>
      <c r="D92" s="532"/>
      <c r="E92" s="533"/>
      <c r="F92" s="532"/>
      <c r="G92" s="533"/>
      <c r="H92" s="538">
        <f>SUM(H91)</f>
        <v>0</v>
      </c>
      <c r="I92" s="539"/>
      <c r="J92" s="538">
        <f>SUM(J91)</f>
        <v>0</v>
      </c>
      <c r="K92" s="539"/>
      <c r="L92" s="537"/>
      <c r="M92" s="537"/>
    </row>
    <row r="93" spans="1:13" ht="13.5" customHeight="1" thickBot="1">
      <c r="A93" s="529"/>
      <c r="B93" s="530"/>
      <c r="C93" s="531"/>
      <c r="D93" s="534"/>
      <c r="E93" s="494"/>
      <c r="F93" s="534"/>
      <c r="G93" s="494"/>
      <c r="H93" s="540"/>
      <c r="I93" s="541"/>
      <c r="J93" s="540"/>
      <c r="K93" s="541"/>
      <c r="L93" s="537"/>
      <c r="M93" s="537"/>
    </row>
  </sheetData>
  <sheetProtection/>
  <mergeCells count="149">
    <mergeCell ref="A16:C18"/>
    <mergeCell ref="D16:D18"/>
    <mergeCell ref="E16:E18"/>
    <mergeCell ref="F16:F18"/>
    <mergeCell ref="G16:G18"/>
    <mergeCell ref="H16:H18"/>
    <mergeCell ref="K1:M1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L34:L36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I34:I36"/>
    <mergeCell ref="J34:J36"/>
    <mergeCell ref="I40:I42"/>
    <mergeCell ref="J40:J42"/>
    <mergeCell ref="E34:E36"/>
    <mergeCell ref="E40:E42"/>
    <mergeCell ref="H40:H42"/>
    <mergeCell ref="I37:I39"/>
    <mergeCell ref="J37:J39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H43:H44"/>
    <mergeCell ref="I43:I44"/>
    <mergeCell ref="J43:J44"/>
    <mergeCell ref="L43:L44"/>
    <mergeCell ref="M43:M44"/>
    <mergeCell ref="K43:K44"/>
    <mergeCell ref="K40:K42"/>
    <mergeCell ref="L40:L42"/>
    <mergeCell ref="J65:K66"/>
    <mergeCell ref="L65:L66"/>
    <mergeCell ref="J61:K63"/>
    <mergeCell ref="M40:M42"/>
    <mergeCell ref="J64:K64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L74:L75"/>
    <mergeCell ref="M74:M75"/>
    <mergeCell ref="A79:C81"/>
    <mergeCell ref="D79:E81"/>
    <mergeCell ref="F79:G81"/>
    <mergeCell ref="H79:I81"/>
    <mergeCell ref="J79:K81"/>
    <mergeCell ref="J82:K82"/>
    <mergeCell ref="J83:K84"/>
    <mergeCell ref="A83:C84"/>
    <mergeCell ref="D83:E84"/>
    <mergeCell ref="F83:G84"/>
    <mergeCell ref="H83:I84"/>
    <mergeCell ref="A82:C82"/>
    <mergeCell ref="D82:E82"/>
    <mergeCell ref="F82:G82"/>
    <mergeCell ref="H82:I82"/>
    <mergeCell ref="A88:C90"/>
    <mergeCell ref="D88:E90"/>
    <mergeCell ref="F88:G90"/>
    <mergeCell ref="H88:I90"/>
    <mergeCell ref="M83:M84"/>
    <mergeCell ref="J88:K90"/>
    <mergeCell ref="L83:L84"/>
    <mergeCell ref="L92:L93"/>
    <mergeCell ref="M92:M93"/>
    <mergeCell ref="J91:K91"/>
    <mergeCell ref="H91:I91"/>
    <mergeCell ref="H92:I93"/>
    <mergeCell ref="J92:K93"/>
    <mergeCell ref="A92:C93"/>
    <mergeCell ref="D92:E93"/>
    <mergeCell ref="F92:G93"/>
    <mergeCell ref="A91:C91"/>
    <mergeCell ref="D91:E91"/>
    <mergeCell ref="F91:G91"/>
    <mergeCell ref="K37:K39"/>
    <mergeCell ref="L37:L39"/>
    <mergeCell ref="M37:M39"/>
    <mergeCell ref="A37:C39"/>
    <mergeCell ref="D37:D39"/>
    <mergeCell ref="E37:E39"/>
    <mergeCell ref="F37:F39"/>
    <mergeCell ref="G37:G39"/>
    <mergeCell ref="H37:H39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75390625" style="25" customWidth="1"/>
    <col min="2" max="2" width="65.75390625" style="25" customWidth="1"/>
    <col min="3" max="5" width="15.75390625" style="25" bestFit="1" customWidth="1"/>
    <col min="6" max="6" width="18.00390625" style="25" bestFit="1" customWidth="1"/>
    <col min="7" max="7" width="11.375" style="51" bestFit="1" customWidth="1"/>
    <col min="8" max="16384" width="9.125" style="51" customWidth="1"/>
  </cols>
  <sheetData>
    <row r="1" spans="1:6" ht="15.75">
      <c r="A1" s="146" t="s">
        <v>534</v>
      </c>
      <c r="C1" s="605"/>
      <c r="D1" s="605"/>
      <c r="E1" s="605"/>
      <c r="F1" s="605"/>
    </row>
    <row r="2" spans="1:6" ht="15.75">
      <c r="A2" s="27"/>
      <c r="B2" s="27"/>
      <c r="C2" s="27"/>
      <c r="D2" s="27"/>
      <c r="E2" s="27"/>
      <c r="F2" s="27"/>
    </row>
    <row r="3" spans="1:6" ht="15.75">
      <c r="A3" s="438" t="s">
        <v>448</v>
      </c>
      <c r="B3" s="438"/>
      <c r="C3" s="438"/>
      <c r="D3" s="438"/>
      <c r="E3" s="438"/>
      <c r="F3" s="438"/>
    </row>
    <row r="4" spans="1:6" ht="15.75">
      <c r="A4" s="438" t="s">
        <v>449</v>
      </c>
      <c r="B4" s="438"/>
      <c r="C4" s="438"/>
      <c r="D4" s="438"/>
      <c r="E4" s="438"/>
      <c r="F4" s="438"/>
    </row>
    <row r="5" spans="1:6" ht="15.75">
      <c r="A5" s="438" t="s">
        <v>488</v>
      </c>
      <c r="B5" s="438"/>
      <c r="C5" s="438"/>
      <c r="D5" s="438"/>
      <c r="E5" s="438"/>
      <c r="F5" s="438"/>
    </row>
    <row r="6" spans="1:6" ht="16.5" thickBot="1">
      <c r="A6" s="27"/>
      <c r="B6" s="27"/>
      <c r="C6" s="51"/>
      <c r="D6" s="262"/>
      <c r="E6" s="51"/>
      <c r="F6" s="262" t="s">
        <v>5</v>
      </c>
    </row>
    <row r="7" spans="1:6" ht="15.75">
      <c r="A7" s="263" t="s">
        <v>47</v>
      </c>
      <c r="B7" s="606" t="s">
        <v>450</v>
      </c>
      <c r="C7" s="609" t="s">
        <v>451</v>
      </c>
      <c r="D7" s="610"/>
      <c r="E7" s="610"/>
      <c r="F7" s="606" t="s">
        <v>333</v>
      </c>
    </row>
    <row r="8" spans="1:6" ht="16.5" thickBot="1">
      <c r="A8" s="264"/>
      <c r="B8" s="607"/>
      <c r="C8" s="611"/>
      <c r="D8" s="612"/>
      <c r="E8" s="612"/>
      <c r="F8" s="607"/>
    </row>
    <row r="9" spans="1:6" ht="16.5" thickBot="1">
      <c r="A9" s="264"/>
      <c r="B9" s="607"/>
      <c r="C9" s="265" t="s">
        <v>403</v>
      </c>
      <c r="D9" s="265" t="s">
        <v>404</v>
      </c>
      <c r="E9" s="265" t="s">
        <v>489</v>
      </c>
      <c r="F9" s="607"/>
    </row>
    <row r="10" spans="1:6" ht="16.5" thickBot="1">
      <c r="A10" s="266" t="s">
        <v>48</v>
      </c>
      <c r="B10" s="608"/>
      <c r="C10" s="613" t="s">
        <v>452</v>
      </c>
      <c r="D10" s="614"/>
      <c r="E10" s="614"/>
      <c r="F10" s="608"/>
    </row>
    <row r="11" spans="1:6" ht="15.75">
      <c r="A11" s="261" t="s">
        <v>49</v>
      </c>
      <c r="B11" s="291" t="s">
        <v>458</v>
      </c>
      <c r="C11" s="267">
        <v>7733</v>
      </c>
      <c r="D11" s="267">
        <v>7733</v>
      </c>
      <c r="E11" s="267">
        <v>7733</v>
      </c>
      <c r="F11" s="267">
        <f>SUM(C11:E11)</f>
        <v>23199</v>
      </c>
    </row>
    <row r="12" spans="1:6" ht="31.5">
      <c r="A12" s="261" t="s">
        <v>29</v>
      </c>
      <c r="B12" s="292" t="s">
        <v>459</v>
      </c>
      <c r="C12" s="268"/>
      <c r="D12" s="268"/>
      <c r="E12" s="268"/>
      <c r="F12" s="267">
        <f>SUM(C12:E12)</f>
        <v>0</v>
      </c>
    </row>
    <row r="13" spans="1:2" s="238" customFormat="1" ht="15.75">
      <c r="A13" s="261" t="s">
        <v>50</v>
      </c>
      <c r="B13" s="291" t="s">
        <v>460</v>
      </c>
    </row>
    <row r="14" spans="1:6" s="238" customFormat="1" ht="31.5">
      <c r="A14" s="261" t="s">
        <v>113</v>
      </c>
      <c r="B14" s="292" t="s">
        <v>461</v>
      </c>
      <c r="C14" s="269"/>
      <c r="D14" s="269"/>
      <c r="E14" s="269"/>
      <c r="F14" s="267">
        <f>SUM(C14:E14)</f>
        <v>0</v>
      </c>
    </row>
    <row r="15" spans="1:6" s="238" customFormat="1" ht="15.75">
      <c r="A15" s="261" t="s">
        <v>115</v>
      </c>
      <c r="B15" s="291" t="s">
        <v>453</v>
      </c>
      <c r="C15" s="269">
        <v>75</v>
      </c>
      <c r="D15" s="269">
        <v>75</v>
      </c>
      <c r="E15" s="269">
        <v>75</v>
      </c>
      <c r="F15" s="267">
        <f>SUM(C15:E15)</f>
        <v>225</v>
      </c>
    </row>
    <row r="16" spans="1:6" s="238" customFormat="1" ht="15.75">
      <c r="A16" s="261" t="s">
        <v>121</v>
      </c>
      <c r="B16" s="291" t="s">
        <v>462</v>
      </c>
      <c r="C16" s="270"/>
      <c r="D16" s="270"/>
      <c r="E16" s="270"/>
      <c r="F16" s="270"/>
    </row>
    <row r="17" spans="1:6" s="274" customFormat="1" ht="15.75">
      <c r="A17" s="271" t="s">
        <v>268</v>
      </c>
      <c r="B17" s="272" t="s">
        <v>454</v>
      </c>
      <c r="C17" s="273">
        <f>SUM(C11:C16)</f>
        <v>7808</v>
      </c>
      <c r="D17" s="273">
        <f>SUM(D11:D16)</f>
        <v>7808</v>
      </c>
      <c r="E17" s="273">
        <f>SUM(E11:E16)</f>
        <v>7808</v>
      </c>
      <c r="F17" s="273">
        <f>SUM(F11:F16)</f>
        <v>23424</v>
      </c>
    </row>
    <row r="18" spans="1:6" s="279" customFormat="1" ht="18.75">
      <c r="A18" s="275" t="s">
        <v>272</v>
      </c>
      <c r="B18" s="276" t="s">
        <v>455</v>
      </c>
      <c r="C18" s="277">
        <f>C17*0.5</f>
        <v>3904</v>
      </c>
      <c r="D18" s="277">
        <f>D17*0.5</f>
        <v>3904</v>
      </c>
      <c r="E18" s="277">
        <f>E17*0.5</f>
        <v>3904</v>
      </c>
      <c r="F18" s="278">
        <f>SUM(C18:E18)</f>
        <v>11712</v>
      </c>
    </row>
    <row r="19" spans="1:6" s="238" customFormat="1" ht="31.5">
      <c r="A19" s="280" t="s">
        <v>279</v>
      </c>
      <c r="B19" s="292" t="s">
        <v>463</v>
      </c>
      <c r="C19" s="269"/>
      <c r="D19" s="269"/>
      <c r="E19" s="269"/>
      <c r="F19" s="269">
        <f>SUM(C19:E19)</f>
        <v>0</v>
      </c>
    </row>
    <row r="20" spans="1:6" s="238" customFormat="1" ht="31.5">
      <c r="A20" s="280" t="s">
        <v>281</v>
      </c>
      <c r="B20" s="292" t="s">
        <v>464</v>
      </c>
      <c r="C20" s="269"/>
      <c r="D20" s="269"/>
      <c r="E20" s="269"/>
      <c r="F20" s="269">
        <f>SUM(C20:E20)</f>
        <v>0</v>
      </c>
    </row>
    <row r="21" spans="1:6" s="238" customFormat="1" ht="15.75">
      <c r="A21" s="280" t="s">
        <v>283</v>
      </c>
      <c r="B21" s="291" t="s">
        <v>465</v>
      </c>
      <c r="C21" s="269"/>
      <c r="D21" s="269"/>
      <c r="E21" s="269"/>
      <c r="F21" s="269"/>
    </row>
    <row r="22" spans="1:6" s="238" customFormat="1" ht="31.5">
      <c r="A22" s="280" t="s">
        <v>288</v>
      </c>
      <c r="B22" s="281" t="s">
        <v>466</v>
      </c>
      <c r="C22" s="269"/>
      <c r="D22" s="269"/>
      <c r="E22" s="269"/>
      <c r="F22" s="269"/>
    </row>
    <row r="23" spans="1:6" s="238" customFormat="1" ht="47.25">
      <c r="A23" s="280" t="s">
        <v>290</v>
      </c>
      <c r="B23" s="281" t="s">
        <v>467</v>
      </c>
      <c r="C23" s="269"/>
      <c r="D23" s="269"/>
      <c r="E23" s="269"/>
      <c r="F23" s="269"/>
    </row>
    <row r="24" spans="1:6" s="238" customFormat="1" ht="31.5">
      <c r="A24" s="280" t="s">
        <v>292</v>
      </c>
      <c r="B24" s="281" t="s">
        <v>468</v>
      </c>
      <c r="C24" s="269"/>
      <c r="D24" s="269"/>
      <c r="E24" s="269"/>
      <c r="F24" s="269"/>
    </row>
    <row r="25" spans="1:6" s="238" customFormat="1" ht="31.5">
      <c r="A25" s="280" t="s">
        <v>299</v>
      </c>
      <c r="B25" s="281" t="s">
        <v>469</v>
      </c>
      <c r="C25" s="282"/>
      <c r="D25" s="282"/>
      <c r="E25" s="282"/>
      <c r="F25" s="282"/>
    </row>
    <row r="26" spans="1:6" s="274" customFormat="1" ht="15.75">
      <c r="A26" s="271" t="s">
        <v>302</v>
      </c>
      <c r="B26" s="283" t="s">
        <v>456</v>
      </c>
      <c r="C26" s="284">
        <f>SUM(C19:C24)</f>
        <v>0</v>
      </c>
      <c r="D26" s="284">
        <f>SUM(D19:D24)</f>
        <v>0</v>
      </c>
      <c r="E26" s="284">
        <f>SUM(E19:E24)</f>
        <v>0</v>
      </c>
      <c r="F26" s="284">
        <f>SUM(F19:F24)</f>
        <v>0</v>
      </c>
    </row>
    <row r="27" spans="1:6" s="287" customFormat="1" ht="37.5">
      <c r="A27" s="275" t="s">
        <v>304</v>
      </c>
      <c r="B27" s="285" t="s">
        <v>457</v>
      </c>
      <c r="C27" s="286">
        <f>C18-C26</f>
        <v>3904</v>
      </c>
      <c r="D27" s="286">
        <f>D18-D26</f>
        <v>3904</v>
      </c>
      <c r="E27" s="286">
        <f>E18-E26</f>
        <v>3904</v>
      </c>
      <c r="F27" s="286">
        <f>SUM(C27:E27)</f>
        <v>11712</v>
      </c>
    </row>
    <row r="28" spans="1:6" s="238" customFormat="1" ht="15.75">
      <c r="A28" s="288"/>
      <c r="B28" s="289"/>
      <c r="C28" s="269"/>
      <c r="D28" s="269"/>
      <c r="E28" s="269"/>
      <c r="F28" s="269"/>
    </row>
    <row r="29" spans="1:7" s="238" customFormat="1" ht="15.75">
      <c r="A29" s="288"/>
      <c r="B29" s="289"/>
      <c r="C29" s="269"/>
      <c r="D29" s="269"/>
      <c r="E29" s="269"/>
      <c r="F29" s="269"/>
      <c r="G29" s="269"/>
    </row>
    <row r="30" spans="1:6" s="238" customFormat="1" ht="15.75">
      <c r="A30" s="289"/>
      <c r="B30" s="289"/>
      <c r="C30" s="269"/>
      <c r="D30" s="269"/>
      <c r="E30" s="269"/>
      <c r="F30" s="269"/>
    </row>
    <row r="31" spans="1:6" s="238" customFormat="1" ht="15.75">
      <c r="A31" s="289"/>
      <c r="B31" s="289"/>
      <c r="C31" s="269"/>
      <c r="D31" s="269"/>
      <c r="E31" s="269"/>
      <c r="F31" s="269"/>
    </row>
    <row r="32" spans="1:6" s="238" customFormat="1" ht="15.75">
      <c r="A32" s="289"/>
      <c r="B32" s="289"/>
      <c r="C32" s="269"/>
      <c r="D32" s="269"/>
      <c r="E32" s="269"/>
      <c r="F32" s="269"/>
    </row>
    <row r="33" spans="1:6" s="238" customFormat="1" ht="15.75">
      <c r="A33" s="289"/>
      <c r="B33" s="290"/>
      <c r="C33" s="269"/>
      <c r="D33" s="269"/>
      <c r="E33" s="269"/>
      <c r="F33" s="269"/>
    </row>
    <row r="34" spans="1:6" s="238" customFormat="1" ht="15.75">
      <c r="A34" s="289"/>
      <c r="B34" s="289"/>
      <c r="C34" s="269"/>
      <c r="D34" s="269"/>
      <c r="E34" s="269"/>
      <c r="F34" s="269"/>
    </row>
    <row r="35" spans="1:6" s="238" customFormat="1" ht="15.75">
      <c r="A35" s="289"/>
      <c r="B35" s="289"/>
      <c r="C35" s="269"/>
      <c r="D35" s="269"/>
      <c r="E35" s="269"/>
      <c r="F35" s="269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64.625" style="4" customWidth="1"/>
    <col min="2" max="2" width="14.125" style="615" customWidth="1"/>
    <col min="3" max="3" width="4.875" style="4" customWidth="1"/>
    <col min="4" max="4" width="17.75390625" style="615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332"/>
      <c r="B1" s="332"/>
      <c r="C1" s="332"/>
      <c r="D1" s="332"/>
      <c r="E1" s="332"/>
    </row>
    <row r="2" spans="1:5" ht="15">
      <c r="A2" s="328"/>
      <c r="B2" s="328"/>
      <c r="C2" s="328"/>
      <c r="D2" s="328"/>
      <c r="E2" s="328"/>
    </row>
    <row r="3" spans="1:5" ht="15">
      <c r="A3" s="332" t="s">
        <v>519</v>
      </c>
      <c r="B3" s="332"/>
      <c r="C3" s="332"/>
      <c r="D3" s="332"/>
      <c r="E3" s="332"/>
    </row>
    <row r="4" spans="1:5" ht="15">
      <c r="A4" s="328"/>
      <c r="B4" s="328"/>
      <c r="C4" s="328"/>
      <c r="D4" s="328"/>
      <c r="E4" s="328"/>
    </row>
    <row r="5" spans="1:5" s="51" customFormat="1" ht="15.75">
      <c r="A5" s="335"/>
      <c r="B5" s="335"/>
      <c r="C5" s="335"/>
      <c r="D5" s="335"/>
      <c r="E5" s="335"/>
    </row>
    <row r="6" spans="1:5" s="51" customFormat="1" ht="15.75">
      <c r="A6" s="334" t="s">
        <v>46</v>
      </c>
      <c r="B6" s="334"/>
      <c r="C6" s="334"/>
      <c r="D6" s="334"/>
      <c r="E6" s="334"/>
    </row>
    <row r="7" spans="1:5" ht="15.75">
      <c r="A7" s="334" t="s">
        <v>181</v>
      </c>
      <c r="B7" s="334"/>
      <c r="C7" s="334"/>
      <c r="D7" s="334"/>
      <c r="E7" s="334"/>
    </row>
    <row r="8" spans="1:5" ht="12.75" customHeight="1">
      <c r="A8" s="333" t="s">
        <v>472</v>
      </c>
      <c r="B8" s="333"/>
      <c r="C8" s="333"/>
      <c r="D8" s="333"/>
      <c r="E8" s="333"/>
    </row>
    <row r="9" spans="1:5" s="1" customFormat="1" ht="15">
      <c r="A9" s="4"/>
      <c r="B9" s="615"/>
      <c r="C9" s="4"/>
      <c r="D9" s="620"/>
      <c r="E9" s="4"/>
    </row>
    <row r="10" spans="1:4" s="1" customFormat="1" ht="18.75">
      <c r="A10" s="120" t="s">
        <v>182</v>
      </c>
      <c r="B10" s="618"/>
      <c r="D10" s="121"/>
    </row>
    <row r="11" spans="1:5" ht="15.75">
      <c r="A11" s="7" t="s">
        <v>183</v>
      </c>
      <c r="B11" s="618"/>
      <c r="C11" s="1"/>
      <c r="D11" s="628">
        <f>B12+B13</f>
        <v>29429303</v>
      </c>
      <c r="E11" s="1" t="s">
        <v>535</v>
      </c>
    </row>
    <row r="12" spans="1:7" ht="15.75">
      <c r="A12" s="122" t="s">
        <v>184</v>
      </c>
      <c r="B12" s="615">
        <f>'2.mell - bevétel (2)'!H68</f>
        <v>28626632</v>
      </c>
      <c r="C12" s="4" t="s">
        <v>535</v>
      </c>
      <c r="D12" s="620"/>
      <c r="G12" s="92"/>
    </row>
    <row r="13" spans="1:5" s="1" customFormat="1" ht="15.75" customHeight="1">
      <c r="A13" s="122" t="s">
        <v>185</v>
      </c>
      <c r="B13" s="615">
        <f>'2.mell - bevétel (2)'!H74</f>
        <v>802671</v>
      </c>
      <c r="C13" s="4" t="s">
        <v>535</v>
      </c>
      <c r="D13" s="620"/>
      <c r="E13" s="4"/>
    </row>
    <row r="14" spans="1:4" s="1" customFormat="1" ht="15.75">
      <c r="A14" s="7"/>
      <c r="B14" s="618"/>
      <c r="D14" s="628"/>
    </row>
    <row r="15" spans="1:5" s="1" customFormat="1" ht="15.75">
      <c r="A15" s="7" t="s">
        <v>186</v>
      </c>
      <c r="B15" s="618"/>
      <c r="D15" s="628">
        <f>'2.mell - bevétel (2)'!H86</f>
        <v>0</v>
      </c>
      <c r="E15" s="1" t="s">
        <v>535</v>
      </c>
    </row>
    <row r="16" spans="1:4" s="1" customFormat="1" ht="15.75">
      <c r="A16" s="7"/>
      <c r="B16" s="618"/>
      <c r="D16" s="628"/>
    </row>
    <row r="17" spans="1:5" s="1" customFormat="1" ht="15.75">
      <c r="A17" s="7" t="s">
        <v>133</v>
      </c>
      <c r="B17" s="618"/>
      <c r="D17" s="628">
        <f>'2.mell - bevétel (2)'!H113</f>
        <v>7813000</v>
      </c>
      <c r="E17" s="1" t="s">
        <v>535</v>
      </c>
    </row>
    <row r="18" spans="1:7" s="1" customFormat="1" ht="15.75">
      <c r="A18" s="7"/>
      <c r="B18" s="618"/>
      <c r="D18" s="628"/>
      <c r="G18" s="93"/>
    </row>
    <row r="19" spans="1:5" s="1" customFormat="1" ht="15.75">
      <c r="A19" s="7" t="s">
        <v>62</v>
      </c>
      <c r="B19" s="618"/>
      <c r="D19" s="628">
        <f>'2.mell - bevétel (2)'!H137</f>
        <v>10908000</v>
      </c>
      <c r="E19" s="1" t="s">
        <v>535</v>
      </c>
    </row>
    <row r="20" spans="1:4" s="1" customFormat="1" ht="15.75">
      <c r="A20" s="8"/>
      <c r="B20" s="625"/>
      <c r="D20" s="628"/>
    </row>
    <row r="21" spans="1:5" s="1" customFormat="1" ht="15.75">
      <c r="A21" s="7" t="s">
        <v>187</v>
      </c>
      <c r="B21" s="618"/>
      <c r="D21" s="628">
        <v>0</v>
      </c>
      <c r="E21" s="1" t="s">
        <v>535</v>
      </c>
    </row>
    <row r="22" spans="1:4" s="1" customFormat="1" ht="15.75">
      <c r="A22" s="8"/>
      <c r="B22" s="618"/>
      <c r="D22" s="628"/>
    </row>
    <row r="23" spans="1:5" s="1" customFormat="1" ht="15.75">
      <c r="A23" s="7" t="s">
        <v>188</v>
      </c>
      <c r="D23" s="628">
        <f>B24+B25</f>
        <v>0</v>
      </c>
      <c r="E23" s="1" t="s">
        <v>535</v>
      </c>
    </row>
    <row r="24" spans="1:7" s="6" customFormat="1" ht="32.25">
      <c r="A24" s="122" t="s">
        <v>189</v>
      </c>
      <c r="B24" s="625">
        <v>0</v>
      </c>
      <c r="C24" s="1" t="s">
        <v>535</v>
      </c>
      <c r="D24" s="628"/>
      <c r="E24" s="1"/>
      <c r="F24" s="1"/>
      <c r="G24" s="94"/>
    </row>
    <row r="25" spans="1:7" ht="18.75">
      <c r="A25" s="51" t="s">
        <v>190</v>
      </c>
      <c r="B25" s="618">
        <v>0</v>
      </c>
      <c r="C25" s="1" t="s">
        <v>535</v>
      </c>
      <c r="D25" s="628"/>
      <c r="E25" s="1"/>
      <c r="F25" s="6"/>
      <c r="G25" s="95"/>
    </row>
    <row r="26" spans="1:7" s="1" customFormat="1" ht="18.75">
      <c r="A26" s="61"/>
      <c r="B26" s="615"/>
      <c r="C26" s="4"/>
      <c r="D26" s="630"/>
      <c r="E26" s="6"/>
      <c r="G26" s="96"/>
    </row>
    <row r="27" spans="1:5" s="1" customFormat="1" ht="15.75">
      <c r="A27" s="7" t="s">
        <v>161</v>
      </c>
      <c r="B27" s="618"/>
      <c r="D27" s="628">
        <f>B28+B29</f>
        <v>62000</v>
      </c>
      <c r="E27" s="1" t="s">
        <v>535</v>
      </c>
    </row>
    <row r="28" spans="1:4" s="1" customFormat="1" ht="31.5">
      <c r="A28" s="122" t="s">
        <v>191</v>
      </c>
      <c r="B28" s="618">
        <f>'2.mell - bevétel (2)'!H144</f>
        <v>62000</v>
      </c>
      <c r="C28" s="1" t="s">
        <v>535</v>
      </c>
      <c r="D28" s="628"/>
    </row>
    <row r="29" spans="1:4" s="1" customFormat="1" ht="15.75">
      <c r="A29" s="51" t="s">
        <v>192</v>
      </c>
      <c r="B29" s="618">
        <v>0</v>
      </c>
      <c r="C29" s="1" t="s">
        <v>535</v>
      </c>
      <c r="D29" s="628"/>
    </row>
    <row r="30" spans="1:4" s="1" customFormat="1" ht="15.75">
      <c r="A30" s="61"/>
      <c r="D30" s="121"/>
    </row>
    <row r="31" spans="1:5" s="1" customFormat="1" ht="15.75">
      <c r="A31" s="7" t="s">
        <v>51</v>
      </c>
      <c r="D31" s="123">
        <f>SUM(D11:D30)</f>
        <v>48212303</v>
      </c>
      <c r="E31" s="1" t="s">
        <v>535</v>
      </c>
    </row>
    <row r="32" spans="1:4" s="1" customFormat="1" ht="15.75">
      <c r="A32" s="51"/>
      <c r="D32" s="121"/>
    </row>
    <row r="33" spans="1:4" s="1" customFormat="1" ht="18.75">
      <c r="A33" s="120" t="s">
        <v>193</v>
      </c>
      <c r="D33" s="121"/>
    </row>
    <row r="34" spans="1:5" s="1" customFormat="1" ht="15.75">
      <c r="A34" s="9" t="s">
        <v>17</v>
      </c>
      <c r="B34" s="618"/>
      <c r="D34" s="628">
        <f>B36+B37+B38+B39+B40</f>
        <v>90644544</v>
      </c>
      <c r="E34" s="1" t="s">
        <v>535</v>
      </c>
    </row>
    <row r="35" spans="1:4" s="1" customFormat="1" ht="15.75">
      <c r="A35" s="8" t="s">
        <v>16</v>
      </c>
      <c r="B35" s="618"/>
      <c r="D35" s="628"/>
    </row>
    <row r="36" spans="1:4" s="1" customFormat="1" ht="15.75">
      <c r="A36" s="51" t="s">
        <v>194</v>
      </c>
      <c r="B36" s="618">
        <f>'4.mell. - kiadás (2)'!D42</f>
        <v>17237760</v>
      </c>
      <c r="C36" s="1" t="s">
        <v>535</v>
      </c>
      <c r="D36" s="628"/>
    </row>
    <row r="37" spans="1:4" s="1" customFormat="1" ht="15.75">
      <c r="A37" s="51" t="s">
        <v>195</v>
      </c>
      <c r="B37" s="618">
        <f>'4.mell. - kiadás (2)'!E42</f>
        <v>4669007</v>
      </c>
      <c r="C37" s="1" t="s">
        <v>535</v>
      </c>
      <c r="D37" s="628"/>
    </row>
    <row r="38" spans="1:4" s="1" customFormat="1" ht="15.75">
      <c r="A38" s="51" t="s">
        <v>196</v>
      </c>
      <c r="B38" s="618">
        <f>'4.mell. - kiadás (2)'!F42</f>
        <v>22576508</v>
      </c>
      <c r="C38" s="1" t="s">
        <v>535</v>
      </c>
      <c r="D38" s="628"/>
    </row>
    <row r="39" spans="1:4" s="1" customFormat="1" ht="15.75">
      <c r="A39" s="124" t="s">
        <v>197</v>
      </c>
      <c r="B39" s="618">
        <f>'4.mell. - kiadás (2)'!G42</f>
        <v>3361000</v>
      </c>
      <c r="C39" s="1" t="s">
        <v>535</v>
      </c>
      <c r="D39" s="628"/>
    </row>
    <row r="40" spans="1:4" s="1" customFormat="1" ht="15.75">
      <c r="A40" s="51" t="s">
        <v>89</v>
      </c>
      <c r="B40" s="618">
        <f>'4.mell. - kiadás (2)'!H42</f>
        <v>42800269</v>
      </c>
      <c r="C40" s="1" t="s">
        <v>535</v>
      </c>
      <c r="D40" s="628"/>
    </row>
    <row r="41" spans="1:4" s="1" customFormat="1" ht="15.75">
      <c r="A41" s="51"/>
      <c r="B41" s="625"/>
      <c r="D41" s="628"/>
    </row>
    <row r="42" spans="1:5" s="1" customFormat="1" ht="15.75">
      <c r="A42" s="9" t="s">
        <v>18</v>
      </c>
      <c r="B42" s="618"/>
      <c r="D42" s="629">
        <f>B44+B45+B46</f>
        <v>26653000</v>
      </c>
      <c r="E42" s="1" t="s">
        <v>535</v>
      </c>
    </row>
    <row r="43" spans="1:4" s="1" customFormat="1" ht="15.75">
      <c r="A43" s="8" t="s">
        <v>16</v>
      </c>
      <c r="B43" s="618"/>
      <c r="D43" s="628"/>
    </row>
    <row r="44" spans="1:4" s="1" customFormat="1" ht="15.75">
      <c r="A44" s="51" t="s">
        <v>198</v>
      </c>
      <c r="B44" s="625">
        <f>'4.mell. - kiadás (2)'!J42</f>
        <v>2848000</v>
      </c>
      <c r="C44" s="1" t="s">
        <v>535</v>
      </c>
      <c r="D44" s="628"/>
    </row>
    <row r="45" spans="1:4" s="1" customFormat="1" ht="15.75">
      <c r="A45" s="51" t="s">
        <v>199</v>
      </c>
      <c r="B45" s="625">
        <f>'4.mell. - kiadás (2)'!K42</f>
        <v>23205000</v>
      </c>
      <c r="C45" s="1" t="s">
        <v>535</v>
      </c>
      <c r="D45" s="628"/>
    </row>
    <row r="46" spans="1:6" ht="15.75">
      <c r="A46" s="51" t="s">
        <v>90</v>
      </c>
      <c r="B46" s="625">
        <f>'4.mell. - kiadás (2)'!L42</f>
        <v>600000</v>
      </c>
      <c r="C46" s="1" t="s">
        <v>535</v>
      </c>
      <c r="D46" s="628"/>
      <c r="E46" s="1"/>
      <c r="F46" s="1"/>
    </row>
    <row r="47" spans="1:4" s="1" customFormat="1" ht="15.75">
      <c r="A47" s="51"/>
      <c r="B47" s="625"/>
      <c r="D47" s="628"/>
    </row>
    <row r="48" spans="1:5" s="1" customFormat="1" ht="15.75">
      <c r="A48" s="19" t="s">
        <v>200</v>
      </c>
      <c r="B48" s="625"/>
      <c r="D48" s="626">
        <f>B49+B50+B51</f>
        <v>1318759</v>
      </c>
      <c r="E48" s="1" t="s">
        <v>535</v>
      </c>
    </row>
    <row r="49" spans="1:4" s="1" customFormat="1" ht="15.75">
      <c r="A49" s="51" t="s">
        <v>201</v>
      </c>
      <c r="B49" s="618"/>
      <c r="C49" s="1" t="s">
        <v>535</v>
      </c>
      <c r="D49" s="626"/>
    </row>
    <row r="50" spans="1:6" s="6" customFormat="1" ht="18.75">
      <c r="A50" s="51" t="s">
        <v>202</v>
      </c>
      <c r="B50" s="618"/>
      <c r="C50" s="1" t="s">
        <v>535</v>
      </c>
      <c r="D50" s="626"/>
      <c r="E50" s="1"/>
      <c r="F50" s="4"/>
    </row>
    <row r="51" spans="1:6" ht="15.75">
      <c r="A51" s="51" t="s">
        <v>502</v>
      </c>
      <c r="B51" s="627">
        <v>1318759</v>
      </c>
      <c r="C51" s="1" t="s">
        <v>535</v>
      </c>
      <c r="D51" s="626"/>
      <c r="E51" s="1"/>
      <c r="F51" s="1"/>
    </row>
    <row r="52" spans="1:6" ht="15.75">
      <c r="A52" s="7" t="s">
        <v>54</v>
      </c>
      <c r="B52" s="625"/>
      <c r="C52" s="1"/>
      <c r="D52" s="623">
        <f>SUM(D34:D51)</f>
        <v>118616303</v>
      </c>
      <c r="E52" s="4" t="s">
        <v>535</v>
      </c>
      <c r="F52" s="1"/>
    </row>
    <row r="53" spans="1:6" ht="15.75">
      <c r="A53" s="51"/>
      <c r="B53" s="618"/>
      <c r="C53" s="1"/>
      <c r="D53" s="624"/>
      <c r="E53" s="1"/>
      <c r="F53" s="1"/>
    </row>
    <row r="54" spans="1:6" ht="18.75">
      <c r="A54" s="7" t="s">
        <v>55</v>
      </c>
      <c r="B54" s="618"/>
      <c r="C54" s="1"/>
      <c r="D54" s="623">
        <f>D31-D52</f>
        <v>-70404000</v>
      </c>
      <c r="E54" s="4" t="s">
        <v>535</v>
      </c>
      <c r="F54" s="6"/>
    </row>
    <row r="55" spans="1:4" ht="15.75">
      <c r="A55" s="51"/>
      <c r="B55" s="618"/>
      <c r="C55" s="1"/>
      <c r="D55" s="620"/>
    </row>
    <row r="56" spans="1:5" ht="48">
      <c r="A56" s="125" t="s">
        <v>537</v>
      </c>
      <c r="B56" s="622"/>
      <c r="C56" s="6"/>
      <c r="D56" s="620">
        <v>29614876</v>
      </c>
      <c r="E56" s="4" t="s">
        <v>535</v>
      </c>
    </row>
    <row r="57" spans="1:6" s="1" customFormat="1" ht="15.75">
      <c r="A57" s="621" t="s">
        <v>536</v>
      </c>
      <c r="B57" s="615"/>
      <c r="C57" s="4"/>
      <c r="D57" s="620">
        <v>40789124</v>
      </c>
      <c r="E57" s="4"/>
      <c r="F57" s="4"/>
    </row>
    <row r="58" spans="1:5" ht="15.75">
      <c r="A58" s="7" t="s">
        <v>88</v>
      </c>
      <c r="D58" s="619">
        <f>D54+D56+D57</f>
        <v>0</v>
      </c>
      <c r="E58" s="4" t="s">
        <v>535</v>
      </c>
    </row>
    <row r="59" spans="1:4" s="1" customFormat="1" ht="10.5" customHeight="1">
      <c r="A59" s="5"/>
      <c r="B59" s="618"/>
      <c r="D59" s="617"/>
    </row>
    <row r="60" spans="1:5" ht="15.75">
      <c r="A60" s="5"/>
      <c r="B60" s="618"/>
      <c r="C60" s="1"/>
      <c r="D60" s="617"/>
      <c r="E60" s="7"/>
    </row>
    <row r="61" spans="1:5" ht="15.75">
      <c r="A61" s="7"/>
      <c r="D61" s="616"/>
      <c r="E61" s="7"/>
    </row>
  </sheetData>
  <sheetProtection/>
  <mergeCells count="6">
    <mergeCell ref="A1:E1"/>
    <mergeCell ref="A8:E8"/>
    <mergeCell ref="A6:E6"/>
    <mergeCell ref="A5:E5"/>
    <mergeCell ref="A7:E7"/>
    <mergeCell ref="A3:E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60" customWidth="1"/>
    <col min="2" max="5" width="3.125" style="58" customWidth="1"/>
    <col min="6" max="6" width="52.125" style="8" customWidth="1"/>
    <col min="7" max="7" width="14.00390625" style="8" customWidth="1"/>
    <col min="8" max="8" width="12.625" style="8" customWidth="1"/>
    <col min="9" max="9" width="9.375" style="8" customWidth="1"/>
    <col min="10" max="16384" width="9.125" style="8" customWidth="1"/>
  </cols>
  <sheetData>
    <row r="1" spans="1:9" ht="15.75">
      <c r="A1" s="194"/>
      <c r="B1" s="194"/>
      <c r="C1" s="194"/>
      <c r="D1" s="194"/>
      <c r="E1" s="194"/>
      <c r="F1" s="97"/>
      <c r="G1" s="97"/>
      <c r="H1" s="97"/>
      <c r="I1" s="97"/>
    </row>
    <row r="2" spans="1:9" ht="15.75">
      <c r="A2" s="194"/>
      <c r="B2" s="194"/>
      <c r="C2" s="194"/>
      <c r="D2" s="194"/>
      <c r="E2" s="194"/>
      <c r="F2" s="97"/>
      <c r="G2" s="97"/>
      <c r="H2" s="97"/>
      <c r="I2" s="97"/>
    </row>
    <row r="3" spans="1:9" ht="15.75">
      <c r="A3" s="194" t="s">
        <v>520</v>
      </c>
      <c r="B3" s="194"/>
      <c r="C3" s="194"/>
      <c r="D3" s="194"/>
      <c r="E3" s="194"/>
      <c r="F3" s="97"/>
      <c r="G3" s="97"/>
      <c r="H3" s="97"/>
      <c r="I3" s="97"/>
    </row>
    <row r="4" spans="5:9" ht="15.75">
      <c r="E4" s="98"/>
      <c r="F4" s="98"/>
      <c r="G4" s="98"/>
      <c r="H4" s="98"/>
      <c r="I4" s="98"/>
    </row>
    <row r="5" spans="1:9" s="9" customFormat="1" ht="15.75">
      <c r="A5" s="346" t="s">
        <v>4</v>
      </c>
      <c r="B5" s="346"/>
      <c r="C5" s="346"/>
      <c r="D5" s="346"/>
      <c r="E5" s="346"/>
      <c r="F5" s="346"/>
      <c r="G5" s="346"/>
      <c r="H5" s="346"/>
      <c r="I5" s="346"/>
    </row>
    <row r="6" spans="1:9" s="9" customFormat="1" ht="15.75">
      <c r="A6" s="346" t="s">
        <v>43</v>
      </c>
      <c r="B6" s="346"/>
      <c r="C6" s="346"/>
      <c r="D6" s="346"/>
      <c r="E6" s="346"/>
      <c r="F6" s="346"/>
      <c r="G6" s="346"/>
      <c r="H6" s="346"/>
      <c r="I6" s="346"/>
    </row>
    <row r="7" spans="1:9" ht="15.75">
      <c r="A7" s="346" t="s">
        <v>473</v>
      </c>
      <c r="B7" s="346"/>
      <c r="C7" s="346"/>
      <c r="D7" s="346"/>
      <c r="E7" s="346"/>
      <c r="F7" s="346"/>
      <c r="G7" s="346"/>
      <c r="H7" s="346"/>
      <c r="I7" s="346"/>
    </row>
    <row r="8" ht="15.75" hidden="1"/>
    <row r="9" spans="6:7" ht="15.75">
      <c r="F9" s="372"/>
      <c r="G9" s="430"/>
    </row>
    <row r="10" spans="8:9" ht="16.5" thickBot="1">
      <c r="H10" s="62"/>
      <c r="I10" s="63" t="s">
        <v>539</v>
      </c>
    </row>
    <row r="11" spans="1:9" ht="15.75">
      <c r="A11" s="337" t="s">
        <v>21</v>
      </c>
      <c r="B11" s="338"/>
      <c r="C11" s="338"/>
      <c r="D11" s="338"/>
      <c r="E11" s="338"/>
      <c r="F11" s="339"/>
      <c r="G11" s="64" t="s">
        <v>19</v>
      </c>
      <c r="H11" s="64" t="s">
        <v>19</v>
      </c>
      <c r="I11" s="64" t="s">
        <v>20</v>
      </c>
    </row>
    <row r="12" spans="1:9" ht="15.75">
      <c r="A12" s="340"/>
      <c r="B12" s="341"/>
      <c r="C12" s="341"/>
      <c r="D12" s="341"/>
      <c r="E12" s="341"/>
      <c r="F12" s="342"/>
      <c r="G12" s="65" t="s">
        <v>10</v>
      </c>
      <c r="H12" s="66" t="s">
        <v>10</v>
      </c>
      <c r="I12" s="65"/>
    </row>
    <row r="13" spans="1:9" ht="16.5" thickBot="1">
      <c r="A13" s="343"/>
      <c r="B13" s="344"/>
      <c r="C13" s="344"/>
      <c r="D13" s="344"/>
      <c r="E13" s="344"/>
      <c r="F13" s="345"/>
      <c r="G13" s="67" t="s">
        <v>171</v>
      </c>
      <c r="H13" s="67" t="s">
        <v>473</v>
      </c>
      <c r="I13" s="67" t="s">
        <v>22</v>
      </c>
    </row>
    <row r="14" spans="1:9" ht="15.75">
      <c r="A14" s="295"/>
      <c r="B14" s="295"/>
      <c r="C14" s="295"/>
      <c r="D14" s="295"/>
      <c r="E14" s="295"/>
      <c r="F14" s="295"/>
      <c r="G14" s="295"/>
      <c r="H14" s="295"/>
      <c r="I14" s="295"/>
    </row>
    <row r="15" spans="1:9" ht="15.75">
      <c r="A15" s="295"/>
      <c r="B15" s="295"/>
      <c r="C15" s="295"/>
      <c r="D15" s="295"/>
      <c r="E15" s="295"/>
      <c r="F15" s="295"/>
      <c r="G15" s="295"/>
      <c r="H15" s="295"/>
      <c r="I15" s="295"/>
    </row>
    <row r="16" spans="1:9" ht="15.75">
      <c r="A16" s="19" t="s">
        <v>56</v>
      </c>
      <c r="B16" s="336" t="s">
        <v>94</v>
      </c>
      <c r="C16" s="336"/>
      <c r="D16" s="336"/>
      <c r="E16" s="336"/>
      <c r="F16" s="336"/>
      <c r="G16" s="100"/>
      <c r="H16" s="651"/>
      <c r="I16" s="100"/>
    </row>
    <row r="17" spans="1:9" ht="15.75">
      <c r="A17" s="19"/>
      <c r="B17" s="19" t="s">
        <v>56</v>
      </c>
      <c r="C17" s="19" t="s">
        <v>95</v>
      </c>
      <c r="D17" s="19"/>
      <c r="E17" s="19"/>
      <c r="F17" s="19"/>
      <c r="G17" s="640"/>
      <c r="H17" s="640"/>
      <c r="I17" s="19"/>
    </row>
    <row r="18" spans="1:9" ht="33" customHeight="1">
      <c r="A18" s="19"/>
      <c r="B18" s="19"/>
      <c r="C18" s="19" t="s">
        <v>49</v>
      </c>
      <c r="D18" s="336" t="s">
        <v>96</v>
      </c>
      <c r="E18" s="336"/>
      <c r="F18" s="336"/>
      <c r="G18" s="651"/>
      <c r="H18" s="651"/>
      <c r="I18" s="100"/>
    </row>
    <row r="19" spans="1:9" ht="33.75" customHeight="1">
      <c r="A19" s="19"/>
      <c r="B19" s="19"/>
      <c r="C19" s="19"/>
      <c r="D19" s="19" t="s">
        <v>49</v>
      </c>
      <c r="E19" s="336" t="s">
        <v>97</v>
      </c>
      <c r="F19" s="336"/>
      <c r="G19" s="651"/>
      <c r="H19" s="651"/>
      <c r="I19" s="100"/>
    </row>
    <row r="20" spans="1:9" ht="15.75">
      <c r="A20" s="22"/>
      <c r="B20" s="22"/>
      <c r="C20" s="22"/>
      <c r="D20" s="22"/>
      <c r="E20" s="22" t="s">
        <v>63</v>
      </c>
      <c r="F20" s="22" t="s">
        <v>57</v>
      </c>
      <c r="G20" s="644"/>
      <c r="H20" s="644"/>
      <c r="I20" s="101"/>
    </row>
    <row r="21" spans="1:9" ht="15.75">
      <c r="A21" s="22"/>
      <c r="B21" s="22"/>
      <c r="C21" s="22"/>
      <c r="D21" s="22"/>
      <c r="E21" s="22"/>
      <c r="F21" s="22" t="s">
        <v>98</v>
      </c>
      <c r="G21" s="644"/>
      <c r="I21" s="101"/>
    </row>
    <row r="22" spans="1:9" ht="31.5">
      <c r="A22" s="22"/>
      <c r="B22" s="22"/>
      <c r="C22" s="22"/>
      <c r="D22" s="22"/>
      <c r="E22" s="22" t="s">
        <v>64</v>
      </c>
      <c r="F22" s="102" t="s">
        <v>58</v>
      </c>
      <c r="G22" s="636"/>
      <c r="I22" s="101"/>
    </row>
    <row r="23" spans="1:9" ht="31.5">
      <c r="A23" s="22"/>
      <c r="B23" s="22"/>
      <c r="C23" s="22"/>
      <c r="D23" s="22"/>
      <c r="E23" s="22" t="s">
        <v>99</v>
      </c>
      <c r="F23" s="102" t="s">
        <v>100</v>
      </c>
      <c r="G23" s="648">
        <v>2553000</v>
      </c>
      <c r="H23" s="659">
        <v>2553350</v>
      </c>
      <c r="I23" s="101">
        <f>H23/G23*100</f>
        <v>100.01370936153545</v>
      </c>
    </row>
    <row r="24" spans="1:9" ht="15.75">
      <c r="A24" s="22"/>
      <c r="B24" s="22"/>
      <c r="C24" s="22"/>
      <c r="D24" s="22"/>
      <c r="E24" s="22"/>
      <c r="F24" s="22" t="s">
        <v>98</v>
      </c>
      <c r="G24" s="644"/>
      <c r="I24" s="101"/>
    </row>
    <row r="25" spans="1:9" ht="15.75">
      <c r="A25" s="22"/>
      <c r="B25" s="22"/>
      <c r="C25" s="22"/>
      <c r="D25" s="22"/>
      <c r="E25" s="22" t="s">
        <v>101</v>
      </c>
      <c r="F25" s="102" t="s">
        <v>102</v>
      </c>
      <c r="G25" s="648">
        <v>3392000</v>
      </c>
      <c r="H25" s="659">
        <v>3648000</v>
      </c>
      <c r="I25" s="101">
        <f>H25/G25*100</f>
        <v>107.54716981132076</v>
      </c>
    </row>
    <row r="26" spans="1:9" ht="15.75">
      <c r="A26" s="22"/>
      <c r="B26" s="22"/>
      <c r="C26" s="22"/>
      <c r="D26" s="22"/>
      <c r="E26" s="22"/>
      <c r="F26" s="22" t="s">
        <v>98</v>
      </c>
      <c r="G26" s="644"/>
      <c r="I26" s="101"/>
    </row>
    <row r="27" spans="1:9" ht="33" customHeight="1">
      <c r="A27" s="22"/>
      <c r="B27" s="22"/>
      <c r="C27" s="22"/>
      <c r="D27" s="22"/>
      <c r="E27" s="22" t="s">
        <v>103</v>
      </c>
      <c r="F27" s="102" t="s">
        <v>104</v>
      </c>
      <c r="G27" s="644">
        <v>100000</v>
      </c>
      <c r="H27" s="659">
        <v>100000</v>
      </c>
      <c r="I27" s="101">
        <f>H27/G27*100</f>
        <v>100</v>
      </c>
    </row>
    <row r="28" spans="1:9" ht="15.75">
      <c r="A28" s="22"/>
      <c r="B28" s="22"/>
      <c r="C28" s="22"/>
      <c r="D28" s="22"/>
      <c r="E28" s="22"/>
      <c r="F28" s="22" t="s">
        <v>98</v>
      </c>
      <c r="G28" s="644"/>
      <c r="I28" s="101"/>
    </row>
    <row r="29" spans="1:9" ht="15.75">
      <c r="A29" s="22"/>
      <c r="B29" s="22"/>
      <c r="C29" s="22"/>
      <c r="D29" s="22"/>
      <c r="E29" s="22" t="s">
        <v>105</v>
      </c>
      <c r="F29" s="102" t="s">
        <v>106</v>
      </c>
      <c r="G29" s="648">
        <v>7507000</v>
      </c>
      <c r="H29" s="659">
        <v>7506890</v>
      </c>
      <c r="I29" s="101">
        <f>H29/G29*100</f>
        <v>99.99853470094578</v>
      </c>
    </row>
    <row r="30" spans="1:9" s="52" customFormat="1" ht="15.75">
      <c r="A30" s="22"/>
      <c r="B30" s="22"/>
      <c r="C30" s="22"/>
      <c r="D30" s="22"/>
      <c r="E30" s="22"/>
      <c r="F30" s="22" t="s">
        <v>98</v>
      </c>
      <c r="G30" s="644"/>
      <c r="I30" s="101"/>
    </row>
    <row r="31" spans="1:9" ht="15.75">
      <c r="A31" s="22"/>
      <c r="B31" s="22"/>
      <c r="C31" s="22"/>
      <c r="D31" s="22" t="s">
        <v>65</v>
      </c>
      <c r="E31" s="22" t="s">
        <v>107</v>
      </c>
      <c r="F31" s="22"/>
      <c r="G31" s="633">
        <v>4000000</v>
      </c>
      <c r="H31" s="659">
        <v>5000000</v>
      </c>
      <c r="I31" s="101">
        <f>H31/G31*100</f>
        <v>125</v>
      </c>
    </row>
    <row r="32" spans="1:9" ht="15.75">
      <c r="A32" s="22"/>
      <c r="B32" s="22"/>
      <c r="C32" s="22"/>
      <c r="D32" s="22"/>
      <c r="E32" s="22"/>
      <c r="F32" s="22" t="s">
        <v>98</v>
      </c>
      <c r="G32" s="657">
        <v>-239000</v>
      </c>
      <c r="H32" s="659">
        <v>-267242</v>
      </c>
      <c r="I32" s="101">
        <f>H32/G32*100</f>
        <v>111.81673640167364</v>
      </c>
    </row>
    <row r="33" spans="1:9" ht="15.75">
      <c r="A33" s="22"/>
      <c r="B33" s="22"/>
      <c r="C33" s="22"/>
      <c r="D33" s="22" t="s">
        <v>66</v>
      </c>
      <c r="E33" s="22" t="s">
        <v>173</v>
      </c>
      <c r="F33" s="22"/>
      <c r="G33" s="644">
        <v>20000</v>
      </c>
      <c r="H33" s="659">
        <v>20400</v>
      </c>
      <c r="I33" s="101">
        <f>H33/G33*100</f>
        <v>102</v>
      </c>
    </row>
    <row r="34" spans="1:9" ht="15.75">
      <c r="A34" s="22"/>
      <c r="B34" s="22"/>
      <c r="C34" s="22"/>
      <c r="D34" s="22" t="s">
        <v>174</v>
      </c>
      <c r="E34" s="22" t="s">
        <v>123</v>
      </c>
      <c r="F34" s="22"/>
      <c r="G34" s="644">
        <v>682000</v>
      </c>
      <c r="H34" s="659">
        <v>206150</v>
      </c>
      <c r="I34" s="101">
        <f>H34/G34*100</f>
        <v>30.227272727272727</v>
      </c>
    </row>
    <row r="35" spans="1:9" ht="15.75">
      <c r="A35" s="22"/>
      <c r="B35" s="22"/>
      <c r="C35" s="22" t="s">
        <v>29</v>
      </c>
      <c r="D35" s="357" t="s">
        <v>109</v>
      </c>
      <c r="E35" s="357"/>
      <c r="F35" s="357"/>
      <c r="G35" s="644">
        <v>6000</v>
      </c>
      <c r="H35" s="659">
        <v>3200</v>
      </c>
      <c r="I35" s="101">
        <f>H35/G35*100</f>
        <v>53.333333333333336</v>
      </c>
    </row>
    <row r="36" spans="1:9" ht="15.75">
      <c r="A36" s="22"/>
      <c r="B36" s="22"/>
      <c r="C36" s="22" t="s">
        <v>121</v>
      </c>
      <c r="D36" s="22" t="s">
        <v>175</v>
      </c>
      <c r="E36" s="22"/>
      <c r="F36" s="22"/>
      <c r="G36" s="644">
        <v>48000</v>
      </c>
      <c r="H36" s="659">
        <v>33909</v>
      </c>
      <c r="I36" s="101">
        <f>H36/G36*100</f>
        <v>70.64375000000001</v>
      </c>
    </row>
    <row r="37" spans="1:9" s="52" customFormat="1" ht="15.75">
      <c r="A37" s="22"/>
      <c r="B37" s="22"/>
      <c r="C37" s="22"/>
      <c r="D37" s="22" t="s">
        <v>29</v>
      </c>
      <c r="E37" s="22" t="s">
        <v>108</v>
      </c>
      <c r="F37" s="22"/>
      <c r="G37" s="644"/>
      <c r="I37" s="101"/>
    </row>
    <row r="38" spans="1:9" ht="15.75">
      <c r="A38" s="22"/>
      <c r="B38" s="22"/>
      <c r="C38" s="22"/>
      <c r="D38" s="22"/>
      <c r="E38" s="22"/>
      <c r="F38" s="22" t="s">
        <v>98</v>
      </c>
      <c r="G38" s="644"/>
      <c r="I38" s="101"/>
    </row>
    <row r="39" spans="1:9" ht="15.75">
      <c r="A39" s="22"/>
      <c r="B39" s="22"/>
      <c r="C39" s="22"/>
      <c r="D39" s="22"/>
      <c r="E39" s="22"/>
      <c r="F39" s="22"/>
      <c r="G39" s="644"/>
      <c r="I39" s="101"/>
    </row>
    <row r="40" spans="1:9" ht="31.5" customHeight="1">
      <c r="A40" s="104"/>
      <c r="B40" s="104"/>
      <c r="C40" s="105"/>
      <c r="D40" s="347" t="s">
        <v>110</v>
      </c>
      <c r="E40" s="347"/>
      <c r="F40" s="347"/>
      <c r="G40" s="660">
        <f>SUM(G20:G39)</f>
        <v>18069000</v>
      </c>
      <c r="H40" s="660">
        <f>SUM(H20:H39)</f>
        <v>18804657</v>
      </c>
      <c r="I40" s="119">
        <f>H40/G40*100</f>
        <v>104.07137639050308</v>
      </c>
    </row>
    <row r="41" spans="1:9" s="52" customFormat="1" ht="15.75">
      <c r="A41" s="19"/>
      <c r="B41" s="19"/>
      <c r="C41" s="19"/>
      <c r="D41" s="99"/>
      <c r="E41" s="99"/>
      <c r="F41" s="99"/>
      <c r="G41" s="651"/>
      <c r="I41" s="101"/>
    </row>
    <row r="42" spans="1:9" ht="15.75">
      <c r="A42" s="22"/>
      <c r="B42" s="22"/>
      <c r="C42" s="19" t="s">
        <v>50</v>
      </c>
      <c r="D42" s="336" t="s">
        <v>111</v>
      </c>
      <c r="E42" s="336"/>
      <c r="F42" s="336"/>
      <c r="G42" s="651"/>
      <c r="I42" s="101"/>
    </row>
    <row r="43" spans="1:9" ht="15.75">
      <c r="A43" s="22"/>
      <c r="B43" s="22"/>
      <c r="C43" s="22"/>
      <c r="D43" s="22" t="s">
        <v>49</v>
      </c>
      <c r="E43" s="22" t="s">
        <v>176</v>
      </c>
      <c r="F43" s="22"/>
      <c r="G43" s="644">
        <v>327000</v>
      </c>
      <c r="I43" s="101">
        <f>H43/G43*100</f>
        <v>0</v>
      </c>
    </row>
    <row r="44" spans="1:9" ht="30.75" customHeight="1">
      <c r="A44" s="22"/>
      <c r="B44" s="22"/>
      <c r="C44" s="22"/>
      <c r="D44" s="22" t="s">
        <v>29</v>
      </c>
      <c r="E44" s="357" t="s">
        <v>177</v>
      </c>
      <c r="F44" s="357"/>
      <c r="G44" s="644">
        <v>1990000</v>
      </c>
      <c r="H44" s="659">
        <v>3855289</v>
      </c>
      <c r="I44" s="101"/>
    </row>
    <row r="45" spans="1:9" ht="15.75">
      <c r="A45" s="22"/>
      <c r="B45" s="22"/>
      <c r="C45" s="22"/>
      <c r="D45" s="22" t="s">
        <v>50</v>
      </c>
      <c r="E45" s="22" t="s">
        <v>112</v>
      </c>
      <c r="F45" s="22"/>
      <c r="G45" s="644">
        <v>1052000</v>
      </c>
      <c r="H45" s="659">
        <v>830400</v>
      </c>
      <c r="I45" s="101">
        <f>H45/G45*100</f>
        <v>78.93536121673004</v>
      </c>
    </row>
    <row r="46" spans="1:9" ht="15.75">
      <c r="A46" s="22"/>
      <c r="B46" s="22"/>
      <c r="C46" s="22"/>
      <c r="D46" s="22" t="s">
        <v>113</v>
      </c>
      <c r="E46" s="22" t="s">
        <v>114</v>
      </c>
      <c r="F46" s="22"/>
      <c r="G46" s="644"/>
      <c r="H46" s="659"/>
      <c r="I46" s="101"/>
    </row>
    <row r="47" spans="1:9" ht="15.75">
      <c r="A47" s="22"/>
      <c r="B47" s="22"/>
      <c r="C47" s="22"/>
      <c r="D47" s="22" t="s">
        <v>115</v>
      </c>
      <c r="E47" s="22" t="s">
        <v>116</v>
      </c>
      <c r="F47" s="22"/>
      <c r="G47" s="644">
        <v>3128000</v>
      </c>
      <c r="H47" s="659">
        <v>3823675</v>
      </c>
      <c r="I47" s="101">
        <f>H47/G47*100</f>
        <v>122.24024936061382</v>
      </c>
    </row>
    <row r="48" spans="1:9" ht="15.75">
      <c r="A48" s="22"/>
      <c r="B48" s="22"/>
      <c r="C48" s="22"/>
      <c r="D48" s="22"/>
      <c r="E48" s="22"/>
      <c r="F48" s="22"/>
      <c r="G48" s="644"/>
      <c r="H48" s="659"/>
      <c r="I48" s="101"/>
    </row>
    <row r="49" spans="1:9" ht="33.75" customHeight="1">
      <c r="A49" s="104"/>
      <c r="B49" s="104"/>
      <c r="C49" s="347" t="s">
        <v>117</v>
      </c>
      <c r="D49" s="347"/>
      <c r="E49" s="347"/>
      <c r="F49" s="347"/>
      <c r="G49" s="658">
        <f>SUM(G43:G48)</f>
        <v>6497000</v>
      </c>
      <c r="H49" s="655">
        <f>SUM(H43:H48)</f>
        <v>8509364</v>
      </c>
      <c r="I49" s="119">
        <f>H49/G49*100</f>
        <v>130.97374172695092</v>
      </c>
    </row>
    <row r="50" spans="1:9" ht="33.75" customHeight="1">
      <c r="A50" s="104"/>
      <c r="B50" s="104"/>
      <c r="C50" s="293"/>
      <c r="D50" s="293"/>
      <c r="E50" s="293"/>
      <c r="F50" s="293"/>
      <c r="G50" s="653"/>
      <c r="H50" s="653"/>
      <c r="I50" s="119"/>
    </row>
    <row r="51" spans="1:9" ht="33.75" customHeight="1">
      <c r="A51" s="104"/>
      <c r="B51" s="104"/>
      <c r="C51" s="293"/>
      <c r="D51" s="293"/>
      <c r="E51" s="293"/>
      <c r="F51" s="293"/>
      <c r="G51" s="653"/>
      <c r="H51" s="653"/>
      <c r="I51" s="119"/>
    </row>
    <row r="52" spans="1:9" ht="16.5" thickBot="1">
      <c r="A52" s="104"/>
      <c r="B52" s="104"/>
      <c r="C52" s="293"/>
      <c r="D52" s="293"/>
      <c r="E52" s="293"/>
      <c r="F52" s="293"/>
      <c r="G52" s="653"/>
      <c r="H52" s="653"/>
      <c r="I52" s="119"/>
    </row>
    <row r="53" spans="1:9" ht="15.75">
      <c r="A53" s="348" t="s">
        <v>21</v>
      </c>
      <c r="B53" s="349"/>
      <c r="C53" s="349"/>
      <c r="D53" s="349"/>
      <c r="E53" s="349"/>
      <c r="F53" s="350"/>
      <c r="G53" s="64" t="s">
        <v>19</v>
      </c>
      <c r="H53" s="64" t="s">
        <v>19</v>
      </c>
      <c r="I53" s="64" t="s">
        <v>20</v>
      </c>
    </row>
    <row r="54" spans="1:9" ht="15.75">
      <c r="A54" s="351"/>
      <c r="B54" s="352"/>
      <c r="C54" s="352"/>
      <c r="D54" s="352"/>
      <c r="E54" s="352"/>
      <c r="F54" s="353"/>
      <c r="G54" s="65" t="s">
        <v>10</v>
      </c>
      <c r="H54" s="66" t="s">
        <v>10</v>
      </c>
      <c r="I54" s="65"/>
    </row>
    <row r="55" spans="1:9" ht="16.5" thickBot="1">
      <c r="A55" s="354"/>
      <c r="B55" s="355"/>
      <c r="C55" s="355"/>
      <c r="D55" s="355"/>
      <c r="E55" s="355"/>
      <c r="F55" s="356"/>
      <c r="G55" s="67" t="s">
        <v>171</v>
      </c>
      <c r="H55" s="67" t="s">
        <v>473</v>
      </c>
      <c r="I55" s="67" t="s">
        <v>22</v>
      </c>
    </row>
    <row r="56" spans="1:9" ht="12" customHeight="1">
      <c r="A56" s="22"/>
      <c r="B56" s="22"/>
      <c r="C56" s="22"/>
      <c r="D56" s="22"/>
      <c r="E56" s="22"/>
      <c r="F56" s="22"/>
      <c r="G56" s="644"/>
      <c r="H56" s="644"/>
      <c r="I56" s="101"/>
    </row>
    <row r="57" spans="1:9" ht="31.5" customHeight="1">
      <c r="A57" s="22"/>
      <c r="B57" s="22"/>
      <c r="C57" s="19" t="s">
        <v>113</v>
      </c>
      <c r="D57" s="336" t="s">
        <v>118</v>
      </c>
      <c r="E57" s="336"/>
      <c r="F57" s="336"/>
      <c r="G57" s="651"/>
      <c r="H57" s="651"/>
      <c r="I57" s="100"/>
    </row>
    <row r="58" spans="1:9" ht="15.75">
      <c r="A58" s="22"/>
      <c r="B58" s="22"/>
      <c r="C58" s="22"/>
      <c r="D58" s="22" t="s">
        <v>49</v>
      </c>
      <c r="E58" s="357" t="s">
        <v>61</v>
      </c>
      <c r="F58" s="357"/>
      <c r="G58" s="636"/>
      <c r="H58" s="636"/>
      <c r="I58" s="102"/>
    </row>
    <row r="59" spans="1:9" ht="31.5">
      <c r="A59" s="22"/>
      <c r="B59" s="22"/>
      <c r="C59" s="22"/>
      <c r="D59" s="22"/>
      <c r="E59" s="22" t="s">
        <v>66</v>
      </c>
      <c r="F59" s="102" t="s">
        <v>119</v>
      </c>
      <c r="G59" s="657">
        <v>1200000</v>
      </c>
      <c r="H59" s="656">
        <v>1200000</v>
      </c>
      <c r="I59" s="101">
        <f>H59/G59*100</f>
        <v>100</v>
      </c>
    </row>
    <row r="60" spans="1:9" ht="12" customHeight="1">
      <c r="A60" s="22"/>
      <c r="B60" s="22"/>
      <c r="C60" s="22"/>
      <c r="D60" s="22"/>
      <c r="E60" s="22"/>
      <c r="F60" s="22"/>
      <c r="G60" s="644"/>
      <c r="H60" s="644"/>
      <c r="I60" s="101"/>
    </row>
    <row r="61" spans="1:9" ht="15.75">
      <c r="A61" s="104"/>
      <c r="B61" s="104"/>
      <c r="C61" s="359" t="s">
        <v>120</v>
      </c>
      <c r="D61" s="359"/>
      <c r="E61" s="359"/>
      <c r="F61" s="359"/>
      <c r="G61" s="655">
        <f>SUM(G59:G60)</f>
        <v>1200000</v>
      </c>
      <c r="H61" s="655">
        <f>SUM(H59:H60)</f>
        <v>1200000</v>
      </c>
      <c r="I61" s="654">
        <f>H61/G61*100</f>
        <v>100</v>
      </c>
    </row>
    <row r="62" spans="1:9" ht="12" customHeight="1">
      <c r="A62" s="22"/>
      <c r="B62" s="22"/>
      <c r="C62" s="22"/>
      <c r="D62" s="22"/>
      <c r="E62" s="22"/>
      <c r="F62" s="22"/>
      <c r="G62" s="644"/>
      <c r="H62" s="644"/>
      <c r="I62" s="101"/>
    </row>
    <row r="63" spans="1:9" ht="15.75">
      <c r="A63" s="107"/>
      <c r="B63" s="107"/>
      <c r="C63" s="109" t="s">
        <v>121</v>
      </c>
      <c r="D63" s="19" t="s">
        <v>122</v>
      </c>
      <c r="E63" s="107"/>
      <c r="F63" s="107"/>
      <c r="G63" s="635"/>
      <c r="H63" s="635"/>
      <c r="I63" s="101"/>
    </row>
    <row r="64" spans="1:9" ht="15.75">
      <c r="A64" s="107"/>
      <c r="B64" s="107"/>
      <c r="C64" s="107"/>
      <c r="D64" s="107" t="s">
        <v>49</v>
      </c>
      <c r="E64" s="360" t="s">
        <v>538</v>
      </c>
      <c r="F64" s="360"/>
      <c r="G64" s="635"/>
      <c r="H64" s="635">
        <v>112611</v>
      </c>
      <c r="I64" s="101"/>
    </row>
    <row r="65" spans="1:9" ht="12" customHeight="1">
      <c r="A65" s="22"/>
      <c r="B65" s="22"/>
      <c r="C65" s="22"/>
      <c r="D65" s="22"/>
      <c r="E65" s="22"/>
      <c r="F65" s="22"/>
      <c r="G65" s="644"/>
      <c r="H65" s="644"/>
      <c r="I65" s="101"/>
    </row>
    <row r="66" spans="1:9" ht="15.75">
      <c r="A66" s="22"/>
      <c r="B66" s="22"/>
      <c r="C66" s="104" t="s">
        <v>172</v>
      </c>
      <c r="D66" s="22"/>
      <c r="E66" s="22"/>
      <c r="F66" s="22"/>
      <c r="G66" s="653"/>
      <c r="H66" s="653"/>
      <c r="I66" s="101"/>
    </row>
    <row r="67" spans="1:9" ht="12" customHeight="1">
      <c r="A67" s="22"/>
      <c r="B67" s="22"/>
      <c r="C67" s="19"/>
      <c r="D67" s="22"/>
      <c r="E67" s="22"/>
      <c r="F67" s="22"/>
      <c r="G67" s="644"/>
      <c r="H67" s="644"/>
      <c r="I67" s="101"/>
    </row>
    <row r="68" spans="1:9" ht="15.75">
      <c r="A68" s="107"/>
      <c r="B68" s="336" t="s">
        <v>124</v>
      </c>
      <c r="C68" s="336"/>
      <c r="D68" s="336"/>
      <c r="E68" s="336"/>
      <c r="F68" s="336"/>
      <c r="G68" s="641">
        <f>G40+G49+G61+G66</f>
        <v>25766000</v>
      </c>
      <c r="H68" s="641">
        <f>H40+H49+H61+H64</f>
        <v>28626632</v>
      </c>
      <c r="I68" s="111">
        <f>H68/G68*100</f>
        <v>111.10235193666071</v>
      </c>
    </row>
    <row r="69" spans="1:9" ht="12" customHeight="1">
      <c r="A69" s="22"/>
      <c r="B69" s="22"/>
      <c r="C69" s="22"/>
      <c r="D69" s="22"/>
      <c r="E69" s="22"/>
      <c r="F69" s="22"/>
      <c r="G69" s="644"/>
      <c r="H69" s="644"/>
      <c r="I69" s="101"/>
    </row>
    <row r="70" spans="1:9" ht="15.75">
      <c r="A70" s="107"/>
      <c r="B70" s="19" t="s">
        <v>59</v>
      </c>
      <c r="C70" s="336" t="s">
        <v>125</v>
      </c>
      <c r="D70" s="336"/>
      <c r="E70" s="336"/>
      <c r="F70" s="336"/>
      <c r="G70" s="100"/>
      <c r="H70" s="651"/>
      <c r="I70" s="101"/>
    </row>
    <row r="71" spans="1:9" ht="15.75">
      <c r="A71" s="22"/>
      <c r="B71" s="22"/>
      <c r="C71" s="22" t="s">
        <v>29</v>
      </c>
      <c r="D71" s="22" t="s">
        <v>126</v>
      </c>
      <c r="E71" s="22"/>
      <c r="F71" s="22"/>
      <c r="G71" s="635"/>
      <c r="H71" s="644">
        <v>756671</v>
      </c>
      <c r="I71" s="101"/>
    </row>
    <row r="72" spans="1:9" ht="30" customHeight="1">
      <c r="A72" s="22"/>
      <c r="B72" s="22"/>
      <c r="C72" s="22" t="s">
        <v>50</v>
      </c>
      <c r="D72" s="358" t="s">
        <v>388</v>
      </c>
      <c r="E72" s="358"/>
      <c r="F72" s="358"/>
      <c r="G72" s="635">
        <v>46000</v>
      </c>
      <c r="H72" s="644">
        <v>46000</v>
      </c>
      <c r="I72" s="101"/>
    </row>
    <row r="73" spans="1:9" ht="12" customHeight="1">
      <c r="A73" s="22"/>
      <c r="B73" s="22"/>
      <c r="C73" s="22"/>
      <c r="D73" s="22"/>
      <c r="E73" s="22"/>
      <c r="F73" s="22"/>
      <c r="G73" s="644"/>
      <c r="H73" s="644"/>
      <c r="I73" s="101"/>
    </row>
    <row r="74" spans="1:9" ht="15.75" customHeight="1">
      <c r="A74" s="107"/>
      <c r="B74" s="336" t="s">
        <v>127</v>
      </c>
      <c r="C74" s="336"/>
      <c r="D74" s="336"/>
      <c r="E74" s="336"/>
      <c r="F74" s="336"/>
      <c r="G74" s="642">
        <f>SUM(G71:G73)</f>
        <v>46000</v>
      </c>
      <c r="H74" s="642">
        <f>SUM(H71:H73)</f>
        <v>802671</v>
      </c>
      <c r="I74" s="111"/>
    </row>
    <row r="75" spans="1:9" ht="12" customHeight="1">
      <c r="A75" s="22"/>
      <c r="B75" s="22"/>
      <c r="C75" s="22"/>
      <c r="D75" s="22"/>
      <c r="E75" s="22"/>
      <c r="F75" s="22"/>
      <c r="G75" s="644"/>
      <c r="H75" s="644"/>
      <c r="I75" s="101"/>
    </row>
    <row r="76" spans="1:9" ht="36" customHeight="1">
      <c r="A76" s="336" t="s">
        <v>128</v>
      </c>
      <c r="B76" s="336"/>
      <c r="C76" s="336"/>
      <c r="D76" s="336"/>
      <c r="E76" s="336"/>
      <c r="F76" s="336"/>
      <c r="G76" s="112">
        <f>G74+G68</f>
        <v>25812000</v>
      </c>
      <c r="H76" s="652">
        <f>H74+H68</f>
        <v>29429303</v>
      </c>
      <c r="I76" s="101">
        <f>H76/G76*100</f>
        <v>114.01403610723695</v>
      </c>
    </row>
    <row r="77" spans="1:9" ht="36" customHeight="1">
      <c r="A77" s="99"/>
      <c r="B77" s="99"/>
      <c r="C77" s="99"/>
      <c r="D77" s="99"/>
      <c r="E77" s="99"/>
      <c r="F77" s="99"/>
      <c r="G77" s="112"/>
      <c r="H77" s="112"/>
      <c r="I77" s="101"/>
    </row>
    <row r="78" spans="1:9" ht="12" customHeight="1">
      <c r="A78" s="22"/>
      <c r="B78" s="22"/>
      <c r="C78" s="22"/>
      <c r="D78" s="22"/>
      <c r="E78" s="22"/>
      <c r="F78" s="22"/>
      <c r="G78" s="644"/>
      <c r="H78" s="644"/>
      <c r="I78" s="101"/>
    </row>
    <row r="79" spans="1:9" s="68" customFormat="1" ht="15.75" customHeight="1">
      <c r="A79" s="19" t="s">
        <v>59</v>
      </c>
      <c r="B79" s="336" t="s">
        <v>129</v>
      </c>
      <c r="C79" s="336"/>
      <c r="D79" s="336"/>
      <c r="E79" s="336"/>
      <c r="F79" s="336"/>
      <c r="G79" s="100"/>
      <c r="H79" s="651"/>
      <c r="I79" s="101"/>
    </row>
    <row r="80" spans="1:9" ht="12" customHeight="1">
      <c r="A80" s="22"/>
      <c r="B80" s="22"/>
      <c r="C80" s="22"/>
      <c r="D80" s="22"/>
      <c r="E80" s="22"/>
      <c r="F80" s="22"/>
      <c r="G80" s="644"/>
      <c r="H80" s="644"/>
      <c r="I80" s="101"/>
    </row>
    <row r="81" spans="1:9" s="68" customFormat="1" ht="27.75" customHeight="1">
      <c r="A81" s="22"/>
      <c r="B81" s="19" t="s">
        <v>49</v>
      </c>
      <c r="C81" s="336" t="s">
        <v>130</v>
      </c>
      <c r="D81" s="336"/>
      <c r="E81" s="336"/>
      <c r="F81" s="336"/>
      <c r="G81" s="100"/>
      <c r="H81" s="651"/>
      <c r="I81" s="101"/>
    </row>
    <row r="82" spans="3:9" ht="35.25" customHeight="1">
      <c r="C82" s="58" t="s">
        <v>29</v>
      </c>
      <c r="D82" s="358" t="s">
        <v>178</v>
      </c>
      <c r="E82" s="358"/>
      <c r="F82" s="358"/>
      <c r="G82" s="113">
        <v>9743000</v>
      </c>
      <c r="H82" s="113"/>
      <c r="I82" s="10"/>
    </row>
    <row r="83" spans="1:9" ht="12" customHeight="1">
      <c r="A83" s="22"/>
      <c r="B83" s="22"/>
      <c r="C83" s="22"/>
      <c r="D83" s="22"/>
      <c r="E83" s="22"/>
      <c r="F83" s="22"/>
      <c r="G83" s="644"/>
      <c r="H83" s="644"/>
      <c r="I83" s="101"/>
    </row>
    <row r="84" spans="1:9" ht="15.75" customHeight="1">
      <c r="A84" s="107"/>
      <c r="B84" s="336" t="s">
        <v>131</v>
      </c>
      <c r="C84" s="336"/>
      <c r="D84" s="336"/>
      <c r="E84" s="336"/>
      <c r="F84" s="336"/>
      <c r="G84" s="650">
        <f>SUM(G82:G83)</f>
        <v>9743000</v>
      </c>
      <c r="H84" s="650">
        <f>SUM(H82:H83)</f>
        <v>0</v>
      </c>
      <c r="I84" s="101">
        <f>H84/G84*100</f>
        <v>0</v>
      </c>
    </row>
    <row r="85" spans="1:9" ht="12" customHeight="1">
      <c r="A85" s="22"/>
      <c r="B85" s="22"/>
      <c r="C85" s="22"/>
      <c r="D85" s="22"/>
      <c r="E85" s="22"/>
      <c r="F85" s="22"/>
      <c r="G85" s="644"/>
      <c r="H85" s="644"/>
      <c r="I85" s="101"/>
    </row>
    <row r="86" spans="1:9" ht="34.5" customHeight="1">
      <c r="A86" s="336" t="s">
        <v>132</v>
      </c>
      <c r="B86" s="336"/>
      <c r="C86" s="336"/>
      <c r="D86" s="336"/>
      <c r="E86" s="336"/>
      <c r="F86" s="336"/>
      <c r="G86" s="642">
        <f>G84</f>
        <v>9743000</v>
      </c>
      <c r="H86" s="642">
        <f>H84</f>
        <v>0</v>
      </c>
      <c r="I86" s="111">
        <f>H86/G86*100</f>
        <v>0</v>
      </c>
    </row>
    <row r="87" spans="1:9" ht="11.25" customHeight="1">
      <c r="A87" s="99"/>
      <c r="B87" s="99"/>
      <c r="C87" s="99"/>
      <c r="D87" s="99"/>
      <c r="E87" s="99"/>
      <c r="F87" s="99"/>
      <c r="G87" s="642"/>
      <c r="H87" s="642"/>
      <c r="I87" s="111"/>
    </row>
    <row r="88" spans="1:9" ht="12" customHeight="1">
      <c r="A88" s="22"/>
      <c r="B88" s="22"/>
      <c r="C88" s="22"/>
      <c r="D88" s="22"/>
      <c r="E88" s="22"/>
      <c r="F88" s="22"/>
      <c r="G88" s="644"/>
      <c r="H88" s="644"/>
      <c r="I88" s="101"/>
    </row>
    <row r="89" spans="1:9" ht="15.75">
      <c r="A89" s="19" t="s">
        <v>60</v>
      </c>
      <c r="B89" s="19" t="s">
        <v>133</v>
      </c>
      <c r="C89" s="19"/>
      <c r="D89" s="19"/>
      <c r="E89" s="19"/>
      <c r="F89" s="19"/>
      <c r="G89" s="19"/>
      <c r="H89" s="640"/>
      <c r="I89" s="101"/>
    </row>
    <row r="90" spans="1:9" ht="12" customHeight="1">
      <c r="A90" s="22"/>
      <c r="B90" s="22"/>
      <c r="C90" s="22"/>
      <c r="D90" s="22"/>
      <c r="E90" s="22"/>
      <c r="F90" s="22"/>
      <c r="G90" s="644"/>
      <c r="H90" s="644"/>
      <c r="I90" s="101"/>
    </row>
    <row r="91" spans="1:9" ht="15.75">
      <c r="A91" s="22"/>
      <c r="B91" s="22" t="s">
        <v>49</v>
      </c>
      <c r="C91" s="22" t="s">
        <v>134</v>
      </c>
      <c r="D91" s="22"/>
      <c r="E91" s="22"/>
      <c r="F91" s="22"/>
      <c r="G91" s="22"/>
      <c r="H91" s="644"/>
      <c r="I91" s="101"/>
    </row>
    <row r="92" spans="1:9" ht="15.75">
      <c r="A92" s="22"/>
      <c r="B92" s="22"/>
      <c r="C92" s="22" t="s">
        <v>49</v>
      </c>
      <c r="D92" s="22" t="s">
        <v>135</v>
      </c>
      <c r="E92" s="22"/>
      <c r="F92" s="22"/>
      <c r="G92" s="635">
        <v>1500000</v>
      </c>
      <c r="H92" s="648">
        <v>1500000</v>
      </c>
      <c r="I92" s="101">
        <f>H92/G92*100</f>
        <v>100</v>
      </c>
    </row>
    <row r="93" spans="1:9" ht="15.75">
      <c r="A93" s="19"/>
      <c r="B93" s="19" t="s">
        <v>29</v>
      </c>
      <c r="C93" s="19" t="s">
        <v>136</v>
      </c>
      <c r="D93" s="19"/>
      <c r="E93" s="19"/>
      <c r="F93" s="19"/>
      <c r="G93" s="19"/>
      <c r="H93" s="649"/>
      <c r="I93" s="101"/>
    </row>
    <row r="94" spans="1:9" s="9" customFormat="1" ht="15.75">
      <c r="A94" s="22"/>
      <c r="B94" s="22"/>
      <c r="C94" s="22" t="s">
        <v>49</v>
      </c>
      <c r="D94" s="22" t="s">
        <v>137</v>
      </c>
      <c r="E94" s="22"/>
      <c r="F94" s="22"/>
      <c r="G94" s="635">
        <v>3900000</v>
      </c>
      <c r="H94" s="648">
        <v>3900000</v>
      </c>
      <c r="I94" s="101">
        <f>H94/G94*100</f>
        <v>100</v>
      </c>
    </row>
    <row r="95" spans="1:9" ht="15.75">
      <c r="A95" s="19"/>
      <c r="B95" s="19" t="s">
        <v>50</v>
      </c>
      <c r="C95" s="19" t="s">
        <v>138</v>
      </c>
      <c r="D95" s="19"/>
      <c r="E95" s="19"/>
      <c r="F95" s="19"/>
      <c r="G95" s="635"/>
      <c r="H95" s="649"/>
      <c r="I95" s="101"/>
    </row>
    <row r="96" spans="1:9" ht="15.75">
      <c r="A96" s="22"/>
      <c r="B96" s="22"/>
      <c r="C96" s="22" t="s">
        <v>49</v>
      </c>
      <c r="D96" s="22" t="s">
        <v>139</v>
      </c>
      <c r="E96" s="22"/>
      <c r="F96" s="22"/>
      <c r="G96" s="635">
        <v>1913000</v>
      </c>
      <c r="H96" s="648">
        <v>1913000</v>
      </c>
      <c r="I96" s="101">
        <f>H96/G96*100</f>
        <v>100</v>
      </c>
    </row>
    <row r="97" spans="1:9" ht="15.75">
      <c r="A97" s="22"/>
      <c r="B97" s="19" t="s">
        <v>113</v>
      </c>
      <c r="C97" s="19" t="s">
        <v>140</v>
      </c>
      <c r="D97" s="22"/>
      <c r="E97" s="22"/>
      <c r="F97" s="22"/>
      <c r="G97" s="635"/>
      <c r="H97" s="644"/>
      <c r="I97" s="101"/>
    </row>
    <row r="98" spans="1:9" ht="15.75">
      <c r="A98" s="22"/>
      <c r="B98" s="22"/>
      <c r="C98" s="22" t="s">
        <v>49</v>
      </c>
      <c r="D98" s="22" t="s">
        <v>141</v>
      </c>
      <c r="E98" s="22"/>
      <c r="F98" s="22"/>
      <c r="G98" s="635">
        <v>14000</v>
      </c>
      <c r="H98" s="644">
        <v>140000</v>
      </c>
      <c r="I98" s="101">
        <f>H98/G98*100</f>
        <v>1000</v>
      </c>
    </row>
    <row r="99" spans="1:9" ht="15.75">
      <c r="A99" s="22"/>
      <c r="B99" s="22"/>
      <c r="C99" s="22"/>
      <c r="D99" s="22"/>
      <c r="E99" s="22"/>
      <c r="F99" s="22"/>
      <c r="G99" s="635"/>
      <c r="H99" s="644"/>
      <c r="I99" s="101"/>
    </row>
    <row r="100" spans="1:9" ht="15.75">
      <c r="A100" s="22"/>
      <c r="B100" s="22"/>
      <c r="C100" s="22"/>
      <c r="D100" s="22"/>
      <c r="E100" s="22"/>
      <c r="F100" s="22"/>
      <c r="G100" s="635"/>
      <c r="H100" s="644"/>
      <c r="I100" s="101"/>
    </row>
    <row r="101" spans="1:9" ht="15.75">
      <c r="A101" s="22"/>
      <c r="B101" s="22"/>
      <c r="C101" s="22"/>
      <c r="D101" s="22"/>
      <c r="E101" s="22"/>
      <c r="F101" s="22"/>
      <c r="G101" s="635"/>
      <c r="H101" s="644"/>
      <c r="I101" s="101"/>
    </row>
    <row r="102" spans="1:9" ht="15.75">
      <c r="A102" s="22"/>
      <c r="B102" s="22"/>
      <c r="C102" s="22"/>
      <c r="D102" s="22"/>
      <c r="E102" s="22"/>
      <c r="F102" s="22"/>
      <c r="G102" s="635"/>
      <c r="H102" s="644"/>
      <c r="I102" s="101"/>
    </row>
    <row r="103" spans="1:9" ht="16.5" thickBot="1">
      <c r="A103" s="22"/>
      <c r="B103" s="22"/>
      <c r="C103" s="22"/>
      <c r="D103" s="22"/>
      <c r="E103" s="22"/>
      <c r="F103" s="22"/>
      <c r="G103" s="635"/>
      <c r="H103" s="644"/>
      <c r="I103" s="101"/>
    </row>
    <row r="104" spans="1:9" ht="15.75" customHeight="1">
      <c r="A104" s="323" t="s">
        <v>21</v>
      </c>
      <c r="B104" s="296"/>
      <c r="C104" s="296"/>
      <c r="D104" s="296"/>
      <c r="E104" s="296"/>
      <c r="F104" s="297"/>
      <c r="G104" s="647" t="s">
        <v>19</v>
      </c>
      <c r="H104" s="647" t="s">
        <v>19</v>
      </c>
      <c r="I104" s="106" t="s">
        <v>20</v>
      </c>
    </row>
    <row r="105" spans="1:9" ht="15.75">
      <c r="A105" s="298"/>
      <c r="B105" s="107"/>
      <c r="C105" s="107"/>
      <c r="D105" s="107"/>
      <c r="E105" s="107"/>
      <c r="F105" s="299"/>
      <c r="G105" s="646" t="s">
        <v>10</v>
      </c>
      <c r="H105" s="646" t="s">
        <v>10</v>
      </c>
      <c r="I105" s="65"/>
    </row>
    <row r="106" spans="1:9" s="68" customFormat="1" ht="15.75" customHeight="1" thickBot="1">
      <c r="A106" s="302"/>
      <c r="B106" s="300"/>
      <c r="C106" s="300"/>
      <c r="D106" s="300"/>
      <c r="E106" s="300"/>
      <c r="F106" s="301"/>
      <c r="G106" s="645" t="s">
        <v>171</v>
      </c>
      <c r="H106" s="645" t="s">
        <v>501</v>
      </c>
      <c r="I106" s="67" t="s">
        <v>22</v>
      </c>
    </row>
    <row r="107" spans="1:9" ht="15.75">
      <c r="A107" s="22"/>
      <c r="B107" s="22"/>
      <c r="C107" s="19" t="s">
        <v>29</v>
      </c>
      <c r="D107" s="22" t="s">
        <v>93</v>
      </c>
      <c r="E107" s="22"/>
      <c r="F107" s="22"/>
      <c r="G107" s="635">
        <v>280000</v>
      </c>
      <c r="H107" s="644">
        <v>280000</v>
      </c>
      <c r="I107" s="101">
        <f>H107/G107*100</f>
        <v>100</v>
      </c>
    </row>
    <row r="108" spans="1:9" ht="15.75">
      <c r="A108" s="19"/>
      <c r="B108" s="19" t="s">
        <v>115</v>
      </c>
      <c r="C108" s="19" t="s">
        <v>142</v>
      </c>
      <c r="D108" s="19"/>
      <c r="E108" s="19"/>
      <c r="F108" s="19"/>
      <c r="G108" s="635"/>
      <c r="H108" s="640"/>
      <c r="I108" s="101"/>
    </row>
    <row r="109" spans="1:9" ht="15.75">
      <c r="A109" s="22"/>
      <c r="B109" s="22"/>
      <c r="C109" s="19" t="s">
        <v>49</v>
      </c>
      <c r="D109" s="22" t="s">
        <v>143</v>
      </c>
      <c r="E109" s="22"/>
      <c r="F109" s="22"/>
      <c r="G109" s="635">
        <v>5000</v>
      </c>
      <c r="H109" s="644">
        <v>5000</v>
      </c>
      <c r="I109" s="101">
        <f>H109/G109*100</f>
        <v>100</v>
      </c>
    </row>
    <row r="110" spans="1:9" ht="15.75" customHeight="1">
      <c r="A110" s="107"/>
      <c r="B110" s="107"/>
      <c r="C110" s="107" t="s">
        <v>50</v>
      </c>
      <c r="D110" s="110" t="s">
        <v>142</v>
      </c>
      <c r="E110" s="107"/>
      <c r="F110" s="107"/>
      <c r="G110" s="635"/>
      <c r="H110" s="635"/>
      <c r="I110" s="101"/>
    </row>
    <row r="111" spans="1:9" ht="15.75">
      <c r="A111" s="22"/>
      <c r="B111" s="22"/>
      <c r="C111" s="19" t="s">
        <v>113</v>
      </c>
      <c r="D111" s="22" t="s">
        <v>144</v>
      </c>
      <c r="E111" s="22"/>
      <c r="F111" s="22"/>
      <c r="G111" s="635">
        <v>75000</v>
      </c>
      <c r="H111" s="644">
        <v>75000</v>
      </c>
      <c r="I111" s="101">
        <f>H111/G111*100</f>
        <v>100</v>
      </c>
    </row>
    <row r="112" spans="1:9" ht="9" customHeight="1">
      <c r="A112" s="107"/>
      <c r="B112" s="107"/>
      <c r="C112" s="107"/>
      <c r="D112" s="107"/>
      <c r="E112" s="107"/>
      <c r="F112" s="107"/>
      <c r="G112" s="635"/>
      <c r="H112" s="635"/>
      <c r="I112" s="101"/>
    </row>
    <row r="113" spans="1:9" s="9" customFormat="1" ht="15.75">
      <c r="A113" s="19" t="s">
        <v>79</v>
      </c>
      <c r="B113" s="107"/>
      <c r="C113" s="107"/>
      <c r="D113" s="107"/>
      <c r="E113" s="107"/>
      <c r="F113" s="107"/>
      <c r="G113" s="642">
        <f>G92+G94+G96+G98+G107+G109+G110+G111</f>
        <v>7687000</v>
      </c>
      <c r="H113" s="643">
        <f>H92+H94+H96+H98+H107+H109+H110+H111</f>
        <v>7813000</v>
      </c>
      <c r="I113" s="111">
        <f>H113/G113*100</f>
        <v>101.63913100039026</v>
      </c>
    </row>
    <row r="114" spans="1:9" ht="9" customHeight="1">
      <c r="A114" s="107"/>
      <c r="B114" s="107"/>
      <c r="C114" s="107"/>
      <c r="D114" s="107"/>
      <c r="E114" s="107"/>
      <c r="F114" s="107"/>
      <c r="G114" s="635"/>
      <c r="H114" s="635"/>
      <c r="I114" s="101"/>
    </row>
    <row r="115" spans="1:9" ht="15.75">
      <c r="A115" s="19" t="s">
        <v>145</v>
      </c>
      <c r="B115" s="19" t="s">
        <v>62</v>
      </c>
      <c r="C115" s="19"/>
      <c r="D115" s="19"/>
      <c r="E115" s="19"/>
      <c r="F115" s="19"/>
      <c r="G115" s="19"/>
      <c r="H115" s="640"/>
      <c r="I115" s="101"/>
    </row>
    <row r="116" spans="1:9" ht="9" customHeight="1">
      <c r="A116" s="107"/>
      <c r="B116" s="107"/>
      <c r="C116" s="107"/>
      <c r="D116" s="107"/>
      <c r="E116" s="107"/>
      <c r="F116" s="107"/>
      <c r="G116" s="635"/>
      <c r="H116" s="635"/>
      <c r="I116" s="101"/>
    </row>
    <row r="117" spans="1:9" ht="15.75">
      <c r="A117" s="107"/>
      <c r="B117" s="107" t="s">
        <v>49</v>
      </c>
      <c r="C117" s="360" t="s">
        <v>146</v>
      </c>
      <c r="D117" s="360"/>
      <c r="E117" s="360"/>
      <c r="F117" s="360"/>
      <c r="G117" s="635"/>
      <c r="H117" s="635"/>
      <c r="I117" s="101"/>
    </row>
    <row r="118" spans="1:9" ht="15.75">
      <c r="A118" s="107"/>
      <c r="B118" s="107"/>
      <c r="C118" s="107" t="s">
        <v>49</v>
      </c>
      <c r="D118" s="110" t="s">
        <v>157</v>
      </c>
      <c r="E118" s="110"/>
      <c r="F118" s="110"/>
      <c r="G118" s="635">
        <v>180000</v>
      </c>
      <c r="H118" s="635">
        <v>187000</v>
      </c>
      <c r="I118" s="101">
        <f>H118/G118*100</f>
        <v>103.8888888888889</v>
      </c>
    </row>
    <row r="119" spans="1:9" ht="15.75">
      <c r="A119" s="107"/>
      <c r="B119" s="107"/>
      <c r="C119" s="107" t="s">
        <v>29</v>
      </c>
      <c r="D119" s="110" t="s">
        <v>149</v>
      </c>
      <c r="E119" s="110"/>
      <c r="F119" s="110"/>
      <c r="G119" s="635"/>
      <c r="H119" s="635"/>
      <c r="I119" s="101"/>
    </row>
    <row r="120" spans="1:9" ht="15.75">
      <c r="A120" s="107"/>
      <c r="B120" s="107"/>
      <c r="C120" s="107"/>
      <c r="D120" s="110" t="s">
        <v>49</v>
      </c>
      <c r="E120" s="110" t="s">
        <v>150</v>
      </c>
      <c r="F120" s="110"/>
      <c r="G120" s="635">
        <v>20000</v>
      </c>
      <c r="H120" s="635">
        <v>20000</v>
      </c>
      <c r="I120" s="101">
        <f>H120/G120*100</f>
        <v>100</v>
      </c>
    </row>
    <row r="121" spans="1:9" ht="15.75">
      <c r="A121" s="107"/>
      <c r="B121" s="107"/>
      <c r="C121" s="107"/>
      <c r="D121" s="110" t="s">
        <v>29</v>
      </c>
      <c r="E121" s="110" t="s">
        <v>151</v>
      </c>
      <c r="F121" s="110"/>
      <c r="G121" s="635">
        <v>820000</v>
      </c>
      <c r="H121" s="635">
        <v>820000</v>
      </c>
      <c r="I121" s="101">
        <f>H121/G121*100</f>
        <v>100</v>
      </c>
    </row>
    <row r="122" spans="1:9" ht="15.75">
      <c r="A122" s="107"/>
      <c r="B122" s="107"/>
      <c r="C122" s="107"/>
      <c r="D122" s="110" t="s">
        <v>50</v>
      </c>
      <c r="E122" s="110" t="s">
        <v>152</v>
      </c>
      <c r="F122" s="110"/>
      <c r="G122" s="635">
        <v>2000</v>
      </c>
      <c r="H122" s="635">
        <v>2000</v>
      </c>
      <c r="I122" s="101">
        <f>H122/G122*100</f>
        <v>100</v>
      </c>
    </row>
    <row r="123" spans="1:9" ht="15.75">
      <c r="A123" s="107"/>
      <c r="B123" s="107"/>
      <c r="C123" s="107"/>
      <c r="D123" s="110" t="s">
        <v>113</v>
      </c>
      <c r="E123" s="110" t="s">
        <v>80</v>
      </c>
      <c r="F123" s="110"/>
      <c r="G123" s="635">
        <v>1000</v>
      </c>
      <c r="H123" s="635">
        <v>1000</v>
      </c>
      <c r="I123" s="101">
        <f>H123/G123*100</f>
        <v>100</v>
      </c>
    </row>
    <row r="124" spans="1:9" ht="15.75">
      <c r="A124" s="107"/>
      <c r="B124" s="107"/>
      <c r="C124" s="107"/>
      <c r="D124" s="110" t="s">
        <v>115</v>
      </c>
      <c r="E124" s="110" t="s">
        <v>153</v>
      </c>
      <c r="F124" s="110"/>
      <c r="G124" s="635">
        <v>85000</v>
      </c>
      <c r="H124" s="635">
        <v>85000</v>
      </c>
      <c r="I124" s="101">
        <f>H124/G124*100</f>
        <v>100</v>
      </c>
    </row>
    <row r="125" spans="1:9" ht="15.75">
      <c r="A125" s="107"/>
      <c r="B125" s="107"/>
      <c r="C125" s="107" t="s">
        <v>50</v>
      </c>
      <c r="D125" s="110" t="s">
        <v>180</v>
      </c>
      <c r="E125" s="110"/>
      <c r="F125" s="110"/>
      <c r="G125" s="635"/>
      <c r="H125" s="635"/>
      <c r="I125" s="101"/>
    </row>
    <row r="126" spans="1:9" ht="15.75">
      <c r="A126" s="107"/>
      <c r="B126" s="107"/>
      <c r="D126" s="107" t="s">
        <v>49</v>
      </c>
      <c r="E126" s="110" t="s">
        <v>147</v>
      </c>
      <c r="F126" s="107"/>
      <c r="G126" s="635">
        <v>40000</v>
      </c>
      <c r="H126" s="635">
        <v>40000</v>
      </c>
      <c r="I126" s="101">
        <f>H126/G126*100</f>
        <v>100</v>
      </c>
    </row>
    <row r="127" spans="1:9" ht="15.75">
      <c r="A127" s="107"/>
      <c r="B127" s="107"/>
      <c r="D127" s="107" t="s">
        <v>29</v>
      </c>
      <c r="E127" s="110" t="s">
        <v>148</v>
      </c>
      <c r="F127" s="110"/>
      <c r="G127" s="635">
        <v>1149000</v>
      </c>
      <c r="H127" s="635">
        <v>385000</v>
      </c>
      <c r="I127" s="101">
        <f>H127/G127*100</f>
        <v>33.507397737162755</v>
      </c>
    </row>
    <row r="128" spans="4:9" ht="15.75">
      <c r="D128" s="58" t="s">
        <v>50</v>
      </c>
      <c r="E128" s="110" t="s">
        <v>81</v>
      </c>
      <c r="G128" s="635">
        <v>340000</v>
      </c>
      <c r="H128" s="635">
        <v>661000</v>
      </c>
      <c r="I128" s="101">
        <f>H128/G128*100</f>
        <v>194.41176470588235</v>
      </c>
    </row>
    <row r="129" spans="1:9" ht="15.75">
      <c r="A129" s="107"/>
      <c r="B129" s="107" t="s">
        <v>29</v>
      </c>
      <c r="C129" s="110" t="s">
        <v>154</v>
      </c>
      <c r="D129" s="110"/>
      <c r="E129" s="110"/>
      <c r="F129" s="110"/>
      <c r="G129" s="635"/>
      <c r="H129" s="635"/>
      <c r="I129" s="101"/>
    </row>
    <row r="130" spans="1:9" ht="15.75">
      <c r="A130" s="107"/>
      <c r="B130" s="107"/>
      <c r="C130" s="107" t="s">
        <v>49</v>
      </c>
      <c r="D130" s="110" t="s">
        <v>155</v>
      </c>
      <c r="E130" s="110"/>
      <c r="F130" s="110"/>
      <c r="G130" s="635">
        <v>2593000</v>
      </c>
      <c r="H130" s="638">
        <v>4099000</v>
      </c>
      <c r="I130" s="101">
        <f>H130/G130*100</f>
        <v>158.0794446586965</v>
      </c>
    </row>
    <row r="131" spans="1:9" ht="15.75">
      <c r="A131" s="107"/>
      <c r="B131" s="107" t="s">
        <v>50</v>
      </c>
      <c r="C131" s="110" t="s">
        <v>156</v>
      </c>
      <c r="D131" s="110"/>
      <c r="E131" s="110"/>
      <c r="F131" s="110"/>
      <c r="G131" s="635"/>
      <c r="H131" s="638"/>
      <c r="I131" s="101"/>
    </row>
    <row r="132" spans="1:9" ht="15.75">
      <c r="A132" s="107"/>
      <c r="B132" s="107"/>
      <c r="C132" s="107" t="s">
        <v>49</v>
      </c>
      <c r="D132" s="110" t="s">
        <v>91</v>
      </c>
      <c r="E132" s="110"/>
      <c r="F132" s="110"/>
      <c r="G132" s="635">
        <v>1107000</v>
      </c>
      <c r="H132" s="638">
        <v>1249000</v>
      </c>
      <c r="I132" s="101">
        <f>H132/G132*100</f>
        <v>112.8274616079494</v>
      </c>
    </row>
    <row r="133" spans="1:9" ht="15.75">
      <c r="A133" s="107"/>
      <c r="B133" s="107" t="s">
        <v>113</v>
      </c>
      <c r="C133" s="110" t="s">
        <v>158</v>
      </c>
      <c r="D133" s="107"/>
      <c r="E133" s="107"/>
      <c r="F133" s="107"/>
      <c r="G133" s="635">
        <v>1489000</v>
      </c>
      <c r="H133" s="638">
        <f>337000+178000+50000+104000+1107000+11000+29000</f>
        <v>1816000</v>
      </c>
      <c r="I133" s="101">
        <f>H133/G133*100</f>
        <v>121.96104768300873</v>
      </c>
    </row>
    <row r="134" spans="1:9" ht="15.75">
      <c r="A134" s="107"/>
      <c r="B134" s="107" t="s">
        <v>115</v>
      </c>
      <c r="C134" s="110" t="s">
        <v>159</v>
      </c>
      <c r="D134" s="107"/>
      <c r="E134" s="107"/>
      <c r="F134" s="107"/>
      <c r="G134" s="635">
        <v>1409000</v>
      </c>
      <c r="H134" s="638">
        <f>115000+1107000+80000+239000</f>
        <v>1541000</v>
      </c>
      <c r="I134" s="101">
        <f>H134/G134*100</f>
        <v>109.36834634492547</v>
      </c>
    </row>
    <row r="135" spans="1:9" ht="15.75">
      <c r="A135" s="107"/>
      <c r="B135" s="107" t="s">
        <v>121</v>
      </c>
      <c r="C135" s="110" t="s">
        <v>160</v>
      </c>
      <c r="D135" s="107"/>
      <c r="E135" s="107"/>
      <c r="F135" s="107"/>
      <c r="G135" s="635">
        <v>2000</v>
      </c>
      <c r="H135" s="635">
        <v>2000</v>
      </c>
      <c r="I135" s="101">
        <f>H135/G135*100</f>
        <v>100</v>
      </c>
    </row>
    <row r="136" spans="1:9" ht="9" customHeight="1">
      <c r="A136" s="107"/>
      <c r="B136" s="107"/>
      <c r="C136" s="107"/>
      <c r="D136" s="107"/>
      <c r="E136" s="107"/>
      <c r="F136" s="107"/>
      <c r="G136" s="635"/>
      <c r="H136" s="635"/>
      <c r="I136" s="101"/>
    </row>
    <row r="137" spans="1:9" ht="15.75">
      <c r="A137" s="19" t="s">
        <v>23</v>
      </c>
      <c r="B137" s="107"/>
      <c r="C137" s="107"/>
      <c r="D137" s="107"/>
      <c r="E137" s="107"/>
      <c r="F137" s="107"/>
      <c r="G137" s="642">
        <f>SUM(G117:G136)</f>
        <v>9237000</v>
      </c>
      <c r="H137" s="641">
        <f>SUM(H117:H136)</f>
        <v>10908000</v>
      </c>
      <c r="I137" s="111">
        <f>H137/G137*100</f>
        <v>118.09028905488795</v>
      </c>
    </row>
    <row r="138" spans="1:9" ht="9" customHeight="1">
      <c r="A138" s="107"/>
      <c r="B138" s="107"/>
      <c r="C138" s="107"/>
      <c r="D138" s="107"/>
      <c r="E138" s="107"/>
      <c r="F138" s="107"/>
      <c r="G138" s="635"/>
      <c r="H138" s="635"/>
      <c r="I138" s="101"/>
    </row>
    <row r="139" spans="1:9" ht="15.75">
      <c r="A139" s="19" t="s">
        <v>67</v>
      </c>
      <c r="B139" s="19" t="s">
        <v>161</v>
      </c>
      <c r="C139" s="19"/>
      <c r="D139" s="19"/>
      <c r="E139" s="19"/>
      <c r="F139" s="19"/>
      <c r="G139" s="19"/>
      <c r="H139" s="640"/>
      <c r="I139" s="101"/>
    </row>
    <row r="140" spans="1:9" ht="15.75">
      <c r="A140" s="22"/>
      <c r="B140" s="22" t="s">
        <v>49</v>
      </c>
      <c r="C140" s="253" t="s">
        <v>162</v>
      </c>
      <c r="D140" s="108"/>
      <c r="E140" s="108"/>
      <c r="F140" s="108"/>
      <c r="G140" s="102"/>
      <c r="H140" s="636"/>
      <c r="I140" s="101"/>
    </row>
    <row r="141" spans="1:9" ht="30" customHeight="1">
      <c r="A141" s="22"/>
      <c r="B141" s="22"/>
      <c r="C141" s="108" t="s">
        <v>49</v>
      </c>
      <c r="D141" s="357" t="s">
        <v>163</v>
      </c>
      <c r="E141" s="357"/>
      <c r="F141" s="357"/>
      <c r="G141" s="635">
        <v>92000</v>
      </c>
      <c r="H141" s="639">
        <v>62000</v>
      </c>
      <c r="I141" s="101">
        <f>H141/G141*100</f>
        <v>67.3913043478261</v>
      </c>
    </row>
    <row r="142" spans="1:9" ht="30" customHeight="1">
      <c r="A142" s="22"/>
      <c r="B142" s="22"/>
      <c r="C142" s="108" t="s">
        <v>29</v>
      </c>
      <c r="D142" s="357" t="s">
        <v>179</v>
      </c>
      <c r="E142" s="357"/>
      <c r="F142" s="357"/>
      <c r="G142" s="638">
        <v>26215000</v>
      </c>
      <c r="H142" s="639"/>
      <c r="I142" s="101"/>
    </row>
    <row r="143" spans="1:9" ht="9" customHeight="1">
      <c r="A143" s="107"/>
      <c r="B143" s="107"/>
      <c r="C143" s="107"/>
      <c r="D143" s="22"/>
      <c r="E143" s="107"/>
      <c r="F143" s="107"/>
      <c r="G143" s="638"/>
      <c r="H143" s="635"/>
      <c r="I143" s="101"/>
    </row>
    <row r="144" spans="1:9" ht="15.75">
      <c r="A144" s="361" t="s">
        <v>164</v>
      </c>
      <c r="B144" s="361"/>
      <c r="C144" s="361"/>
      <c r="D144" s="361"/>
      <c r="E144" s="361"/>
      <c r="F144" s="361"/>
      <c r="G144" s="637">
        <f>SUM(G141:G143)</f>
        <v>26307000</v>
      </c>
      <c r="H144" s="114">
        <f>SUM(H141:H143)</f>
        <v>62000</v>
      </c>
      <c r="I144" s="111">
        <f>H144/G144*100</f>
        <v>0.2356787166913749</v>
      </c>
    </row>
    <row r="145" spans="1:9" ht="9" customHeight="1">
      <c r="A145" s="107"/>
      <c r="B145" s="107"/>
      <c r="C145" s="107"/>
      <c r="D145" s="107"/>
      <c r="E145" s="107"/>
      <c r="F145" s="107"/>
      <c r="G145" s="638"/>
      <c r="H145" s="635"/>
      <c r="I145" s="101"/>
    </row>
    <row r="146" spans="1:9" ht="16.5">
      <c r="A146" s="115" t="s">
        <v>165</v>
      </c>
      <c r="B146" s="115"/>
      <c r="C146" s="115"/>
      <c r="D146" s="115"/>
      <c r="E146" s="115"/>
      <c r="F146" s="115"/>
      <c r="G146" s="637">
        <f>G144+G137+G113+G86+G76</f>
        <v>78786000</v>
      </c>
      <c r="H146" s="637">
        <f>H144+H137+H113+H86+H76</f>
        <v>48212303</v>
      </c>
      <c r="I146" s="111">
        <f>H146/G146*100</f>
        <v>61.193997664559696</v>
      </c>
    </row>
    <row r="147" spans="1:9" ht="16.5">
      <c r="A147" s="115"/>
      <c r="B147" s="115"/>
      <c r="C147" s="115"/>
      <c r="D147" s="115"/>
      <c r="E147" s="115"/>
      <c r="F147" s="115"/>
      <c r="G147" s="116"/>
      <c r="H147" s="116"/>
      <c r="I147" s="111"/>
    </row>
    <row r="148" spans="1:9" ht="15.75">
      <c r="A148" s="117" t="s">
        <v>166</v>
      </c>
      <c r="B148" s="336" t="s">
        <v>167</v>
      </c>
      <c r="C148" s="336"/>
      <c r="D148" s="336"/>
      <c r="E148" s="336"/>
      <c r="F148" s="336"/>
      <c r="G148" s="19"/>
      <c r="H148" s="636"/>
      <c r="I148" s="101"/>
    </row>
    <row r="149" spans="1:9" ht="15.75">
      <c r="A149" s="19"/>
      <c r="B149" s="99" t="s">
        <v>49</v>
      </c>
      <c r="C149" s="336" t="s">
        <v>168</v>
      </c>
      <c r="D149" s="336"/>
      <c r="E149" s="336"/>
      <c r="F149" s="336"/>
      <c r="G149" s="635"/>
      <c r="H149" s="636"/>
      <c r="I149" s="101"/>
    </row>
    <row r="150" spans="1:9" ht="15.75">
      <c r="A150" s="19"/>
      <c r="B150" s="99"/>
      <c r="C150" s="108" t="s">
        <v>49</v>
      </c>
      <c r="D150" s="357" t="s">
        <v>169</v>
      </c>
      <c r="E150" s="357"/>
      <c r="F150" s="357"/>
      <c r="G150" s="635">
        <v>1115000</v>
      </c>
      <c r="H150" s="634">
        <v>70404000</v>
      </c>
      <c r="I150" s="101">
        <f>H150/G150*100</f>
        <v>6314.260089686099</v>
      </c>
    </row>
    <row r="151" spans="1:9" ht="15.75">
      <c r="A151" s="22"/>
      <c r="B151" s="22"/>
      <c r="C151" s="22"/>
      <c r="D151" s="22"/>
      <c r="E151" s="22"/>
      <c r="F151" s="22"/>
      <c r="G151" s="51"/>
      <c r="H151" s="633"/>
      <c r="I151" s="101"/>
    </row>
    <row r="152" spans="1:9" ht="16.5">
      <c r="A152" s="115" t="s">
        <v>167</v>
      </c>
      <c r="B152" s="115"/>
      <c r="C152" s="115"/>
      <c r="D152" s="115"/>
      <c r="E152" s="115"/>
      <c r="F152" s="115"/>
      <c r="G152" s="118">
        <f>G150</f>
        <v>1115000</v>
      </c>
      <c r="H152" s="20">
        <f>H150</f>
        <v>70404000</v>
      </c>
      <c r="I152" s="101">
        <f>H152/G152*100</f>
        <v>6314.260089686099</v>
      </c>
    </row>
    <row r="153" spans="1:9" ht="15.75">
      <c r="A153" s="22"/>
      <c r="B153" s="22"/>
      <c r="C153" s="22"/>
      <c r="D153" s="22"/>
      <c r="E153" s="22"/>
      <c r="F153" s="22"/>
      <c r="G153" s="51"/>
      <c r="H153" s="632"/>
      <c r="I153" s="101"/>
    </row>
    <row r="154" spans="1:9" ht="18.75">
      <c r="A154" s="21" t="s">
        <v>170</v>
      </c>
      <c r="B154" s="21"/>
      <c r="C154" s="21"/>
      <c r="D154" s="21"/>
      <c r="E154" s="21"/>
      <c r="F154" s="21"/>
      <c r="G154" s="631">
        <f>G146+G152</f>
        <v>79901000</v>
      </c>
      <c r="H154" s="20">
        <f>H146+H152</f>
        <v>118616303</v>
      </c>
      <c r="I154" s="111">
        <f>H154/G154*100</f>
        <v>148.45409068722543</v>
      </c>
    </row>
  </sheetData>
  <sheetProtection/>
  <mergeCells count="35">
    <mergeCell ref="C149:F149"/>
    <mergeCell ref="D150:F150"/>
    <mergeCell ref="E44:F44"/>
    <mergeCell ref="D142:F142"/>
    <mergeCell ref="D141:F141"/>
    <mergeCell ref="A144:F144"/>
    <mergeCell ref="B148:F148"/>
    <mergeCell ref="A76:F76"/>
    <mergeCell ref="C117:F117"/>
    <mergeCell ref="A86:F86"/>
    <mergeCell ref="B84:F84"/>
    <mergeCell ref="D82:F82"/>
    <mergeCell ref="C81:F81"/>
    <mergeCell ref="B79:F79"/>
    <mergeCell ref="B74:F74"/>
    <mergeCell ref="B68:F68"/>
    <mergeCell ref="C70:F70"/>
    <mergeCell ref="D72:F72"/>
    <mergeCell ref="D57:F57"/>
    <mergeCell ref="E58:F58"/>
    <mergeCell ref="C61:F61"/>
    <mergeCell ref="E64:F64"/>
    <mergeCell ref="C49:F49"/>
    <mergeCell ref="A53:F55"/>
    <mergeCell ref="E19:F19"/>
    <mergeCell ref="D35:F35"/>
    <mergeCell ref="D40:F40"/>
    <mergeCell ref="D42:F42"/>
    <mergeCell ref="B16:F16"/>
    <mergeCell ref="A11:F13"/>
    <mergeCell ref="A5:I5"/>
    <mergeCell ref="A6:I6"/>
    <mergeCell ref="A7:I7"/>
    <mergeCell ref="D18:F18"/>
    <mergeCell ref="F9:G9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9.125" style="187" customWidth="1"/>
    <col min="2" max="2" width="61.125" style="187" customWidth="1"/>
    <col min="3" max="6" width="26.25390625" style="187" customWidth="1"/>
    <col min="7" max="16384" width="9.125" style="187" customWidth="1"/>
  </cols>
  <sheetData>
    <row r="2" spans="1:6" s="182" customFormat="1" ht="15.75">
      <c r="A2" s="146"/>
      <c r="C2" s="183"/>
      <c r="D2" s="683"/>
      <c r="E2" s="683"/>
      <c r="F2" s="683"/>
    </row>
    <row r="3" spans="1:6" s="182" customFormat="1" ht="15.75">
      <c r="A3" s="146"/>
      <c r="C3" s="183"/>
      <c r="D3" s="683"/>
      <c r="E3" s="683"/>
      <c r="F3" s="683"/>
    </row>
    <row r="4" spans="1:6" s="182" customFormat="1" ht="15.75">
      <c r="A4" s="146" t="s">
        <v>521</v>
      </c>
      <c r="C4" s="183"/>
      <c r="D4" s="683"/>
      <c r="E4" s="683"/>
      <c r="F4" s="683"/>
    </row>
    <row r="5" spans="2:6" s="74" customFormat="1" ht="15" customHeight="1">
      <c r="B5" s="371"/>
      <c r="C5" s="371"/>
      <c r="D5" s="371"/>
      <c r="E5" s="371"/>
      <c r="F5" s="371"/>
    </row>
    <row r="6" spans="3:6" s="184" customFormat="1" ht="15" customHeight="1">
      <c r="C6" s="185"/>
      <c r="D6" s="682"/>
      <c r="E6" s="682"/>
      <c r="F6" s="682"/>
    </row>
    <row r="7" spans="2:6" s="144" customFormat="1" ht="15" customHeight="1">
      <c r="B7" s="372" t="s">
        <v>46</v>
      </c>
      <c r="C7" s="372"/>
      <c r="D7" s="372"/>
      <c r="E7" s="372"/>
      <c r="F7" s="372"/>
    </row>
    <row r="8" spans="2:6" s="144" customFormat="1" ht="15.75">
      <c r="B8" s="373" t="s">
        <v>316</v>
      </c>
      <c r="C8" s="373"/>
      <c r="D8" s="373"/>
      <c r="E8" s="373"/>
      <c r="F8" s="373"/>
    </row>
    <row r="9" spans="2:6" s="144" customFormat="1" ht="15" customHeight="1">
      <c r="B9" s="372" t="s">
        <v>473</v>
      </c>
      <c r="C9" s="372"/>
      <c r="D9" s="372"/>
      <c r="E9" s="372"/>
      <c r="F9" s="372"/>
    </row>
    <row r="10" spans="2:6" s="182" customFormat="1" ht="12" customHeight="1" thickBot="1">
      <c r="B10" s="183"/>
      <c r="C10" s="186"/>
      <c r="D10" s="681"/>
      <c r="E10" s="681"/>
      <c r="F10" s="680"/>
    </row>
    <row r="11" spans="1:6" s="182" customFormat="1" ht="16.5" customHeight="1" thickBot="1">
      <c r="A11" s="362" t="s">
        <v>204</v>
      </c>
      <c r="B11" s="365" t="s">
        <v>205</v>
      </c>
      <c r="C11" s="368" t="s">
        <v>317</v>
      </c>
      <c r="D11" s="679" t="s">
        <v>318</v>
      </c>
      <c r="E11" s="679"/>
      <c r="F11" s="678"/>
    </row>
    <row r="12" spans="1:6" s="182" customFormat="1" ht="33" customHeight="1" thickBot="1">
      <c r="A12" s="363"/>
      <c r="B12" s="366"/>
      <c r="C12" s="369"/>
      <c r="D12" s="677" t="s">
        <v>319</v>
      </c>
      <c r="E12" s="676" t="s">
        <v>320</v>
      </c>
      <c r="F12" s="675" t="s">
        <v>321</v>
      </c>
    </row>
    <row r="13" spans="1:6" s="182" customFormat="1" ht="22.5" customHeight="1">
      <c r="A13" s="363"/>
      <c r="B13" s="366"/>
      <c r="C13" s="369"/>
      <c r="D13" s="674" t="s">
        <v>322</v>
      </c>
      <c r="E13" s="673"/>
      <c r="F13" s="672"/>
    </row>
    <row r="14" spans="1:6" ht="12.75">
      <c r="A14" s="363"/>
      <c r="B14" s="366"/>
      <c r="C14" s="369"/>
      <c r="D14" s="671"/>
      <c r="E14" s="670"/>
      <c r="F14" s="669"/>
    </row>
    <row r="15" spans="1:6" ht="3" customHeight="1" thickBot="1">
      <c r="A15" s="364"/>
      <c r="B15" s="367"/>
      <c r="C15" s="370"/>
      <c r="D15" s="668"/>
      <c r="E15" s="667"/>
      <c r="F15" s="666"/>
    </row>
    <row r="16" spans="1:6" ht="30">
      <c r="A16" s="188" t="s">
        <v>221</v>
      </c>
      <c r="B16" s="189" t="s">
        <v>222</v>
      </c>
      <c r="C16" s="665">
        <f>SUM(D16:F16)</f>
        <v>69000</v>
      </c>
      <c r="D16" s="665">
        <f>3125000-3056000</f>
        <v>69000</v>
      </c>
      <c r="E16" s="665"/>
      <c r="F16" s="664"/>
    </row>
    <row r="17" spans="1:6" ht="15">
      <c r="A17" s="133" t="s">
        <v>223</v>
      </c>
      <c r="B17" s="130" t="s">
        <v>41</v>
      </c>
      <c r="C17" s="663">
        <f>SUM(D17:F17)</f>
        <v>52000</v>
      </c>
      <c r="D17" s="663">
        <v>52000</v>
      </c>
      <c r="E17" s="663"/>
      <c r="F17" s="662"/>
    </row>
    <row r="18" spans="1:6" ht="15">
      <c r="A18" s="133" t="s">
        <v>224</v>
      </c>
      <c r="B18" s="130" t="s">
        <v>225</v>
      </c>
      <c r="C18" s="663">
        <f>SUM(D18:F18)</f>
        <v>956000</v>
      </c>
      <c r="D18" s="663">
        <f>820000+2000000-2000000</f>
        <v>820000</v>
      </c>
      <c r="E18" s="663">
        <v>136000</v>
      </c>
      <c r="F18" s="662"/>
    </row>
    <row r="19" spans="1:6" ht="15">
      <c r="A19" s="133" t="s">
        <v>323</v>
      </c>
      <c r="B19" s="130" t="s">
        <v>324</v>
      </c>
      <c r="C19" s="663">
        <f>SUM(D19:F19)</f>
        <v>28626632</v>
      </c>
      <c r="D19" s="663">
        <f>28514021+112611</f>
        <v>28626632</v>
      </c>
      <c r="E19" s="663"/>
      <c r="F19" s="662"/>
    </row>
    <row r="20" spans="1:6" ht="15">
      <c r="A20" s="133" t="s">
        <v>543</v>
      </c>
      <c r="B20" s="130" t="s">
        <v>542</v>
      </c>
      <c r="C20" s="663">
        <f>SUM(D20:F20)</f>
        <v>70404000</v>
      </c>
      <c r="D20" s="663">
        <f>3059000+2000000+23205000+42061196+78727+77</f>
        <v>70404000</v>
      </c>
      <c r="E20" s="663"/>
      <c r="F20" s="662"/>
    </row>
    <row r="21" spans="1:6" ht="15">
      <c r="A21" s="133" t="s">
        <v>541</v>
      </c>
      <c r="B21" s="130" t="s">
        <v>540</v>
      </c>
      <c r="C21" s="663">
        <f>SUM(D21:F21)</f>
        <v>756671</v>
      </c>
      <c r="D21" s="663">
        <v>756671</v>
      </c>
      <c r="E21" s="663"/>
      <c r="F21" s="662"/>
    </row>
    <row r="22" spans="1:6" ht="15">
      <c r="A22" s="133" t="s">
        <v>228</v>
      </c>
      <c r="B22" s="130" t="s">
        <v>229</v>
      </c>
      <c r="C22" s="663">
        <f>SUM(D22:F22)</f>
        <v>6313000</v>
      </c>
      <c r="D22" s="663">
        <v>6313000</v>
      </c>
      <c r="E22" s="663"/>
      <c r="F22" s="662"/>
    </row>
    <row r="23" spans="1:6" ht="15">
      <c r="A23" s="133" t="s">
        <v>238</v>
      </c>
      <c r="B23" s="130" t="s">
        <v>39</v>
      </c>
      <c r="C23" s="663">
        <f>SUM(D23:F23)</f>
        <v>0</v>
      </c>
      <c r="D23" s="663">
        <f>23205000-23205000</f>
        <v>0</v>
      </c>
      <c r="E23" s="663"/>
      <c r="F23" s="662"/>
    </row>
    <row r="24" spans="1:6" ht="15">
      <c r="A24" s="133" t="s">
        <v>325</v>
      </c>
      <c r="B24" s="130" t="s">
        <v>326</v>
      </c>
      <c r="C24" s="663">
        <f>SUM(D24:F24)</f>
        <v>489000</v>
      </c>
      <c r="D24" s="663">
        <v>489000</v>
      </c>
      <c r="E24" s="663"/>
      <c r="F24" s="662"/>
    </row>
    <row r="25" spans="1:6" ht="15">
      <c r="A25" s="133" t="s">
        <v>327</v>
      </c>
      <c r="B25" s="130" t="s">
        <v>328</v>
      </c>
      <c r="C25" s="663">
        <f>SUM(D25:F25)</f>
        <v>317000</v>
      </c>
      <c r="D25" s="663"/>
      <c r="E25" s="663">
        <v>317000</v>
      </c>
      <c r="F25" s="662"/>
    </row>
    <row r="26" spans="1:6" ht="15">
      <c r="A26" s="133" t="s">
        <v>327</v>
      </c>
      <c r="B26" s="136" t="s">
        <v>474</v>
      </c>
      <c r="C26" s="663">
        <f>SUM(D26:F26)</f>
        <v>954000</v>
      </c>
      <c r="D26" s="663"/>
      <c r="E26" s="663">
        <v>954000</v>
      </c>
      <c r="F26" s="662"/>
    </row>
    <row r="27" spans="1:6" ht="15">
      <c r="A27" s="192">
        <v>104051</v>
      </c>
      <c r="B27" s="130" t="s">
        <v>383</v>
      </c>
      <c r="C27" s="663">
        <f>SUM(D27:F27)</f>
        <v>46000</v>
      </c>
      <c r="D27" s="663"/>
      <c r="E27" s="663"/>
      <c r="F27" s="662">
        <v>46000</v>
      </c>
    </row>
    <row r="28" spans="1:6" ht="15">
      <c r="A28" s="133" t="s">
        <v>246</v>
      </c>
      <c r="B28" s="136" t="s">
        <v>382</v>
      </c>
      <c r="C28" s="663">
        <f>SUM(D28:F28)</f>
        <v>1825000</v>
      </c>
      <c r="D28" s="663">
        <v>1825000</v>
      </c>
      <c r="E28" s="663"/>
      <c r="F28" s="662"/>
    </row>
    <row r="29" spans="1:6" ht="30.75" thickBot="1">
      <c r="A29" s="192">
        <v>900020</v>
      </c>
      <c r="B29" s="130" t="s">
        <v>329</v>
      </c>
      <c r="C29" s="663">
        <f>SUM(D29:F29)</f>
        <v>7808000</v>
      </c>
      <c r="D29" s="663">
        <v>7808000</v>
      </c>
      <c r="E29" s="663"/>
      <c r="F29" s="662"/>
    </row>
    <row r="30" spans="1:6" ht="30" customHeight="1" thickBot="1">
      <c r="A30" s="193"/>
      <c r="B30" s="193" t="s">
        <v>2</v>
      </c>
      <c r="C30" s="661">
        <f>SUM(C16:C29)</f>
        <v>118616303</v>
      </c>
      <c r="D30" s="661">
        <f>SUM(D16:D29)</f>
        <v>117163303</v>
      </c>
      <c r="E30" s="661">
        <f>SUM(E16:E29)</f>
        <v>1407000</v>
      </c>
      <c r="F30" s="661">
        <f>SUM(F16:F29)</f>
        <v>46000</v>
      </c>
    </row>
  </sheetData>
  <sheetProtection/>
  <mergeCells count="9">
    <mergeCell ref="A11:A15"/>
    <mergeCell ref="B11:B15"/>
    <mergeCell ref="C11:C15"/>
    <mergeCell ref="D11:F11"/>
    <mergeCell ref="D13:F15"/>
    <mergeCell ref="B5:F5"/>
    <mergeCell ref="B7:F7"/>
    <mergeCell ref="B8:F8"/>
    <mergeCell ref="B9:F9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9.125" style="11" customWidth="1"/>
    <col min="2" max="2" width="44.125" style="11" customWidth="1"/>
    <col min="3" max="3" width="11.625" style="11" customWidth="1"/>
    <col min="4" max="7" width="10.375" style="11" customWidth="1"/>
    <col min="8" max="11" width="10.25390625" style="11" customWidth="1"/>
    <col min="12" max="12" width="9.625" style="11" customWidth="1"/>
    <col min="13" max="13" width="10.875" style="11" customWidth="1"/>
    <col min="14" max="14" width="15.25390625" style="11" customWidth="1"/>
    <col min="15" max="15" width="9.875" style="11" customWidth="1"/>
    <col min="16" max="16" width="10.625" style="11" customWidth="1"/>
    <col min="17" max="17" width="9.625" style="11" customWidth="1"/>
    <col min="18" max="16384" width="9.125" style="11" customWidth="1"/>
  </cols>
  <sheetData>
    <row r="1" spans="1:19" ht="15.75">
      <c r="A1" s="146"/>
      <c r="K1" s="374"/>
      <c r="L1" s="374"/>
      <c r="M1" s="374"/>
      <c r="N1" s="374"/>
      <c r="O1" s="374"/>
      <c r="P1" s="374"/>
      <c r="Q1" s="374"/>
      <c r="R1" s="374"/>
      <c r="S1" s="374"/>
    </row>
    <row r="2" spans="1:19" ht="15.75">
      <c r="A2" s="146"/>
      <c r="K2" s="98"/>
      <c r="L2" s="98"/>
      <c r="M2" s="98"/>
      <c r="N2" s="98"/>
      <c r="O2" s="98"/>
      <c r="P2" s="98"/>
      <c r="Q2" s="98"/>
      <c r="R2" s="98"/>
      <c r="S2" s="98"/>
    </row>
    <row r="3" spans="1:16" ht="15.75" customHeight="1">
      <c r="A3" s="692" t="s">
        <v>522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</row>
    <row r="4" spans="1:19" s="127" customFormat="1" ht="15.7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</row>
    <row r="5" spans="1:16" s="127" customFormat="1" ht="15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9" s="127" customFormat="1" ht="15.75" customHeight="1">
      <c r="A6" s="376" t="s">
        <v>46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</row>
    <row r="7" spans="1:19" s="127" customFormat="1" ht="15.75" customHeight="1">
      <c r="A7" s="376" t="s">
        <v>203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</row>
    <row r="8" spans="1:19" s="127" customFormat="1" ht="15.75" customHeight="1">
      <c r="A8" s="376" t="s">
        <v>472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</row>
    <row r="9" spans="18:19" s="127" customFormat="1" ht="15.75" thickBot="1">
      <c r="R9" s="375" t="s">
        <v>544</v>
      </c>
      <c r="S9" s="375"/>
    </row>
    <row r="10" spans="1:19" s="128" customFormat="1" ht="20.25" customHeight="1" thickBot="1">
      <c r="A10" s="404" t="s">
        <v>204</v>
      </c>
      <c r="B10" s="401" t="s">
        <v>205</v>
      </c>
      <c r="C10" s="380" t="s">
        <v>206</v>
      </c>
      <c r="D10" s="393" t="s">
        <v>207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5"/>
      <c r="R10" s="391" t="s">
        <v>3</v>
      </c>
      <c r="S10" s="392"/>
    </row>
    <row r="11" spans="1:19" s="128" customFormat="1" ht="38.25" customHeight="1" thickBot="1">
      <c r="A11" s="405"/>
      <c r="B11" s="402"/>
      <c r="C11" s="381"/>
      <c r="D11" s="691" t="s">
        <v>82</v>
      </c>
      <c r="E11" s="690"/>
      <c r="F11" s="690"/>
      <c r="G11" s="690"/>
      <c r="H11" s="690"/>
      <c r="I11" s="689"/>
      <c r="J11" s="393" t="s">
        <v>83</v>
      </c>
      <c r="K11" s="394"/>
      <c r="L11" s="394"/>
      <c r="M11" s="395"/>
      <c r="N11" s="398" t="s">
        <v>208</v>
      </c>
      <c r="O11" s="399"/>
      <c r="P11" s="399"/>
      <c r="Q11" s="400"/>
      <c r="R11" s="389" t="s">
        <v>8</v>
      </c>
      <c r="S11" s="390"/>
    </row>
    <row r="12" spans="1:19" s="128" customFormat="1" ht="21" customHeight="1" thickBot="1">
      <c r="A12" s="405"/>
      <c r="B12" s="402"/>
      <c r="C12" s="381"/>
      <c r="D12" s="380" t="s">
        <v>209</v>
      </c>
      <c r="E12" s="380" t="s">
        <v>210</v>
      </c>
      <c r="F12" s="380" t="s">
        <v>211</v>
      </c>
      <c r="G12" s="380" t="s">
        <v>212</v>
      </c>
      <c r="H12" s="380" t="s">
        <v>213</v>
      </c>
      <c r="I12" s="383" t="s">
        <v>214</v>
      </c>
      <c r="J12" s="377" t="s">
        <v>215</v>
      </c>
      <c r="K12" s="377" t="s">
        <v>84</v>
      </c>
      <c r="L12" s="380" t="s">
        <v>330</v>
      </c>
      <c r="M12" s="386" t="s">
        <v>331</v>
      </c>
      <c r="N12" s="380" t="s">
        <v>475</v>
      </c>
      <c r="O12" s="380" t="s">
        <v>216</v>
      </c>
      <c r="P12" s="380" t="s">
        <v>217</v>
      </c>
      <c r="Q12" s="386" t="s">
        <v>332</v>
      </c>
      <c r="R12" s="178" t="s">
        <v>218</v>
      </c>
      <c r="S12" s="179" t="s">
        <v>219</v>
      </c>
    </row>
    <row r="13" spans="1:19" s="128" customFormat="1" ht="18.75" customHeight="1">
      <c r="A13" s="405"/>
      <c r="B13" s="402"/>
      <c r="C13" s="381"/>
      <c r="D13" s="381"/>
      <c r="E13" s="381"/>
      <c r="F13" s="381"/>
      <c r="G13" s="381"/>
      <c r="H13" s="381"/>
      <c r="I13" s="384"/>
      <c r="J13" s="378"/>
      <c r="K13" s="378"/>
      <c r="L13" s="381"/>
      <c r="M13" s="387"/>
      <c r="N13" s="381"/>
      <c r="O13" s="381"/>
      <c r="P13" s="381"/>
      <c r="Q13" s="387"/>
      <c r="R13" s="396" t="s">
        <v>220</v>
      </c>
      <c r="S13" s="397"/>
    </row>
    <row r="14" spans="1:19" s="128" customFormat="1" ht="20.25" customHeight="1" thickBot="1">
      <c r="A14" s="406"/>
      <c r="B14" s="403"/>
      <c r="C14" s="382"/>
      <c r="D14" s="382"/>
      <c r="E14" s="382"/>
      <c r="F14" s="382"/>
      <c r="G14" s="382"/>
      <c r="H14" s="382"/>
      <c r="I14" s="385"/>
      <c r="J14" s="379"/>
      <c r="K14" s="379"/>
      <c r="L14" s="382"/>
      <c r="M14" s="388"/>
      <c r="N14" s="382"/>
      <c r="O14" s="382"/>
      <c r="P14" s="382"/>
      <c r="Q14" s="388"/>
      <c r="R14" s="389"/>
      <c r="S14" s="390"/>
    </row>
    <row r="15" spans="1:19" s="127" customFormat="1" ht="30">
      <c r="A15" s="129" t="s">
        <v>221</v>
      </c>
      <c r="B15" s="130" t="s">
        <v>222</v>
      </c>
      <c r="C15" s="195">
        <f>I15+M15+O15+P15</f>
        <v>55466494</v>
      </c>
      <c r="D15" s="141">
        <f>8073000+24970+17000</f>
        <v>8114970</v>
      </c>
      <c r="E15" s="142">
        <f>2291000+6742+4131</f>
        <v>2301873</v>
      </c>
      <c r="F15" s="142">
        <f>3938000+63487</f>
        <v>4001487</v>
      </c>
      <c r="G15" s="142"/>
      <c r="H15" s="142">
        <f>162000+40789124</f>
        <v>40951124</v>
      </c>
      <c r="I15" s="196">
        <f>SUM(D15:H15)</f>
        <v>55369454</v>
      </c>
      <c r="J15" s="143">
        <f>102000-4960</f>
        <v>97040</v>
      </c>
      <c r="K15" s="143"/>
      <c r="L15" s="143"/>
      <c r="M15" s="197">
        <f>SUM(J15:L15)</f>
        <v>97040</v>
      </c>
      <c r="N15" s="197"/>
      <c r="O15" s="198"/>
      <c r="P15" s="199"/>
      <c r="Q15" s="199"/>
      <c r="R15" s="132">
        <f>0.5+0.1+0.2-0.3</f>
        <v>0.5</v>
      </c>
      <c r="S15" s="177">
        <v>0.5</v>
      </c>
    </row>
    <row r="16" spans="1:19" s="127" customFormat="1" ht="15">
      <c r="A16" s="133" t="s">
        <v>223</v>
      </c>
      <c r="B16" s="130" t="s">
        <v>41</v>
      </c>
      <c r="C16" s="195">
        <f>I16+M16+O16+P16</f>
        <v>64000</v>
      </c>
      <c r="D16" s="141"/>
      <c r="E16" s="142"/>
      <c r="F16" s="142">
        <v>64000</v>
      </c>
      <c r="G16" s="142"/>
      <c r="H16" s="142"/>
      <c r="I16" s="196">
        <f>SUM(D16:H16)</f>
        <v>64000</v>
      </c>
      <c r="J16" s="143"/>
      <c r="K16" s="143"/>
      <c r="L16" s="143"/>
      <c r="M16" s="197"/>
      <c r="N16" s="197"/>
      <c r="O16" s="198"/>
      <c r="P16" s="199"/>
      <c r="Q16" s="199"/>
      <c r="R16" s="134"/>
      <c r="S16" s="131"/>
    </row>
    <row r="17" spans="1:19" s="127" customFormat="1" ht="29.25" customHeight="1">
      <c r="A17" s="133" t="s">
        <v>224</v>
      </c>
      <c r="B17" s="130" t="s">
        <v>225</v>
      </c>
      <c r="C17" s="195">
        <f>I17+M17+Q17</f>
        <v>2245000</v>
      </c>
      <c r="D17" s="141"/>
      <c r="E17" s="142"/>
      <c r="F17" s="142">
        <v>245000</v>
      </c>
      <c r="G17" s="142"/>
      <c r="H17" s="142"/>
      <c r="I17" s="196">
        <f>SUM(D17:H17)</f>
        <v>245000</v>
      </c>
      <c r="J17" s="143">
        <v>2000000</v>
      </c>
      <c r="K17" s="143"/>
      <c r="L17" s="143"/>
      <c r="M17" s="197">
        <f>SUM(J17:L17)</f>
        <v>2000000</v>
      </c>
      <c r="N17" s="197"/>
      <c r="O17" s="198"/>
      <c r="P17" s="199"/>
      <c r="Q17" s="199"/>
      <c r="R17" s="135"/>
      <c r="S17" s="131"/>
    </row>
    <row r="18" spans="1:19" s="127" customFormat="1" ht="30" customHeight="1">
      <c r="A18" s="133" t="s">
        <v>323</v>
      </c>
      <c r="B18" s="130" t="s">
        <v>324</v>
      </c>
      <c r="C18" s="195">
        <f>I18+M18+Q18</f>
        <v>2202904</v>
      </c>
      <c r="D18" s="141"/>
      <c r="E18" s="142"/>
      <c r="F18" s="142"/>
      <c r="G18" s="142"/>
      <c r="H18" s="142">
        <f>15240+4500+864405</f>
        <v>884145</v>
      </c>
      <c r="I18" s="196">
        <f>SUM(D18:H18)</f>
        <v>884145</v>
      </c>
      <c r="J18" s="143"/>
      <c r="K18" s="143"/>
      <c r="L18" s="143"/>
      <c r="M18" s="197"/>
      <c r="N18" s="197">
        <f>1139077+179682</f>
        <v>1318759</v>
      </c>
      <c r="O18" s="198"/>
      <c r="P18" s="199"/>
      <c r="Q18" s="199">
        <f>N18+O18+P18</f>
        <v>1318759</v>
      </c>
      <c r="R18" s="132"/>
      <c r="S18" s="131"/>
    </row>
    <row r="19" spans="1:19" s="127" customFormat="1" ht="14.25" customHeight="1">
      <c r="A19" s="133" t="s">
        <v>541</v>
      </c>
      <c r="B19" s="130" t="s">
        <v>540</v>
      </c>
      <c r="C19" s="195">
        <f>I19+M19+Q19</f>
        <v>777025</v>
      </c>
      <c r="D19" s="141">
        <f>15000+618705+26385</f>
        <v>660090</v>
      </c>
      <c r="E19" s="142">
        <f>5354+111581</f>
        <v>116935</v>
      </c>
      <c r="F19" s="142"/>
      <c r="G19" s="142"/>
      <c r="H19" s="142"/>
      <c r="I19" s="196">
        <f>SUM(D19:H19)</f>
        <v>777025</v>
      </c>
      <c r="J19" s="143"/>
      <c r="K19" s="143"/>
      <c r="L19" s="143"/>
      <c r="M19" s="197"/>
      <c r="N19" s="197"/>
      <c r="O19" s="198"/>
      <c r="P19" s="199"/>
      <c r="Q19" s="199"/>
      <c r="R19" s="132"/>
      <c r="S19" s="131"/>
    </row>
    <row r="20" spans="1:19" s="127" customFormat="1" ht="19.5" customHeight="1">
      <c r="A20" s="133" t="s">
        <v>481</v>
      </c>
      <c r="B20" s="130" t="s">
        <v>482</v>
      </c>
      <c r="C20" s="195">
        <f>I20+M20+Q20</f>
        <v>19021</v>
      </c>
      <c r="D20" s="141"/>
      <c r="E20" s="142"/>
      <c r="F20" s="142">
        <v>19021</v>
      </c>
      <c r="G20" s="142"/>
      <c r="H20" s="142"/>
      <c r="I20" s="196">
        <f>SUM(D20:H20)</f>
        <v>19021</v>
      </c>
      <c r="J20" s="143"/>
      <c r="K20" s="143"/>
      <c r="L20" s="143"/>
      <c r="M20" s="197"/>
      <c r="N20" s="197"/>
      <c r="O20" s="198"/>
      <c r="P20" s="199"/>
      <c r="Q20" s="199"/>
      <c r="R20" s="132"/>
      <c r="S20" s="131"/>
    </row>
    <row r="21" spans="1:19" s="127" customFormat="1" ht="30">
      <c r="A21" s="133" t="s">
        <v>226</v>
      </c>
      <c r="B21" s="130" t="s">
        <v>227</v>
      </c>
      <c r="C21" s="195">
        <f>I21+M21+O21+P21</f>
        <v>27000</v>
      </c>
      <c r="D21" s="141"/>
      <c r="E21" s="142"/>
      <c r="F21" s="142">
        <v>27000</v>
      </c>
      <c r="G21" s="142"/>
      <c r="H21" s="142"/>
      <c r="I21" s="196">
        <f>SUM(D21:H21)</f>
        <v>27000</v>
      </c>
      <c r="J21" s="143"/>
      <c r="K21" s="143"/>
      <c r="L21" s="143"/>
      <c r="M21" s="197"/>
      <c r="N21" s="197"/>
      <c r="O21" s="198"/>
      <c r="P21" s="199"/>
      <c r="Q21" s="199"/>
      <c r="R21" s="132"/>
      <c r="S21" s="131"/>
    </row>
    <row r="22" spans="1:19" s="127" customFormat="1" ht="30">
      <c r="A22" s="133" t="s">
        <v>228</v>
      </c>
      <c r="B22" s="130" t="s">
        <v>229</v>
      </c>
      <c r="C22" s="195">
        <f>I22+M22+O22+P22</f>
        <v>6313000</v>
      </c>
      <c r="D22" s="141"/>
      <c r="E22" s="142"/>
      <c r="F22" s="142">
        <v>6313000</v>
      </c>
      <c r="G22" s="142"/>
      <c r="H22" s="142"/>
      <c r="I22" s="196">
        <f>SUM(D22:H22)</f>
        <v>6313000</v>
      </c>
      <c r="J22" s="143"/>
      <c r="K22" s="143"/>
      <c r="L22" s="143"/>
      <c r="M22" s="197"/>
      <c r="N22" s="197"/>
      <c r="O22" s="198"/>
      <c r="P22" s="199"/>
      <c r="Q22" s="199"/>
      <c r="R22" s="135"/>
      <c r="S22" s="131"/>
    </row>
    <row r="23" spans="1:19" s="127" customFormat="1" ht="15">
      <c r="A23" s="133" t="s">
        <v>230</v>
      </c>
      <c r="B23" s="130" t="s">
        <v>231</v>
      </c>
      <c r="C23" s="195">
        <f>I23+M23+O23+P23</f>
        <v>600000</v>
      </c>
      <c r="D23" s="141"/>
      <c r="E23" s="142"/>
      <c r="F23" s="142"/>
      <c r="G23" s="142"/>
      <c r="H23" s="142"/>
      <c r="I23" s="196"/>
      <c r="J23" s="143"/>
      <c r="K23" s="143"/>
      <c r="L23" s="143">
        <v>600000</v>
      </c>
      <c r="M23" s="197">
        <f>SUM(J23:L23)</f>
        <v>600000</v>
      </c>
      <c r="N23" s="197"/>
      <c r="O23" s="198"/>
      <c r="P23" s="199"/>
      <c r="Q23" s="199"/>
      <c r="R23" s="135"/>
      <c r="S23" s="131"/>
    </row>
    <row r="24" spans="1:19" s="127" customFormat="1" ht="15">
      <c r="A24" s="133" t="s">
        <v>232</v>
      </c>
      <c r="B24" s="130" t="s">
        <v>233</v>
      </c>
      <c r="C24" s="195">
        <f>I24+M24+O24+P24</f>
        <v>1900000</v>
      </c>
      <c r="D24" s="141"/>
      <c r="E24" s="142"/>
      <c r="F24" s="142">
        <v>1900000</v>
      </c>
      <c r="G24" s="143"/>
      <c r="H24" s="142"/>
      <c r="I24" s="196">
        <f>SUM(D24:H24)</f>
        <v>1900000</v>
      </c>
      <c r="J24" s="143"/>
      <c r="K24" s="143"/>
      <c r="L24" s="143"/>
      <c r="M24" s="197"/>
      <c r="N24" s="197"/>
      <c r="O24" s="198"/>
      <c r="P24" s="199"/>
      <c r="Q24" s="199"/>
      <c r="R24" s="135"/>
      <c r="S24" s="131"/>
    </row>
    <row r="25" spans="1:19" s="127" customFormat="1" ht="15">
      <c r="A25" s="133" t="s">
        <v>234</v>
      </c>
      <c r="B25" s="130" t="s">
        <v>235</v>
      </c>
      <c r="C25" s="195">
        <f>I25+M25+O25+P25</f>
        <v>635000</v>
      </c>
      <c r="D25" s="141"/>
      <c r="E25" s="142"/>
      <c r="F25" s="142">
        <v>635000</v>
      </c>
      <c r="G25" s="143"/>
      <c r="H25" s="142"/>
      <c r="I25" s="196">
        <f>SUM(D25:H25)</f>
        <v>635000</v>
      </c>
      <c r="J25" s="143"/>
      <c r="K25" s="143"/>
      <c r="L25" s="143"/>
      <c r="M25" s="197"/>
      <c r="N25" s="197"/>
      <c r="O25" s="198"/>
      <c r="P25" s="199"/>
      <c r="Q25" s="199"/>
      <c r="R25" s="135"/>
      <c r="S25" s="131"/>
    </row>
    <row r="26" spans="1:19" s="127" customFormat="1" ht="30">
      <c r="A26" s="133" t="s">
        <v>236</v>
      </c>
      <c r="B26" s="130" t="s">
        <v>237</v>
      </c>
      <c r="C26" s="195">
        <f>I26+M26+O26+P26</f>
        <v>2379348</v>
      </c>
      <c r="D26" s="141">
        <f>704000+44400</f>
        <v>748400</v>
      </c>
      <c r="E26" s="142">
        <f>192000+11988</f>
        <v>203988</v>
      </c>
      <c r="F26" s="142">
        <v>957000</v>
      </c>
      <c r="G26" s="143"/>
      <c r="H26" s="142"/>
      <c r="I26" s="196">
        <f>SUM(D26:H26)</f>
        <v>1909388</v>
      </c>
      <c r="J26" s="143">
        <f>465000+4960</f>
        <v>469960</v>
      </c>
      <c r="K26" s="143"/>
      <c r="L26" s="143"/>
      <c r="M26" s="197">
        <f>SUM(J26:L26)</f>
        <v>469960</v>
      </c>
      <c r="N26" s="197"/>
      <c r="O26" s="198"/>
      <c r="P26" s="199"/>
      <c r="Q26" s="199"/>
      <c r="R26" s="135">
        <v>0.5</v>
      </c>
      <c r="S26" s="131">
        <v>0.5</v>
      </c>
    </row>
    <row r="27" spans="1:19" s="127" customFormat="1" ht="15">
      <c r="A27" s="133" t="s">
        <v>238</v>
      </c>
      <c r="B27" s="130" t="s">
        <v>39</v>
      </c>
      <c r="C27" s="195">
        <f>I27+M27+O27+P27</f>
        <v>23265000</v>
      </c>
      <c r="D27" s="141"/>
      <c r="E27" s="142"/>
      <c r="F27" s="142">
        <v>60000</v>
      </c>
      <c r="G27" s="143"/>
      <c r="H27" s="142"/>
      <c r="I27" s="196">
        <f>SUM(D27:H27)</f>
        <v>60000</v>
      </c>
      <c r="J27" s="143"/>
      <c r="K27" s="143">
        <v>23205000</v>
      </c>
      <c r="L27" s="143"/>
      <c r="M27" s="197">
        <f>SUM(J27:L27)</f>
        <v>23205000</v>
      </c>
      <c r="N27" s="197"/>
      <c r="O27" s="198"/>
      <c r="P27" s="199"/>
      <c r="Q27" s="199"/>
      <c r="R27" s="135"/>
      <c r="S27" s="131"/>
    </row>
    <row r="28" spans="1:19" s="127" customFormat="1" ht="31.5" customHeight="1">
      <c r="A28" s="133" t="s">
        <v>239</v>
      </c>
      <c r="B28" s="130" t="s">
        <v>240</v>
      </c>
      <c r="C28" s="195">
        <f>I28+M28+O28+P28</f>
        <v>675000</v>
      </c>
      <c r="D28" s="141"/>
      <c r="E28" s="142"/>
      <c r="F28" s="142"/>
      <c r="G28" s="142"/>
      <c r="H28" s="142">
        <v>675000</v>
      </c>
      <c r="I28" s="196">
        <f>SUM(D28:H28)</f>
        <v>675000</v>
      </c>
      <c r="J28" s="143"/>
      <c r="K28" s="143"/>
      <c r="L28" s="143"/>
      <c r="M28" s="197">
        <f>SUM(J28:L28)</f>
        <v>0</v>
      </c>
      <c r="N28" s="197"/>
      <c r="O28" s="198"/>
      <c r="P28" s="199"/>
      <c r="Q28" s="199"/>
      <c r="R28" s="135"/>
      <c r="S28" s="131"/>
    </row>
    <row r="29" spans="1:19" s="127" customFormat="1" ht="15">
      <c r="A29" s="133" t="s">
        <v>241</v>
      </c>
      <c r="B29" s="130" t="s">
        <v>42</v>
      </c>
      <c r="C29" s="195">
        <f>I29+M29+O29+P29</f>
        <v>853690</v>
      </c>
      <c r="D29" s="141">
        <f>460000+4480</f>
        <v>464480</v>
      </c>
      <c r="E29" s="142">
        <f>125000+1210</f>
        <v>126210</v>
      </c>
      <c r="F29" s="142">
        <v>83000</v>
      </c>
      <c r="G29" s="142"/>
      <c r="H29" s="142"/>
      <c r="I29" s="196">
        <f>SUM(D29:H29)</f>
        <v>673690</v>
      </c>
      <c r="J29" s="143">
        <v>180000</v>
      </c>
      <c r="K29" s="143"/>
      <c r="L29" s="143"/>
      <c r="M29" s="197">
        <f>SUM(J29:L29)</f>
        <v>180000</v>
      </c>
      <c r="N29" s="197"/>
      <c r="O29" s="198"/>
      <c r="P29" s="199"/>
      <c r="Q29" s="199"/>
      <c r="R29" s="135">
        <v>0.2</v>
      </c>
      <c r="S29" s="131">
        <v>0.2</v>
      </c>
    </row>
    <row r="30" spans="1:19" s="127" customFormat="1" ht="30">
      <c r="A30" s="133" t="s">
        <v>476</v>
      </c>
      <c r="B30" s="130" t="s">
        <v>477</v>
      </c>
      <c r="C30" s="195">
        <f>I30+M30+O30+P30</f>
        <v>2558821</v>
      </c>
      <c r="D30" s="141">
        <f>1726000+14820</f>
        <v>1740820</v>
      </c>
      <c r="E30" s="142">
        <f>471000+4001</f>
        <v>475001</v>
      </c>
      <c r="F30" s="142">
        <v>343000</v>
      </c>
      <c r="G30" s="142"/>
      <c r="H30" s="142"/>
      <c r="I30" s="196">
        <f>SUM(D30:H30)</f>
        <v>2558821</v>
      </c>
      <c r="J30" s="143"/>
      <c r="K30" s="143"/>
      <c r="L30" s="143"/>
      <c r="M30" s="197">
        <f>SUM(J30:L30)</f>
        <v>0</v>
      </c>
      <c r="N30" s="197"/>
      <c r="O30" s="198"/>
      <c r="P30" s="199"/>
      <c r="Q30" s="199"/>
      <c r="R30" s="135"/>
      <c r="S30" s="131"/>
    </row>
    <row r="31" spans="1:19" s="127" customFormat="1" ht="15">
      <c r="A31" s="133" t="s">
        <v>478</v>
      </c>
      <c r="B31" s="130" t="s">
        <v>479</v>
      </c>
      <c r="C31" s="195">
        <f>I31+M31+O31+P31</f>
        <v>362000</v>
      </c>
      <c r="D31" s="141">
        <v>291000</v>
      </c>
      <c r="E31" s="142">
        <v>71000</v>
      </c>
      <c r="F31" s="142"/>
      <c r="G31" s="142"/>
      <c r="H31" s="142"/>
      <c r="I31" s="196">
        <f>SUM(D31:H31)</f>
        <v>362000</v>
      </c>
      <c r="J31" s="143"/>
      <c r="K31" s="143"/>
      <c r="L31" s="143"/>
      <c r="M31" s="197">
        <f>SUM(J31:L31)</f>
        <v>0</v>
      </c>
      <c r="N31" s="197"/>
      <c r="O31" s="198"/>
      <c r="P31" s="199"/>
      <c r="Q31" s="199"/>
      <c r="R31" s="135"/>
      <c r="S31" s="131"/>
    </row>
    <row r="32" spans="1:19" s="127" customFormat="1" ht="15">
      <c r="A32" s="133" t="s">
        <v>242</v>
      </c>
      <c r="B32" s="130" t="s">
        <v>40</v>
      </c>
      <c r="C32" s="195">
        <f>I32+M32+O32+P32</f>
        <v>240000</v>
      </c>
      <c r="D32" s="141"/>
      <c r="E32" s="142"/>
      <c r="F32" s="142"/>
      <c r="G32" s="142"/>
      <c r="H32" s="142">
        <v>240000</v>
      </c>
      <c r="I32" s="196">
        <f>SUM(D32:H32)</f>
        <v>240000</v>
      </c>
      <c r="J32" s="143"/>
      <c r="K32" s="143"/>
      <c r="L32" s="143"/>
      <c r="M32" s="197">
        <f>SUM(J32:L32)</f>
        <v>0</v>
      </c>
      <c r="N32" s="197"/>
      <c r="O32" s="198"/>
      <c r="P32" s="199"/>
      <c r="Q32" s="199"/>
      <c r="R32" s="135"/>
      <c r="S32" s="131"/>
    </row>
    <row r="33" spans="1:19" s="127" customFormat="1" ht="15">
      <c r="A33" s="133" t="s">
        <v>243</v>
      </c>
      <c r="B33" s="130" t="s">
        <v>244</v>
      </c>
      <c r="C33" s="195">
        <f>I33+M33+O33+P33</f>
        <v>50000</v>
      </c>
      <c r="D33" s="141"/>
      <c r="E33" s="142"/>
      <c r="F33" s="142"/>
      <c r="G33" s="142"/>
      <c r="H33" s="142">
        <v>50000</v>
      </c>
      <c r="I33" s="196">
        <f>SUM(D33:H33)</f>
        <v>50000</v>
      </c>
      <c r="J33" s="143"/>
      <c r="K33" s="143"/>
      <c r="L33" s="143"/>
      <c r="M33" s="197">
        <f>SUM(J33:L33)</f>
        <v>0</v>
      </c>
      <c r="N33" s="197"/>
      <c r="O33" s="198"/>
      <c r="P33" s="199"/>
      <c r="Q33" s="199"/>
      <c r="R33" s="135"/>
      <c r="S33" s="131"/>
    </row>
    <row r="34" spans="1:19" s="127" customFormat="1" ht="15">
      <c r="A34" s="133" t="s">
        <v>325</v>
      </c>
      <c r="B34" s="130" t="s">
        <v>326</v>
      </c>
      <c r="C34" s="195">
        <f>I34+M34+O34+P34</f>
        <v>6826225</v>
      </c>
      <c r="D34" s="141">
        <f>2567000+101750-94500+51975</f>
        <v>2626225</v>
      </c>
      <c r="E34" s="142">
        <v>700000</v>
      </c>
      <c r="F34" s="142">
        <v>3448000</v>
      </c>
      <c r="G34" s="142"/>
      <c r="H34" s="142"/>
      <c r="I34" s="196">
        <f>SUM(D34:H34)</f>
        <v>6774225</v>
      </c>
      <c r="J34" s="143">
        <v>52000</v>
      </c>
      <c r="K34" s="143"/>
      <c r="L34" s="143"/>
      <c r="M34" s="197">
        <f>SUM(J34:L34)</f>
        <v>52000</v>
      </c>
      <c r="N34" s="197"/>
      <c r="O34" s="198"/>
      <c r="P34" s="199"/>
      <c r="Q34" s="199"/>
      <c r="R34" s="180">
        <v>1</v>
      </c>
      <c r="S34" s="181">
        <v>1</v>
      </c>
    </row>
    <row r="35" spans="1:19" s="127" customFormat="1" ht="30">
      <c r="A35" s="133" t="s">
        <v>327</v>
      </c>
      <c r="B35" s="130" t="s">
        <v>328</v>
      </c>
      <c r="C35" s="195">
        <f>I35+M35+O35+P35</f>
        <v>1256745</v>
      </c>
      <c r="D35" s="141">
        <f>453000+20350+10395</f>
        <v>483745</v>
      </c>
      <c r="E35" s="142">
        <v>124000</v>
      </c>
      <c r="F35" s="142">
        <v>640000</v>
      </c>
      <c r="G35" s="142"/>
      <c r="H35" s="142"/>
      <c r="I35" s="196">
        <f>SUM(D35:H35)</f>
        <v>1247745</v>
      </c>
      <c r="J35" s="143">
        <v>9000</v>
      </c>
      <c r="K35" s="143"/>
      <c r="L35" s="143"/>
      <c r="M35" s="197">
        <f>SUM(J35:L35)</f>
        <v>9000</v>
      </c>
      <c r="N35" s="197"/>
      <c r="O35" s="198"/>
      <c r="P35" s="199"/>
      <c r="Q35" s="199"/>
      <c r="R35" s="135"/>
      <c r="S35" s="131"/>
    </row>
    <row r="36" spans="1:19" s="127" customFormat="1" ht="15">
      <c r="A36" s="133" t="s">
        <v>327</v>
      </c>
      <c r="B36" s="136" t="s">
        <v>480</v>
      </c>
      <c r="C36" s="195">
        <f>I36+M36+O36+P36</f>
        <v>1931755</v>
      </c>
      <c r="D36" s="141">
        <f>654000+46250+8505</f>
        <v>708755</v>
      </c>
      <c r="E36" s="142">
        <v>179000</v>
      </c>
      <c r="F36" s="142">
        <v>1031000</v>
      </c>
      <c r="G36" s="142"/>
      <c r="H36" s="142"/>
      <c r="I36" s="196">
        <f>SUM(D36:H36)</f>
        <v>1918755</v>
      </c>
      <c r="J36" s="143">
        <v>13000</v>
      </c>
      <c r="K36" s="143"/>
      <c r="L36" s="143"/>
      <c r="M36" s="197">
        <f>SUM(J36:L36)</f>
        <v>13000</v>
      </c>
      <c r="N36" s="197"/>
      <c r="O36" s="198"/>
      <c r="P36" s="199"/>
      <c r="Q36" s="199"/>
      <c r="R36" s="135"/>
      <c r="S36" s="131"/>
    </row>
    <row r="37" spans="1:19" s="127" customFormat="1" ht="30">
      <c r="A37" s="133">
        <v>104051</v>
      </c>
      <c r="B37" s="130" t="s">
        <v>383</v>
      </c>
      <c r="C37" s="195">
        <f>I37+M37+O37+P37</f>
        <v>46000</v>
      </c>
      <c r="D37" s="141"/>
      <c r="E37" s="142"/>
      <c r="F37" s="142"/>
      <c r="G37" s="142">
        <v>46000</v>
      </c>
      <c r="H37" s="142"/>
      <c r="I37" s="196">
        <f>SUM(D37:H37)</f>
        <v>46000</v>
      </c>
      <c r="J37" s="143"/>
      <c r="K37" s="143"/>
      <c r="L37" s="143"/>
      <c r="M37" s="197">
        <f>SUM(J37:L37)</f>
        <v>0</v>
      </c>
      <c r="N37" s="197"/>
      <c r="O37" s="198"/>
      <c r="P37" s="199"/>
      <c r="Q37" s="199"/>
      <c r="R37" s="135"/>
      <c r="S37" s="131"/>
    </row>
    <row r="38" spans="1:19" s="127" customFormat="1" ht="30">
      <c r="A38" s="133">
        <v>106020</v>
      </c>
      <c r="B38" s="130" t="s">
        <v>245</v>
      </c>
      <c r="C38" s="195">
        <f>I38+M38+O38+P38</f>
        <v>600000</v>
      </c>
      <c r="D38" s="141"/>
      <c r="E38" s="142"/>
      <c r="F38" s="142"/>
      <c r="G38" s="142">
        <v>600000</v>
      </c>
      <c r="H38" s="142"/>
      <c r="I38" s="196">
        <f>SUM(D38:H38)</f>
        <v>600000</v>
      </c>
      <c r="J38" s="143"/>
      <c r="K38" s="143"/>
      <c r="L38" s="143"/>
      <c r="M38" s="197">
        <f>SUM(J38:L38)</f>
        <v>0</v>
      </c>
      <c r="N38" s="197"/>
      <c r="O38" s="198"/>
      <c r="P38" s="199"/>
      <c r="Q38" s="199"/>
      <c r="R38" s="135">
        <v>0.6</v>
      </c>
      <c r="S38" s="131">
        <v>0.6</v>
      </c>
    </row>
    <row r="39" spans="1:19" s="127" customFormat="1" ht="15">
      <c r="A39" s="133" t="s">
        <v>246</v>
      </c>
      <c r="B39" s="136" t="s">
        <v>382</v>
      </c>
      <c r="C39" s="195">
        <f>I39+M39+O39+P39</f>
        <v>3905275</v>
      </c>
      <c r="D39" s="141">
        <f>1359000+16650+23625</f>
        <v>1399275</v>
      </c>
      <c r="E39" s="142">
        <v>371000</v>
      </c>
      <c r="F39" s="142">
        <v>2108000</v>
      </c>
      <c r="G39" s="142"/>
      <c r="H39" s="142"/>
      <c r="I39" s="196">
        <f>SUM(D39:H39)</f>
        <v>3878275</v>
      </c>
      <c r="J39" s="143">
        <v>27000</v>
      </c>
      <c r="K39" s="143"/>
      <c r="L39" s="143"/>
      <c r="M39" s="197">
        <f>SUM(J39:L39)</f>
        <v>27000</v>
      </c>
      <c r="N39" s="197"/>
      <c r="O39" s="198"/>
      <c r="P39" s="199"/>
      <c r="Q39" s="199"/>
      <c r="R39" s="135"/>
      <c r="S39" s="131"/>
    </row>
    <row r="40" spans="1:19" s="127" customFormat="1" ht="15">
      <c r="A40" s="133">
        <v>107052</v>
      </c>
      <c r="B40" s="137" t="s">
        <v>247</v>
      </c>
      <c r="C40" s="195">
        <f>I40+M40+O40+P40</f>
        <v>702000</v>
      </c>
      <c r="D40" s="141"/>
      <c r="E40" s="142"/>
      <c r="F40" s="142">
        <v>702000</v>
      </c>
      <c r="G40" s="142"/>
      <c r="H40" s="142"/>
      <c r="I40" s="196">
        <f>SUM(D40:H40)</f>
        <v>702000</v>
      </c>
      <c r="J40" s="143"/>
      <c r="K40" s="143"/>
      <c r="L40" s="143"/>
      <c r="M40" s="197">
        <f>SUM(J40:L40)</f>
        <v>0</v>
      </c>
      <c r="N40" s="197"/>
      <c r="O40" s="198"/>
      <c r="P40" s="199"/>
      <c r="Q40" s="199"/>
      <c r="R40" s="135"/>
      <c r="S40" s="131"/>
    </row>
    <row r="41" spans="1:19" s="127" customFormat="1" ht="27.75" customHeight="1" thickBot="1">
      <c r="A41" s="133">
        <v>107060</v>
      </c>
      <c r="B41" s="130" t="s">
        <v>248</v>
      </c>
      <c r="C41" s="195">
        <f>I41+M41+O41+P41</f>
        <v>2715000</v>
      </c>
      <c r="D41" s="141"/>
      <c r="E41" s="142"/>
      <c r="F41" s="142"/>
      <c r="G41" s="142">
        <v>2715000</v>
      </c>
      <c r="H41" s="142"/>
      <c r="I41" s="196">
        <f>SUM(D41:H41)</f>
        <v>2715000</v>
      </c>
      <c r="J41" s="143"/>
      <c r="K41" s="143"/>
      <c r="L41" s="143"/>
      <c r="M41" s="197">
        <f>SUM(J41:L41)</f>
        <v>0</v>
      </c>
      <c r="N41" s="197"/>
      <c r="O41" s="198"/>
      <c r="P41" s="199"/>
      <c r="Q41" s="199"/>
      <c r="R41" s="132">
        <v>0.4</v>
      </c>
      <c r="S41" s="131">
        <v>0.4</v>
      </c>
    </row>
    <row r="42" spans="1:19" s="684" customFormat="1" ht="18.75" customHeight="1" thickBot="1">
      <c r="A42" s="688"/>
      <c r="B42" s="687" t="s">
        <v>333</v>
      </c>
      <c r="C42" s="686">
        <f>SUM(C15:C41)</f>
        <v>118616303</v>
      </c>
      <c r="D42" s="686">
        <f>SUM(D15:D41)</f>
        <v>17237760</v>
      </c>
      <c r="E42" s="686">
        <f>SUM(E15:E41)</f>
        <v>4669007</v>
      </c>
      <c r="F42" s="686">
        <f>SUM(F15:F41)</f>
        <v>22576508</v>
      </c>
      <c r="G42" s="686">
        <f>SUM(G15:G41)</f>
        <v>3361000</v>
      </c>
      <c r="H42" s="686">
        <f>SUM(H15:H41)</f>
        <v>42800269</v>
      </c>
      <c r="I42" s="686">
        <f>SUM(I15:I41)</f>
        <v>90644544</v>
      </c>
      <c r="J42" s="686">
        <f>SUM(J15:J41)</f>
        <v>2848000</v>
      </c>
      <c r="K42" s="686">
        <f>SUM(K15:K41)</f>
        <v>23205000</v>
      </c>
      <c r="L42" s="686">
        <f>SUM(L15:L41)</f>
        <v>600000</v>
      </c>
      <c r="M42" s="686">
        <f>SUM(M15:M41)</f>
        <v>26653000</v>
      </c>
      <c r="N42" s="686">
        <f>SUM(N15:N41)</f>
        <v>1318759</v>
      </c>
      <c r="O42" s="686">
        <f>SUM(O15:O41)</f>
        <v>0</v>
      </c>
      <c r="P42" s="686">
        <f>SUM(P15:P41)</f>
        <v>0</v>
      </c>
      <c r="Q42" s="686">
        <f>SUM(Q15:Q41)</f>
        <v>1318759</v>
      </c>
      <c r="R42" s="685">
        <f>SUM(R15:R41)</f>
        <v>3.2</v>
      </c>
      <c r="S42" s="685">
        <f>SUM(S15:S41)</f>
        <v>3.2</v>
      </c>
    </row>
    <row r="45" ht="12.75">
      <c r="C45" s="11">
        <f>I42+M42+Q42</f>
        <v>118616303</v>
      </c>
    </row>
  </sheetData>
  <sheetProtection/>
  <mergeCells count="31">
    <mergeCell ref="A10:A14"/>
    <mergeCell ref="D10:Q10"/>
    <mergeCell ref="D12:D14"/>
    <mergeCell ref="J11:M11"/>
    <mergeCell ref="E12:E14"/>
    <mergeCell ref="D11:I11"/>
    <mergeCell ref="K1:S1"/>
    <mergeCell ref="R9:S9"/>
    <mergeCell ref="A7:S7"/>
    <mergeCell ref="K12:K14"/>
    <mergeCell ref="L12:L14"/>
    <mergeCell ref="I12:I14"/>
    <mergeCell ref="R11:S11"/>
    <mergeCell ref="B10:B14"/>
    <mergeCell ref="J12:J14"/>
    <mergeCell ref="A8:S8"/>
    <mergeCell ref="R13:S14"/>
    <mergeCell ref="F12:F14"/>
    <mergeCell ref="N11:Q11"/>
    <mergeCell ref="G12:G14"/>
    <mergeCell ref="H12:H14"/>
    <mergeCell ref="M12:M14"/>
    <mergeCell ref="C10:C14"/>
    <mergeCell ref="P12:P14"/>
    <mergeCell ref="O12:O14"/>
    <mergeCell ref="A3:P3"/>
    <mergeCell ref="A4:S4"/>
    <mergeCell ref="A6:S6"/>
    <mergeCell ref="Q12:Q14"/>
    <mergeCell ref="N12:N14"/>
    <mergeCell ref="R10:S10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9.125" style="187" customWidth="1"/>
    <col min="2" max="2" width="63.125" style="187" customWidth="1"/>
    <col min="3" max="6" width="26.25390625" style="187" customWidth="1"/>
    <col min="7" max="16384" width="9.125" style="187" customWidth="1"/>
  </cols>
  <sheetData>
    <row r="2" spans="1:6" s="182" customFormat="1" ht="15.75">
      <c r="A2" s="146"/>
      <c r="C2" s="183"/>
      <c r="D2" s="683"/>
      <c r="E2" s="683"/>
      <c r="F2" s="683"/>
    </row>
    <row r="3" spans="1:6" s="182" customFormat="1" ht="15.75">
      <c r="A3" s="146"/>
      <c r="C3" s="183"/>
      <c r="D3" s="683"/>
      <c r="E3" s="683"/>
      <c r="F3" s="683"/>
    </row>
    <row r="4" spans="1:6" s="74" customFormat="1" ht="15" customHeight="1">
      <c r="A4" s="694" t="s">
        <v>523</v>
      </c>
      <c r="B4" s="430"/>
      <c r="C4" s="430"/>
      <c r="D4" s="430"/>
      <c r="E4" s="430"/>
      <c r="F4" s="430"/>
    </row>
    <row r="5" spans="2:6" s="184" customFormat="1" ht="15" customHeight="1">
      <c r="B5" s="372"/>
      <c r="C5" s="693"/>
      <c r="D5" s="693"/>
      <c r="E5" s="693"/>
      <c r="F5" s="693"/>
    </row>
    <row r="6" spans="2:6" s="144" customFormat="1" ht="15" customHeight="1">
      <c r="B6" s="372" t="s">
        <v>46</v>
      </c>
      <c r="C6" s="372"/>
      <c r="D6" s="372"/>
      <c r="E6" s="372"/>
      <c r="F6" s="372"/>
    </row>
    <row r="7" spans="2:6" s="144" customFormat="1" ht="15.75">
      <c r="B7" s="373" t="s">
        <v>334</v>
      </c>
      <c r="C7" s="373"/>
      <c r="D7" s="373"/>
      <c r="E7" s="373"/>
      <c r="F7" s="373"/>
    </row>
    <row r="8" spans="2:6" s="144" customFormat="1" ht="15" customHeight="1">
      <c r="B8" s="372" t="s">
        <v>473</v>
      </c>
      <c r="C8" s="372"/>
      <c r="D8" s="372"/>
      <c r="E8" s="372"/>
      <c r="F8" s="372"/>
    </row>
    <row r="9" spans="2:6" s="182" customFormat="1" ht="12" customHeight="1" thickBot="1">
      <c r="B9" s="183"/>
      <c r="C9" s="186"/>
      <c r="D9" s="681"/>
      <c r="E9" s="681"/>
      <c r="F9" s="680"/>
    </row>
    <row r="10" spans="1:6" s="182" customFormat="1" ht="16.5" customHeight="1" thickBot="1">
      <c r="A10" s="362" t="s">
        <v>204</v>
      </c>
      <c r="B10" s="365" t="s">
        <v>205</v>
      </c>
      <c r="C10" s="368" t="s">
        <v>335</v>
      </c>
      <c r="D10" s="679" t="s">
        <v>318</v>
      </c>
      <c r="E10" s="679"/>
      <c r="F10" s="678"/>
    </row>
    <row r="11" spans="1:6" s="182" customFormat="1" ht="33" customHeight="1" thickBot="1">
      <c r="A11" s="363"/>
      <c r="B11" s="366"/>
      <c r="C11" s="369"/>
      <c r="D11" s="677" t="s">
        <v>319</v>
      </c>
      <c r="E11" s="676" t="s">
        <v>320</v>
      </c>
      <c r="F11" s="675" t="s">
        <v>321</v>
      </c>
    </row>
    <row r="12" spans="1:6" s="182" customFormat="1" ht="22.5" customHeight="1">
      <c r="A12" s="363"/>
      <c r="B12" s="366"/>
      <c r="C12" s="369"/>
      <c r="D12" s="674" t="s">
        <v>322</v>
      </c>
      <c r="E12" s="673"/>
      <c r="F12" s="672"/>
    </row>
    <row r="13" spans="1:6" ht="12.75">
      <c r="A13" s="363"/>
      <c r="B13" s="366"/>
      <c r="C13" s="369"/>
      <c r="D13" s="671"/>
      <c r="E13" s="670"/>
      <c r="F13" s="669"/>
    </row>
    <row r="14" spans="1:6" ht="3" customHeight="1" thickBot="1">
      <c r="A14" s="364"/>
      <c r="B14" s="367"/>
      <c r="C14" s="370"/>
      <c r="D14" s="668"/>
      <c r="E14" s="667"/>
      <c r="F14" s="666"/>
    </row>
    <row r="15" spans="1:6" ht="30">
      <c r="A15" s="129" t="s">
        <v>221</v>
      </c>
      <c r="B15" s="130" t="s">
        <v>222</v>
      </c>
      <c r="C15" s="665">
        <f>SUM(D15:F15)</f>
        <v>55466494</v>
      </c>
      <c r="D15" s="665">
        <f>13849000+40900494</f>
        <v>54749494</v>
      </c>
      <c r="E15" s="665">
        <v>717000</v>
      </c>
      <c r="F15" s="665"/>
    </row>
    <row r="16" spans="1:6" ht="15">
      <c r="A16" s="133" t="s">
        <v>223</v>
      </c>
      <c r="B16" s="130" t="s">
        <v>41</v>
      </c>
      <c r="C16" s="663">
        <f>SUM(D16:F16)</f>
        <v>64000</v>
      </c>
      <c r="D16" s="663">
        <v>64000</v>
      </c>
      <c r="E16" s="663"/>
      <c r="F16" s="663"/>
    </row>
    <row r="17" spans="1:6" ht="15">
      <c r="A17" s="133" t="s">
        <v>224</v>
      </c>
      <c r="B17" s="130" t="s">
        <v>225</v>
      </c>
      <c r="C17" s="663">
        <f>SUM(D17:F17)</f>
        <v>2245000</v>
      </c>
      <c r="D17" s="663">
        <f>245000</f>
        <v>245000</v>
      </c>
      <c r="E17" s="663">
        <v>2000000</v>
      </c>
      <c r="F17" s="663"/>
    </row>
    <row r="18" spans="1:6" ht="15">
      <c r="A18" s="133" t="s">
        <v>323</v>
      </c>
      <c r="B18" s="130" t="s">
        <v>324</v>
      </c>
      <c r="C18" s="663">
        <f>SUM(D18:F18)</f>
        <v>2202904</v>
      </c>
      <c r="D18" s="663">
        <f>1139000+179759+884145</f>
        <v>2202904</v>
      </c>
      <c r="E18" s="663"/>
      <c r="F18" s="663"/>
    </row>
    <row r="19" spans="1:6" ht="15">
      <c r="A19" s="133" t="s">
        <v>541</v>
      </c>
      <c r="B19" s="130" t="s">
        <v>540</v>
      </c>
      <c r="C19" s="663">
        <f>SUM(D19:F19)</f>
        <v>777025</v>
      </c>
      <c r="D19" s="663">
        <v>777025</v>
      </c>
      <c r="E19" s="663"/>
      <c r="F19" s="663"/>
    </row>
    <row r="20" spans="1:6" ht="27" customHeight="1">
      <c r="A20" s="133" t="s">
        <v>226</v>
      </c>
      <c r="B20" s="130" t="s">
        <v>227</v>
      </c>
      <c r="C20" s="663">
        <f>SUM(D20:F20)</f>
        <v>27000</v>
      </c>
      <c r="D20" s="663">
        <v>27000</v>
      </c>
      <c r="E20" s="663"/>
      <c r="F20" s="663"/>
    </row>
    <row r="21" spans="1:6" ht="15">
      <c r="A21" s="133" t="s">
        <v>481</v>
      </c>
      <c r="B21" s="130" t="s">
        <v>482</v>
      </c>
      <c r="C21" s="663">
        <f>SUM(D21:F21)</f>
        <v>19021</v>
      </c>
      <c r="D21" s="303">
        <v>19021</v>
      </c>
      <c r="E21" s="142"/>
      <c r="F21" s="142"/>
    </row>
    <row r="22" spans="1:6" ht="15">
      <c r="A22" s="133" t="s">
        <v>228</v>
      </c>
      <c r="B22" s="130" t="s">
        <v>229</v>
      </c>
      <c r="C22" s="663">
        <f>SUM(D22:F22)</f>
        <v>6313000</v>
      </c>
      <c r="D22" s="663">
        <v>6313000</v>
      </c>
      <c r="E22" s="663"/>
      <c r="F22" s="663"/>
    </row>
    <row r="23" spans="1:6" ht="15">
      <c r="A23" s="133" t="s">
        <v>230</v>
      </c>
      <c r="B23" s="130" t="s">
        <v>231</v>
      </c>
      <c r="C23" s="663">
        <f>SUM(D23:F23)</f>
        <v>600000</v>
      </c>
      <c r="D23" s="663"/>
      <c r="E23" s="663">
        <v>600000</v>
      </c>
      <c r="F23" s="663"/>
    </row>
    <row r="24" spans="1:6" ht="15">
      <c r="A24" s="133" t="s">
        <v>232</v>
      </c>
      <c r="B24" s="130" t="s">
        <v>233</v>
      </c>
      <c r="C24" s="663">
        <f>SUM(D24:F24)</f>
        <v>1900000</v>
      </c>
      <c r="D24" s="663">
        <v>1900000</v>
      </c>
      <c r="E24" s="663"/>
      <c r="F24" s="663"/>
    </row>
    <row r="25" spans="1:6" ht="15">
      <c r="A25" s="133" t="s">
        <v>234</v>
      </c>
      <c r="B25" s="130" t="s">
        <v>235</v>
      </c>
      <c r="C25" s="663">
        <f>SUM(D25:F25)</f>
        <v>635000</v>
      </c>
      <c r="D25" s="663">
        <v>635000</v>
      </c>
      <c r="E25" s="663"/>
      <c r="F25" s="663"/>
    </row>
    <row r="26" spans="1:6" ht="15">
      <c r="A26" s="133" t="s">
        <v>236</v>
      </c>
      <c r="B26" s="130" t="s">
        <v>237</v>
      </c>
      <c r="C26" s="663">
        <f>SUM(D26:F26)</f>
        <v>2379348</v>
      </c>
      <c r="D26" s="663">
        <f>2281000+61348</f>
        <v>2342348</v>
      </c>
      <c r="E26" s="663">
        <v>37000</v>
      </c>
      <c r="F26" s="663"/>
    </row>
    <row r="27" spans="1:6" ht="15">
      <c r="A27" s="133" t="s">
        <v>238</v>
      </c>
      <c r="B27" s="130" t="s">
        <v>39</v>
      </c>
      <c r="C27" s="663">
        <f>SUM(D27:F27)</f>
        <v>23265000</v>
      </c>
      <c r="D27" s="663">
        <v>23265000</v>
      </c>
      <c r="E27" s="663"/>
      <c r="F27" s="663"/>
    </row>
    <row r="28" spans="1:6" ht="15">
      <c r="A28" s="133" t="s">
        <v>239</v>
      </c>
      <c r="B28" s="130" t="s">
        <v>240</v>
      </c>
      <c r="C28" s="663">
        <f>SUM(D28:F28)</f>
        <v>675000</v>
      </c>
      <c r="D28" s="663">
        <v>675000</v>
      </c>
      <c r="E28" s="663"/>
      <c r="F28" s="663"/>
    </row>
    <row r="29" spans="1:6" ht="15">
      <c r="A29" s="133" t="s">
        <v>241</v>
      </c>
      <c r="B29" s="130" t="s">
        <v>42</v>
      </c>
      <c r="C29" s="663">
        <f>SUM(D29:F29)</f>
        <v>853690</v>
      </c>
      <c r="D29" s="663">
        <f>833000+5690</f>
        <v>838690</v>
      </c>
      <c r="E29" s="663">
        <v>15000</v>
      </c>
      <c r="F29" s="663"/>
    </row>
    <row r="30" spans="1:6" ht="15">
      <c r="A30" s="133" t="s">
        <v>476</v>
      </c>
      <c r="B30" s="130" t="s">
        <v>483</v>
      </c>
      <c r="C30" s="663">
        <f>SUM(D30:F30)</f>
        <v>2558821</v>
      </c>
      <c r="D30" s="663">
        <f>2463000+18821</f>
        <v>2481821</v>
      </c>
      <c r="E30" s="663">
        <v>77000</v>
      </c>
      <c r="F30" s="663"/>
    </row>
    <row r="31" spans="1:6" ht="15">
      <c r="A31" s="133" t="s">
        <v>478</v>
      </c>
      <c r="B31" s="130" t="s">
        <v>484</v>
      </c>
      <c r="C31" s="663">
        <f>SUM(D31:F31)</f>
        <v>362000</v>
      </c>
      <c r="D31" s="663">
        <v>362000</v>
      </c>
      <c r="E31" s="663"/>
      <c r="F31" s="663"/>
    </row>
    <row r="32" spans="1:6" ht="15">
      <c r="A32" s="133" t="s">
        <v>242</v>
      </c>
      <c r="B32" s="130" t="s">
        <v>40</v>
      </c>
      <c r="C32" s="663">
        <f>SUM(D32:F32)</f>
        <v>240000</v>
      </c>
      <c r="D32" s="663"/>
      <c r="E32" s="663">
        <v>240000</v>
      </c>
      <c r="F32" s="663"/>
    </row>
    <row r="33" spans="1:6" ht="15">
      <c r="A33" s="133" t="s">
        <v>243</v>
      </c>
      <c r="B33" s="130" t="s">
        <v>244</v>
      </c>
      <c r="C33" s="663">
        <f>SUM(D33:F33)</f>
        <v>50000</v>
      </c>
      <c r="D33" s="663"/>
      <c r="E33" s="663">
        <v>50000</v>
      </c>
      <c r="F33" s="663"/>
    </row>
    <row r="34" spans="1:6" ht="15">
      <c r="A34" s="133" t="s">
        <v>325</v>
      </c>
      <c r="B34" s="130" t="s">
        <v>326</v>
      </c>
      <c r="C34" s="663">
        <f>SUM(D34:F34)</f>
        <v>6826225</v>
      </c>
      <c r="D34" s="663">
        <f>6654000+59225</f>
        <v>6713225</v>
      </c>
      <c r="E34" s="663">
        <v>113000</v>
      </c>
      <c r="F34" s="663"/>
    </row>
    <row r="35" spans="1:6" ht="15">
      <c r="A35" s="133" t="s">
        <v>327</v>
      </c>
      <c r="B35" s="130" t="s">
        <v>328</v>
      </c>
      <c r="C35" s="663">
        <f>SUM(D35:F35)</f>
        <v>1256745</v>
      </c>
      <c r="D35" s="663"/>
      <c r="E35" s="663">
        <f>1226000+30745</f>
        <v>1256745</v>
      </c>
      <c r="F35" s="663"/>
    </row>
    <row r="36" spans="1:6" ht="15">
      <c r="A36" s="133" t="s">
        <v>327</v>
      </c>
      <c r="B36" s="130" t="s">
        <v>485</v>
      </c>
      <c r="C36" s="663">
        <f>SUM(D36:F36)</f>
        <v>1931755</v>
      </c>
      <c r="D36" s="663"/>
      <c r="E36" s="663">
        <f>1877000+54755</f>
        <v>1931755</v>
      </c>
      <c r="F36" s="663"/>
    </row>
    <row r="37" spans="1:6" ht="15">
      <c r="A37" s="133">
        <v>104051</v>
      </c>
      <c r="B37" s="137" t="s">
        <v>383</v>
      </c>
      <c r="C37" s="663">
        <f>SUM(D37:F37)</f>
        <v>46000</v>
      </c>
      <c r="D37" s="663"/>
      <c r="E37" s="663"/>
      <c r="F37" s="663">
        <v>46000</v>
      </c>
    </row>
    <row r="38" spans="1:6" ht="15">
      <c r="A38" s="133">
        <v>106020</v>
      </c>
      <c r="B38" s="130" t="s">
        <v>245</v>
      </c>
      <c r="C38" s="663">
        <f>SUM(D38:F38)</f>
        <v>600000</v>
      </c>
      <c r="D38" s="663">
        <v>600000</v>
      </c>
      <c r="E38" s="663"/>
      <c r="F38" s="663"/>
    </row>
    <row r="39" spans="1:13" ht="15">
      <c r="A39" s="133" t="s">
        <v>246</v>
      </c>
      <c r="B39" s="136" t="s">
        <v>382</v>
      </c>
      <c r="C39" s="663">
        <f>SUM(D39:F39)</f>
        <v>3905275</v>
      </c>
      <c r="D39" s="663">
        <f>3806000+40275</f>
        <v>3846275</v>
      </c>
      <c r="E39" s="663">
        <v>59000</v>
      </c>
      <c r="F39" s="663"/>
      <c r="G39" s="324"/>
      <c r="H39" s="324"/>
      <c r="I39" s="324"/>
      <c r="J39" s="324"/>
      <c r="K39" s="324"/>
      <c r="L39" s="324"/>
      <c r="M39" s="324"/>
    </row>
    <row r="40" spans="1:13" ht="15">
      <c r="A40" s="133">
        <v>107052</v>
      </c>
      <c r="B40" s="137" t="s">
        <v>247</v>
      </c>
      <c r="C40" s="663">
        <f>SUM(D40:F40)</f>
        <v>702000</v>
      </c>
      <c r="D40" s="304">
        <v>702000</v>
      </c>
      <c r="E40" s="142"/>
      <c r="F40" s="142"/>
      <c r="G40" s="325"/>
      <c r="H40" s="325"/>
      <c r="I40" s="326"/>
      <c r="J40" s="327"/>
      <c r="K40" s="327"/>
      <c r="L40" s="327"/>
      <c r="M40" s="326"/>
    </row>
    <row r="41" spans="1:6" ht="15.75" thickBot="1">
      <c r="A41" s="133">
        <v>107060</v>
      </c>
      <c r="B41" s="130" t="s">
        <v>248</v>
      </c>
      <c r="C41" s="663">
        <f>SUM(D41:F41)</f>
        <v>2715000</v>
      </c>
      <c r="D41" s="663">
        <v>2715000</v>
      </c>
      <c r="E41" s="663"/>
      <c r="F41" s="663"/>
    </row>
    <row r="42" spans="1:6" ht="33" customHeight="1" thickBot="1">
      <c r="A42" s="190"/>
      <c r="B42" s="191" t="s">
        <v>2</v>
      </c>
      <c r="C42" s="661">
        <f>SUM(C15:C41)</f>
        <v>118616303</v>
      </c>
      <c r="D42" s="661">
        <f>SUM(D15:D41)</f>
        <v>111473803</v>
      </c>
      <c r="E42" s="661">
        <f>SUM(E15:E41)</f>
        <v>7096500</v>
      </c>
      <c r="F42" s="661">
        <f>SUM(F15:F41)</f>
        <v>46000</v>
      </c>
    </row>
  </sheetData>
  <sheetProtection/>
  <mergeCells count="10">
    <mergeCell ref="A4:F4"/>
    <mergeCell ref="A10:A14"/>
    <mergeCell ref="B10:B14"/>
    <mergeCell ref="C10:C14"/>
    <mergeCell ref="D10:F10"/>
    <mergeCell ref="D12:F14"/>
    <mergeCell ref="B6:F6"/>
    <mergeCell ref="B7:F7"/>
    <mergeCell ref="B8:F8"/>
    <mergeCell ref="B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7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2" width="9.125" style="12" customWidth="1"/>
    <col min="3" max="3" width="23.125" style="12" customWidth="1"/>
    <col min="4" max="4" width="17.375" style="12" customWidth="1"/>
    <col min="5" max="5" width="14.375" style="12" customWidth="1"/>
    <col min="6" max="6" width="17.125" style="12" customWidth="1"/>
    <col min="7" max="16384" width="9.125" style="12" customWidth="1"/>
  </cols>
  <sheetData>
    <row r="1" spans="1:10" ht="15.75">
      <c r="A1" s="146"/>
      <c r="C1" s="97"/>
      <c r="D1" s="97"/>
      <c r="E1" s="97"/>
      <c r="F1" s="97"/>
      <c r="G1" s="97"/>
      <c r="H1" s="97"/>
      <c r="I1" s="97"/>
      <c r="J1" s="97"/>
    </row>
    <row r="2" spans="1:10" ht="15.75">
      <c r="A2" s="146"/>
      <c r="C2" s="97"/>
      <c r="D2" s="97"/>
      <c r="E2" s="97"/>
      <c r="F2" s="97"/>
      <c r="G2" s="97"/>
      <c r="H2" s="97"/>
      <c r="I2" s="97"/>
      <c r="J2" s="97"/>
    </row>
    <row r="3" spans="1:6" ht="15">
      <c r="A3" s="696" t="s">
        <v>524</v>
      </c>
      <c r="B3" s="696"/>
      <c r="C3" s="696"/>
      <c r="D3" s="696"/>
      <c r="E3" s="696"/>
      <c r="F3" s="696"/>
    </row>
    <row r="4" spans="1:6" ht="15">
      <c r="A4" s="407"/>
      <c r="B4" s="407"/>
      <c r="C4" s="407"/>
      <c r="D4" s="407"/>
      <c r="E4" s="407"/>
      <c r="F4" s="407"/>
    </row>
    <row r="5" ht="12.75" customHeight="1"/>
    <row r="6" spans="1:6" s="22" customFormat="1" ht="15.75">
      <c r="A6" s="408" t="s">
        <v>4</v>
      </c>
      <c r="B6" s="408"/>
      <c r="C6" s="408"/>
      <c r="D6" s="408"/>
      <c r="E6" s="408"/>
      <c r="F6" s="408"/>
    </row>
    <row r="7" spans="1:6" s="22" customFormat="1" ht="15.75">
      <c r="A7" s="408" t="s">
        <v>486</v>
      </c>
      <c r="B7" s="408"/>
      <c r="C7" s="408"/>
      <c r="D7" s="408"/>
      <c r="E7" s="408"/>
      <c r="F7" s="408"/>
    </row>
    <row r="8" spans="1:6" ht="15">
      <c r="A8" s="407" t="s">
        <v>487</v>
      </c>
      <c r="B8" s="407"/>
      <c r="C8" s="407"/>
      <c r="D8" s="407"/>
      <c r="E8" s="407"/>
      <c r="F8" s="407"/>
    </row>
    <row r="9" ht="15">
      <c r="F9" s="138" t="s">
        <v>544</v>
      </c>
    </row>
    <row r="10" spans="1:6" ht="15">
      <c r="A10" s="409" t="s">
        <v>0</v>
      </c>
      <c r="B10" s="410"/>
      <c r="C10" s="410"/>
      <c r="D10" s="410"/>
      <c r="E10" s="411"/>
      <c r="F10" s="418" t="s">
        <v>11</v>
      </c>
    </row>
    <row r="11" spans="1:6" ht="15">
      <c r="A11" s="412"/>
      <c r="B11" s="413"/>
      <c r="C11" s="413"/>
      <c r="D11" s="413"/>
      <c r="E11" s="414"/>
      <c r="F11" s="419"/>
    </row>
    <row r="12" spans="1:6" ht="15">
      <c r="A12" s="415"/>
      <c r="B12" s="416"/>
      <c r="C12" s="416"/>
      <c r="D12" s="416"/>
      <c r="E12" s="417"/>
      <c r="F12" s="420"/>
    </row>
    <row r="13" spans="1:6" ht="15">
      <c r="A13" s="14" t="s">
        <v>249</v>
      </c>
      <c r="E13" s="23"/>
      <c r="F13" s="24"/>
    </row>
    <row r="14" spans="1:2" s="14" customFormat="1" ht="15">
      <c r="A14" s="138"/>
      <c r="B14" s="12"/>
    </row>
    <row r="15" spans="1:5" ht="29.25" customHeight="1">
      <c r="A15" s="138"/>
      <c r="B15" s="361" t="s">
        <v>250</v>
      </c>
      <c r="C15" s="361"/>
      <c r="D15" s="361"/>
      <c r="E15" s="361"/>
    </row>
    <row r="16" spans="1:6" ht="15.75">
      <c r="A16" s="139" t="s">
        <v>49</v>
      </c>
      <c r="B16" s="15" t="s">
        <v>25</v>
      </c>
      <c r="D16" s="13"/>
      <c r="F16" s="695"/>
    </row>
    <row r="17" spans="1:6" ht="15.75">
      <c r="A17" s="140" t="s">
        <v>29</v>
      </c>
      <c r="B17" s="16" t="s">
        <v>85</v>
      </c>
      <c r="F17" s="695">
        <v>70000</v>
      </c>
    </row>
    <row r="18" spans="1:6" ht="15">
      <c r="A18" s="13" t="s">
        <v>50</v>
      </c>
      <c r="B18" s="12" t="s">
        <v>30</v>
      </c>
      <c r="F18" s="695">
        <v>92000</v>
      </c>
    </row>
    <row r="19" ht="13.5" customHeight="1">
      <c r="F19" s="695"/>
    </row>
    <row r="20" spans="1:6" ht="33.75" customHeight="1">
      <c r="A20" s="14"/>
      <c r="B20" s="361" t="s">
        <v>251</v>
      </c>
      <c r="C20" s="361"/>
      <c r="D20" s="361"/>
      <c r="E20" s="361"/>
      <c r="F20" s="620">
        <f>SUM(F16:F19)</f>
        <v>162000</v>
      </c>
    </row>
    <row r="21" ht="13.5" customHeight="1">
      <c r="F21" s="695"/>
    </row>
    <row r="22" spans="1:6" ht="33" customHeight="1">
      <c r="A22" s="14"/>
      <c r="B22" s="361" t="s">
        <v>252</v>
      </c>
      <c r="C22" s="361"/>
      <c r="D22" s="361"/>
      <c r="E22" s="361"/>
      <c r="F22" s="695"/>
    </row>
    <row r="23" ht="13.5" customHeight="1">
      <c r="F23" s="695"/>
    </row>
    <row r="24" spans="1:6" ht="15.75">
      <c r="A24" s="13" t="s">
        <v>49</v>
      </c>
      <c r="B24" s="15" t="s">
        <v>26</v>
      </c>
      <c r="C24" s="15"/>
      <c r="F24" s="695">
        <v>50000</v>
      </c>
    </row>
    <row r="25" spans="1:6" ht="13.5" customHeight="1">
      <c r="A25" s="13"/>
      <c r="F25" s="695"/>
    </row>
    <row r="26" spans="1:255" ht="15.75">
      <c r="A26" s="13" t="s">
        <v>29</v>
      </c>
      <c r="B26" s="18" t="s">
        <v>27</v>
      </c>
      <c r="C26" s="18"/>
      <c r="D26" s="18"/>
      <c r="E26" s="18"/>
      <c r="F26" s="695">
        <v>40000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15.75">
      <c r="A27" s="13" t="s">
        <v>50</v>
      </c>
      <c r="B27" s="18" t="s">
        <v>28</v>
      </c>
      <c r="C27" s="18"/>
      <c r="D27" s="18"/>
      <c r="E27" s="18"/>
      <c r="F27" s="695">
        <v>80000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.75">
      <c r="A28" s="13" t="s">
        <v>113</v>
      </c>
      <c r="B28" s="18" t="s">
        <v>52</v>
      </c>
      <c r="C28" s="18"/>
      <c r="D28" s="18"/>
      <c r="E28" s="18"/>
      <c r="F28" s="695">
        <f>80000+40000</f>
        <v>120000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.75">
      <c r="A29" s="13" t="s">
        <v>115</v>
      </c>
      <c r="B29" s="18" t="s">
        <v>53</v>
      </c>
      <c r="C29" s="18"/>
      <c r="D29" s="18"/>
      <c r="E29" s="18"/>
      <c r="F29" s="695">
        <v>75000</v>
      </c>
      <c r="G29" s="5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6" ht="13.5" customHeight="1">
      <c r="A30" s="13" t="s">
        <v>121</v>
      </c>
      <c r="B30" s="18" t="s">
        <v>86</v>
      </c>
      <c r="F30" s="695">
        <v>600000</v>
      </c>
    </row>
    <row r="31" spans="1:6" ht="13.5" customHeight="1">
      <c r="A31" s="18"/>
      <c r="F31" s="695"/>
    </row>
    <row r="32" spans="1:8" ht="32.25" customHeight="1">
      <c r="A32" s="14"/>
      <c r="B32" s="361" t="s">
        <v>253</v>
      </c>
      <c r="C32" s="361"/>
      <c r="D32" s="361"/>
      <c r="E32" s="361"/>
      <c r="F32" s="620">
        <f>SUM(F24:F31)</f>
        <v>965000</v>
      </c>
      <c r="G32" s="17"/>
      <c r="H32" s="17"/>
    </row>
    <row r="33" spans="1:8" ht="12.75" customHeight="1">
      <c r="A33" s="14"/>
      <c r="F33" s="695"/>
      <c r="G33" s="17"/>
      <c r="H33" s="17"/>
    </row>
    <row r="34" spans="1:7" s="19" customFormat="1" ht="15.75">
      <c r="A34" s="14" t="s">
        <v>254</v>
      </c>
      <c r="F34" s="620">
        <f>F32+F20</f>
        <v>1127000</v>
      </c>
      <c r="G34" s="20"/>
    </row>
    <row r="35" spans="1:7" s="19" customFormat="1" ht="15.75">
      <c r="A35" s="14"/>
      <c r="F35" s="620"/>
      <c r="G35" s="20"/>
    </row>
    <row r="36" spans="6:7" s="19" customFormat="1" ht="15.75">
      <c r="F36" s="695"/>
      <c r="G36" s="20"/>
    </row>
    <row r="37" spans="1:6" s="21" customFormat="1" ht="18.75">
      <c r="A37" s="21" t="s">
        <v>7</v>
      </c>
      <c r="F37" s="640">
        <f>F34</f>
        <v>1127000</v>
      </c>
    </row>
  </sheetData>
  <sheetProtection/>
  <mergeCells count="11">
    <mergeCell ref="B32:E32"/>
    <mergeCell ref="A10:E12"/>
    <mergeCell ref="B15:E15"/>
    <mergeCell ref="B20:E20"/>
    <mergeCell ref="F10:F12"/>
    <mergeCell ref="A3:F3"/>
    <mergeCell ref="A4:F4"/>
    <mergeCell ref="A6:F6"/>
    <mergeCell ref="A8:F8"/>
    <mergeCell ref="A7:F7"/>
    <mergeCell ref="B22:E2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7.875" style="38" customWidth="1"/>
    <col min="2" max="2" width="12.125" style="38" customWidth="1"/>
    <col min="3" max="3" width="16.00390625" style="644" customWidth="1"/>
    <col min="4" max="16384" width="9.125" style="38" customWidth="1"/>
  </cols>
  <sheetData>
    <row r="1" spans="1:4" ht="15.75">
      <c r="A1" s="146"/>
      <c r="B1" s="146"/>
      <c r="C1" s="146"/>
      <c r="D1" s="97"/>
    </row>
    <row r="2" spans="1:4" ht="15">
      <c r="A2" s="98"/>
      <c r="B2" s="98"/>
      <c r="C2" s="98"/>
      <c r="D2" s="97"/>
    </row>
    <row r="3" spans="1:3" ht="15.75" customHeight="1">
      <c r="A3" s="706" t="s">
        <v>525</v>
      </c>
      <c r="B3" s="706"/>
      <c r="C3" s="706"/>
    </row>
    <row r="4" spans="1:3" ht="15">
      <c r="A4" s="705"/>
      <c r="B4" s="430"/>
      <c r="C4" s="430"/>
    </row>
    <row r="5" spans="1:3" s="15" customFormat="1" ht="15.75" customHeight="1">
      <c r="A5" s="421" t="s">
        <v>44</v>
      </c>
      <c r="B5" s="421"/>
      <c r="C5" s="421"/>
    </row>
    <row r="6" spans="1:6" s="22" customFormat="1" ht="15.75">
      <c r="A6" s="408" t="s">
        <v>45</v>
      </c>
      <c r="B6" s="408"/>
      <c r="C6" s="408"/>
      <c r="D6" s="50"/>
      <c r="E6" s="50"/>
      <c r="F6" s="50"/>
    </row>
    <row r="7" spans="1:6" s="12" customFormat="1" ht="15">
      <c r="A7" s="407" t="s">
        <v>501</v>
      </c>
      <c r="B7" s="407"/>
      <c r="C7" s="407"/>
      <c r="D7" s="49"/>
      <c r="E7" s="49"/>
      <c r="F7" s="49"/>
    </row>
    <row r="8" spans="2:3" ht="15.75" customHeight="1" thickBot="1">
      <c r="B8" s="39"/>
      <c r="C8" s="704" t="s">
        <v>539</v>
      </c>
    </row>
    <row r="9" spans="1:3" ht="15" customHeight="1">
      <c r="A9" s="40"/>
      <c r="B9" s="41" t="s">
        <v>19</v>
      </c>
      <c r="C9" s="703" t="s">
        <v>36</v>
      </c>
    </row>
    <row r="10" spans="1:3" ht="15.75" customHeight="1">
      <c r="A10" s="42" t="s">
        <v>0</v>
      </c>
      <c r="B10" s="43"/>
      <c r="C10" s="702" t="s">
        <v>37</v>
      </c>
    </row>
    <row r="11" spans="1:3" ht="32.25" thickBot="1">
      <c r="A11" s="44"/>
      <c r="B11" s="45" t="s">
        <v>10</v>
      </c>
      <c r="C11" s="701" t="s">
        <v>38</v>
      </c>
    </row>
    <row r="12" ht="11.25" customHeight="1">
      <c r="C12" s="38"/>
    </row>
    <row r="13" ht="11.25" customHeight="1">
      <c r="B13" s="695"/>
    </row>
    <row r="14" spans="1:3" ht="15.75">
      <c r="A14" s="46" t="s">
        <v>31</v>
      </c>
      <c r="B14" s="695"/>
      <c r="C14" s="644">
        <f>B13*0.9</f>
        <v>0</v>
      </c>
    </row>
    <row r="15" spans="1:2" ht="15.75">
      <c r="A15" s="46" t="s">
        <v>9</v>
      </c>
      <c r="B15" s="695"/>
    </row>
    <row r="16" ht="15" customHeight="1">
      <c r="B16" s="695"/>
    </row>
    <row r="17" spans="1:2" ht="15.75">
      <c r="A17" s="38" t="s">
        <v>87</v>
      </c>
      <c r="B17" s="695">
        <v>350000</v>
      </c>
    </row>
    <row r="18" spans="1:2" ht="30">
      <c r="A18" s="175" t="s">
        <v>384</v>
      </c>
      <c r="B18" s="695">
        <v>600000</v>
      </c>
    </row>
    <row r="19" spans="1:2" ht="15.75">
      <c r="A19" s="175" t="s">
        <v>385</v>
      </c>
      <c r="B19" s="695">
        <v>715000</v>
      </c>
    </row>
    <row r="20" spans="1:2" ht="15.75">
      <c r="A20" s="175" t="s">
        <v>386</v>
      </c>
      <c r="B20" s="695">
        <v>440000</v>
      </c>
    </row>
    <row r="21" spans="1:2" ht="30">
      <c r="A21" s="175" t="s">
        <v>387</v>
      </c>
      <c r="B21" s="695">
        <v>46000</v>
      </c>
    </row>
    <row r="22" spans="1:2" ht="15.75">
      <c r="A22" s="38" t="s">
        <v>92</v>
      </c>
      <c r="B22" s="695">
        <v>210000</v>
      </c>
    </row>
    <row r="23" spans="1:2" ht="14.25" customHeight="1">
      <c r="A23" s="38" t="s">
        <v>490</v>
      </c>
      <c r="B23" s="700">
        <v>1000000</v>
      </c>
    </row>
    <row r="24" spans="1:2" ht="15.75">
      <c r="A24" s="46" t="s">
        <v>31</v>
      </c>
      <c r="B24" s="700"/>
    </row>
    <row r="25" spans="1:3" ht="15">
      <c r="A25" s="46" t="s">
        <v>32</v>
      </c>
      <c r="B25" s="619">
        <f>SUM(B17:B24)</f>
        <v>3361000</v>
      </c>
      <c r="C25" s="620"/>
    </row>
    <row r="26" ht="11.25" customHeight="1">
      <c r="B26" s="700"/>
    </row>
    <row r="27" spans="1:3" ht="15">
      <c r="A27" s="46" t="s">
        <v>33</v>
      </c>
      <c r="B27" s="619">
        <f>B25</f>
        <v>3361000</v>
      </c>
      <c r="C27" s="620">
        <f>C25</f>
        <v>0</v>
      </c>
    </row>
    <row r="28" ht="11.25" customHeight="1">
      <c r="B28" s="700"/>
    </row>
    <row r="29" spans="1:3" s="46" customFormat="1" ht="15.75">
      <c r="A29" s="46" t="s">
        <v>309</v>
      </c>
      <c r="B29" s="620"/>
      <c r="C29" s="640"/>
    </row>
    <row r="30" ht="11.25" customHeight="1">
      <c r="B30" s="695"/>
    </row>
    <row r="31" spans="1:2" ht="30" customHeight="1">
      <c r="A31" s="175" t="s">
        <v>310</v>
      </c>
      <c r="B31" s="695">
        <v>600000</v>
      </c>
    </row>
    <row r="32" ht="11.25" customHeight="1">
      <c r="B32" s="695"/>
    </row>
    <row r="33" spans="1:2" ht="15.75">
      <c r="A33" s="46" t="s">
        <v>311</v>
      </c>
      <c r="B33" s="620">
        <v>600000</v>
      </c>
    </row>
    <row r="34" ht="11.25" customHeight="1">
      <c r="B34" s="695"/>
    </row>
    <row r="35" spans="1:3" s="48" customFormat="1" ht="16.5">
      <c r="A35" s="47" t="s">
        <v>34</v>
      </c>
      <c r="B35" s="699"/>
      <c r="C35" s="644"/>
    </row>
    <row r="36" spans="1:3" s="48" customFormat="1" ht="16.5">
      <c r="A36" s="47" t="s">
        <v>35</v>
      </c>
      <c r="B36" s="698">
        <f>B27+B33</f>
        <v>3961000</v>
      </c>
      <c r="C36" s="697">
        <f>C27</f>
        <v>0</v>
      </c>
    </row>
    <row r="40" ht="15">
      <c r="C40" s="38"/>
    </row>
    <row r="41" ht="15.75">
      <c r="C41" s="15"/>
    </row>
    <row r="42" ht="15.75">
      <c r="C42" s="15"/>
    </row>
    <row r="43" ht="15.75">
      <c r="C43" s="640"/>
    </row>
  </sheetData>
  <sheetProtection/>
  <mergeCells count="5">
    <mergeCell ref="A7:C7"/>
    <mergeCell ref="A6:C6"/>
    <mergeCell ref="A3:C3"/>
    <mergeCell ref="A5:C5"/>
    <mergeCell ref="A4:C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0.375" style="16" customWidth="1"/>
    <col min="2" max="2" width="21.875" style="16" customWidth="1"/>
    <col min="3" max="16384" width="9.125" style="16" customWidth="1"/>
  </cols>
  <sheetData>
    <row r="1" spans="1:3" s="200" customFormat="1" ht="15">
      <c r="A1" s="194"/>
      <c r="B1" s="194"/>
      <c r="C1" s="194"/>
    </row>
    <row r="2" spans="1:3" s="200" customFormat="1" ht="15">
      <c r="A2" s="194"/>
      <c r="B2" s="194"/>
      <c r="C2" s="194"/>
    </row>
    <row r="3" spans="1:3" s="200" customFormat="1" ht="15">
      <c r="A3" s="194" t="s">
        <v>526</v>
      </c>
      <c r="B3" s="194"/>
      <c r="C3" s="194"/>
    </row>
    <row r="4" spans="1:2" ht="15.75">
      <c r="A4" s="715"/>
      <c r="B4" s="714"/>
    </row>
    <row r="5" spans="1:2" s="202" customFormat="1" ht="18.75">
      <c r="A5" s="201" t="s">
        <v>336</v>
      </c>
      <c r="B5" s="201"/>
    </row>
    <row r="6" spans="1:2" s="202" customFormat="1" ht="18.75">
      <c r="A6" s="422" t="s">
        <v>337</v>
      </c>
      <c r="B6" s="422"/>
    </row>
    <row r="7" spans="1:2" s="202" customFormat="1" ht="19.5" thickBot="1">
      <c r="A7" s="422" t="s">
        <v>473</v>
      </c>
      <c r="B7" s="422"/>
    </row>
    <row r="8" spans="1:2" ht="15.75">
      <c r="A8" s="203"/>
      <c r="B8" s="204" t="s">
        <v>10</v>
      </c>
    </row>
    <row r="9" spans="1:2" ht="12" customHeight="1">
      <c r="A9" s="205" t="s">
        <v>338</v>
      </c>
      <c r="B9" s="205"/>
    </row>
    <row r="10" spans="1:2" ht="13.5" customHeight="1" thickBot="1">
      <c r="A10" s="206"/>
      <c r="B10" s="207" t="s">
        <v>545</v>
      </c>
    </row>
    <row r="11" spans="1:2" ht="15.75">
      <c r="A11" s="208"/>
      <c r="B11" s="209"/>
    </row>
    <row r="12" spans="1:2" ht="18.75" customHeight="1">
      <c r="A12" s="232" t="s">
        <v>518</v>
      </c>
      <c r="B12" s="209"/>
    </row>
    <row r="13" spans="1:2" ht="15.75">
      <c r="A13" s="211" t="s">
        <v>492</v>
      </c>
      <c r="B13" s="710">
        <v>80000</v>
      </c>
    </row>
    <row r="14" spans="1:2" ht="15.75">
      <c r="A14" s="211" t="s">
        <v>339</v>
      </c>
      <c r="B14" s="308">
        <v>22000</v>
      </c>
    </row>
    <row r="15" spans="1:2" ht="15.75">
      <c r="A15" s="208" t="s">
        <v>2</v>
      </c>
      <c r="B15" s="708">
        <f>SUM(B13:B14)</f>
        <v>102000</v>
      </c>
    </row>
    <row r="16" spans="1:2" ht="15.75">
      <c r="A16" s="208"/>
      <c r="B16" s="708"/>
    </row>
    <row r="17" spans="1:2" ht="15.75">
      <c r="A17" s="232" t="s">
        <v>516</v>
      </c>
      <c r="B17" s="209"/>
    </row>
    <row r="18" spans="1:2" ht="15.75">
      <c r="A18" s="211" t="s">
        <v>517</v>
      </c>
      <c r="B18" s="709">
        <v>2000000</v>
      </c>
    </row>
    <row r="19" spans="1:2" ht="15.75">
      <c r="A19" s="208" t="s">
        <v>2</v>
      </c>
      <c r="B19" s="708">
        <f>SUM(B18:B18)</f>
        <v>2000000</v>
      </c>
    </row>
    <row r="21" ht="15.75">
      <c r="A21" s="233" t="s">
        <v>389</v>
      </c>
    </row>
    <row r="22" spans="1:2" ht="15.75">
      <c r="A22" s="713" t="s">
        <v>491</v>
      </c>
      <c r="B22" s="712">
        <v>366000</v>
      </c>
    </row>
    <row r="23" spans="1:2" ht="16.5" customHeight="1">
      <c r="A23" s="211" t="s">
        <v>339</v>
      </c>
      <c r="B23" s="711">
        <v>99000</v>
      </c>
    </row>
    <row r="24" spans="1:2" ht="13.5" customHeight="1">
      <c r="A24" s="208" t="s">
        <v>2</v>
      </c>
      <c r="B24" s="708">
        <f>SUM(B22:B23)</f>
        <v>465000</v>
      </c>
    </row>
    <row r="25" spans="1:2" ht="13.5" customHeight="1">
      <c r="A25" s="208"/>
      <c r="B25" s="708"/>
    </row>
    <row r="26" spans="1:2" ht="13.5" customHeight="1">
      <c r="A26" s="306" t="s">
        <v>498</v>
      </c>
      <c r="B26" s="708"/>
    </row>
    <row r="27" spans="1:2" ht="13.5" customHeight="1">
      <c r="A27" s="211" t="s">
        <v>499</v>
      </c>
      <c r="B27" s="710">
        <v>142000</v>
      </c>
    </row>
    <row r="28" ht="13.5" customHeight="1">
      <c r="A28" s="211" t="s">
        <v>339</v>
      </c>
    </row>
    <row r="29" spans="1:2" ht="13.5" customHeight="1">
      <c r="A29" s="208" t="s">
        <v>2</v>
      </c>
      <c r="B29" s="709">
        <v>38000</v>
      </c>
    </row>
    <row r="30" spans="1:2" ht="13.5" customHeight="1">
      <c r="A30" s="208"/>
      <c r="B30" s="708">
        <f>B27+B29</f>
        <v>180000</v>
      </c>
    </row>
    <row r="31" spans="1:2" ht="13.5" customHeight="1">
      <c r="A31" s="306" t="s">
        <v>493</v>
      </c>
      <c r="B31" s="209"/>
    </row>
    <row r="32" spans="1:2" ht="13.5" customHeight="1">
      <c r="A32" s="307" t="s">
        <v>494</v>
      </c>
      <c r="B32" s="305">
        <v>41000</v>
      </c>
    </row>
    <row r="33" spans="1:2" ht="13.5" customHeight="1">
      <c r="A33" s="211" t="s">
        <v>339</v>
      </c>
      <c r="B33" s="308">
        <v>11000</v>
      </c>
    </row>
    <row r="34" spans="1:2" ht="13.5" customHeight="1">
      <c r="A34" s="208" t="s">
        <v>2</v>
      </c>
      <c r="B34" s="708">
        <f>SUM(B32:B33)</f>
        <v>52000</v>
      </c>
    </row>
    <row r="35" spans="1:2" ht="13.5" customHeight="1">
      <c r="A35" s="208"/>
      <c r="B35" s="708"/>
    </row>
    <row r="36" spans="1:2" ht="13.5" customHeight="1">
      <c r="A36" s="306" t="s">
        <v>495</v>
      </c>
      <c r="B36" s="708"/>
    </row>
    <row r="37" spans="1:2" ht="13.5" customHeight="1">
      <c r="A37" s="307" t="s">
        <v>494</v>
      </c>
      <c r="B37" s="309">
        <v>7000</v>
      </c>
    </row>
    <row r="38" spans="1:2" ht="13.5" customHeight="1">
      <c r="A38" s="211" t="s">
        <v>339</v>
      </c>
      <c r="B38" s="310">
        <v>2000</v>
      </c>
    </row>
    <row r="39" spans="1:2" ht="13.5" customHeight="1">
      <c r="A39" s="208" t="s">
        <v>2</v>
      </c>
      <c r="B39" s="708">
        <f>SUM(B37:B38)</f>
        <v>9000</v>
      </c>
    </row>
    <row r="40" spans="1:2" ht="13.5" customHeight="1">
      <c r="A40" s="208"/>
      <c r="B40" s="708"/>
    </row>
    <row r="41" spans="1:2" ht="13.5" customHeight="1">
      <c r="A41" s="306" t="s">
        <v>496</v>
      </c>
      <c r="B41" s="708"/>
    </row>
    <row r="42" spans="1:2" ht="13.5" customHeight="1">
      <c r="A42" s="307" t="s">
        <v>494</v>
      </c>
      <c r="B42" s="309">
        <v>10000</v>
      </c>
    </row>
    <row r="43" spans="1:2" ht="13.5" customHeight="1">
      <c r="A43" s="211" t="s">
        <v>339</v>
      </c>
      <c r="B43" s="310">
        <v>3000</v>
      </c>
    </row>
    <row r="44" spans="1:2" ht="13.5" customHeight="1">
      <c r="A44" s="208" t="s">
        <v>2</v>
      </c>
      <c r="B44" s="708">
        <f>SUM(B42:B43)</f>
        <v>13000</v>
      </c>
    </row>
    <row r="45" spans="1:2" ht="13.5" customHeight="1">
      <c r="A45" s="208"/>
      <c r="B45" s="708"/>
    </row>
    <row r="46" spans="1:2" ht="13.5" customHeight="1">
      <c r="A46" s="311" t="s">
        <v>497</v>
      </c>
      <c r="B46" s="708"/>
    </row>
    <row r="47" spans="1:2" ht="13.5" customHeight="1">
      <c r="A47" s="307" t="s">
        <v>494</v>
      </c>
      <c r="B47" s="309">
        <v>21000</v>
      </c>
    </row>
    <row r="48" spans="1:2" ht="13.5" customHeight="1">
      <c r="A48" s="211" t="s">
        <v>339</v>
      </c>
      <c r="B48" s="310">
        <v>6000</v>
      </c>
    </row>
    <row r="49" spans="1:2" ht="13.5" customHeight="1">
      <c r="A49" s="208" t="s">
        <v>2</v>
      </c>
      <c r="B49" s="708">
        <f>SUM(B47:B48)</f>
        <v>27000</v>
      </c>
    </row>
    <row r="50" spans="1:2" ht="13.5" customHeight="1">
      <c r="A50" s="208"/>
      <c r="B50" s="210"/>
    </row>
    <row r="51" spans="1:2" ht="15.75">
      <c r="A51" s="208" t="s">
        <v>340</v>
      </c>
      <c r="B51" s="707">
        <f>B15+B24+B34+B39+B44+B49+B19+B30</f>
        <v>2848000</v>
      </c>
    </row>
  </sheetData>
  <sheetProtection/>
  <mergeCells count="3">
    <mergeCell ref="A6:B6"/>
    <mergeCell ref="A7:B7"/>
    <mergeCell ref="A4:B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Dr. Kiss Patrik</cp:lastModifiedBy>
  <cp:lastPrinted>2016-02-17T09:02:11Z</cp:lastPrinted>
  <dcterms:created xsi:type="dcterms:W3CDTF">2002-11-26T17:22:50Z</dcterms:created>
  <dcterms:modified xsi:type="dcterms:W3CDTF">2016-05-23T09:49:55Z</dcterms:modified>
  <cp:category/>
  <cp:version/>
  <cp:contentType/>
  <cp:contentStatus/>
</cp:coreProperties>
</file>