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640" tabRatio="727" firstSheet="18" activeTab="22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 sz. mell" sheetId="295" r:id="rId17"/>
    <sheet name="9.2. sz. mell (2-1)" sheetId="296" r:id="rId18"/>
    <sheet name="9.2. sz. mell (2-2)" sheetId="297" r:id="rId19"/>
    <sheet name="9.2.1. sz. mell" sheetId="298" r:id="rId20"/>
    <sheet name="9.2.2. sz.  mell" sheetId="299" r:id="rId21"/>
    <sheet name="9.2.3. sz. mell" sheetId="300" r:id="rId22"/>
    <sheet name="9.3. sz. mell" sheetId="291" r:id="rId23"/>
    <sheet name="9.3.1. sz. mell" sheetId="292" r:id="rId24"/>
    <sheet name="9.3.2. sz. mell" sheetId="293" r:id="rId25"/>
    <sheet name="9.3.3. sz. mell" sheetId="294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16">'9.2. sz. mell'!$1:$6</definedName>
    <definedName name="_xlnm.Print_Titles" localSheetId="17">'9.2. sz. mell (2-1)'!$1:$6</definedName>
    <definedName name="_xlnm.Print_Titles" localSheetId="18">'9.2. sz. mell (2-2)'!$1:$6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t.'!$A$1:$G$156</definedName>
    <definedName name="_xlnm.Print_Area" localSheetId="0">'1.1.sz.mell.'!$A$1:$E$163</definedName>
    <definedName name="_xlnm.Print_Area" localSheetId="1">'1.2.sz.mell.'!$A$1:$E$168</definedName>
    <definedName name="_xlnm.Print_Area" localSheetId="2">'1.3.sz.mell.'!$A$1:$E$160</definedName>
    <definedName name="_xlnm.Print_Area" localSheetId="3">'1.4.sz.mell.'!$A$1:$E$163</definedName>
    <definedName name="_xlnm.Print_Area" localSheetId="30">'4.sz tájékoztató t.'!$A$1:$O$110</definedName>
    <definedName name="_xlnm.Print_Area" localSheetId="33">'7. sz tájékoztató t.'!$A$1:$E$37</definedName>
    <definedName name="_xlnm.Print_Area" localSheetId="10">'7.sz.mell.'!$A$1:$N$27</definedName>
  </definedNames>
  <calcPr calcId="125725" fullCalcOnLoad="1"/>
  <fileRecoveryPr autoRecover="0"/>
</workbook>
</file>

<file path=xl/calcChain.xml><?xml version="1.0" encoding="utf-8"?>
<calcChain xmlns="http://schemas.openxmlformats.org/spreadsheetml/2006/main">
  <c r="E115" i="3"/>
  <c r="E114" i="1"/>
  <c r="I11" i="73"/>
  <c r="I12"/>
  <c r="E113" i="3"/>
  <c r="E113" i="119"/>
  <c r="E115"/>
  <c r="G112" i="87"/>
  <c r="G110"/>
  <c r="H103" i="24"/>
  <c r="H102"/>
  <c r="F22" i="70"/>
  <c r="E98" i="1"/>
  <c r="E99"/>
  <c r="E104" i="116"/>
  <c r="E103"/>
  <c r="D52" i="300"/>
  <c r="C52"/>
  <c r="D46"/>
  <c r="D58"/>
  <c r="C46"/>
  <c r="C58"/>
  <c r="D38"/>
  <c r="C38"/>
  <c r="D31"/>
  <c r="C31"/>
  <c r="D26"/>
  <c r="C26"/>
  <c r="D20"/>
  <c r="C20"/>
  <c r="D8"/>
  <c r="D37"/>
  <c r="D42"/>
  <c r="C8"/>
  <c r="C37"/>
  <c r="C42"/>
  <c r="D52" i="299"/>
  <c r="C52"/>
  <c r="D46"/>
  <c r="D58"/>
  <c r="C46"/>
  <c r="C58"/>
  <c r="D38"/>
  <c r="C38"/>
  <c r="D31"/>
  <c r="C31"/>
  <c r="D26"/>
  <c r="C26"/>
  <c r="D20"/>
  <c r="C20"/>
  <c r="D8"/>
  <c r="D37"/>
  <c r="D42"/>
  <c r="C8"/>
  <c r="C37"/>
  <c r="C42"/>
  <c r="D52" i="298"/>
  <c r="C52"/>
  <c r="C58"/>
  <c r="D49"/>
  <c r="D48"/>
  <c r="D47"/>
  <c r="D46"/>
  <c r="D58"/>
  <c r="C46"/>
  <c r="D41"/>
  <c r="D38"/>
  <c r="D39"/>
  <c r="C38"/>
  <c r="D37"/>
  <c r="D31"/>
  <c r="C31"/>
  <c r="D26"/>
  <c r="C26"/>
  <c r="D23"/>
  <c r="D20"/>
  <c r="C20"/>
  <c r="D8"/>
  <c r="C8"/>
  <c r="C37"/>
  <c r="C42"/>
  <c r="D52" i="297"/>
  <c r="C52"/>
  <c r="D49"/>
  <c r="C49"/>
  <c r="D48"/>
  <c r="C48"/>
  <c r="D47"/>
  <c r="D46"/>
  <c r="D58"/>
  <c r="C47"/>
  <c r="C46"/>
  <c r="C58"/>
  <c r="D41"/>
  <c r="D38"/>
  <c r="C38"/>
  <c r="D31"/>
  <c r="C31"/>
  <c r="D26"/>
  <c r="D37"/>
  <c r="D42"/>
  <c r="C26"/>
  <c r="D23"/>
  <c r="D20"/>
  <c r="C20"/>
  <c r="D8"/>
  <c r="C8"/>
  <c r="C37"/>
  <c r="C42"/>
  <c r="D52" i="296"/>
  <c r="C52"/>
  <c r="D49"/>
  <c r="C49"/>
  <c r="D48"/>
  <c r="C48"/>
  <c r="D47"/>
  <c r="D46"/>
  <c r="D58"/>
  <c r="C47"/>
  <c r="C46"/>
  <c r="C58"/>
  <c r="D41"/>
  <c r="D39"/>
  <c r="D38"/>
  <c r="C38"/>
  <c r="D31"/>
  <c r="C31"/>
  <c r="D26"/>
  <c r="C26"/>
  <c r="D23"/>
  <c r="D20"/>
  <c r="C20"/>
  <c r="D8"/>
  <c r="D37"/>
  <c r="D42"/>
  <c r="C8"/>
  <c r="C37"/>
  <c r="C42"/>
  <c r="D52" i="295"/>
  <c r="C52"/>
  <c r="D49"/>
  <c r="D48"/>
  <c r="D46"/>
  <c r="D58"/>
  <c r="D47"/>
  <c r="C46"/>
  <c r="C58"/>
  <c r="D41"/>
  <c r="D39"/>
  <c r="D38"/>
  <c r="C38"/>
  <c r="D31"/>
  <c r="C31"/>
  <c r="D26"/>
  <c r="C26"/>
  <c r="D23"/>
  <c r="D20"/>
  <c r="C20"/>
  <c r="D8"/>
  <c r="C8"/>
  <c r="C37"/>
  <c r="C42"/>
  <c r="E116" i="1"/>
  <c r="E121"/>
  <c r="E126" i="116"/>
  <c r="E21" i="73"/>
  <c r="E20" i="61"/>
  <c r="I9"/>
  <c r="K16" i="64"/>
  <c r="K27"/>
  <c r="L16"/>
  <c r="H16"/>
  <c r="C16"/>
  <c r="E27"/>
  <c r="F27"/>
  <c r="G27"/>
  <c r="H27"/>
  <c r="I27"/>
  <c r="J27"/>
  <c r="L27"/>
  <c r="M27"/>
  <c r="N27"/>
  <c r="C27"/>
  <c r="E121" i="3"/>
  <c r="E121" i="119"/>
  <c r="G118" i="87"/>
  <c r="H105" i="24"/>
  <c r="E100" i="1"/>
  <c r="E119"/>
  <c r="E124" i="116"/>
  <c r="E105"/>
  <c r="I9" i="73"/>
  <c r="I7" i="61"/>
  <c r="K63" i="63"/>
  <c r="L22"/>
  <c r="C22"/>
  <c r="H22"/>
  <c r="C52"/>
  <c r="L52"/>
  <c r="H52"/>
  <c r="L28"/>
  <c r="H28"/>
  <c r="C28"/>
  <c r="L29"/>
  <c r="N29"/>
  <c r="H29"/>
  <c r="L30"/>
  <c r="H30"/>
  <c r="C30"/>
  <c r="C29"/>
  <c r="E99" i="3"/>
  <c r="E119"/>
  <c r="E99" i="119"/>
  <c r="E119"/>
  <c r="G96" i="87"/>
  <c r="G116"/>
  <c r="H104" i="24"/>
  <c r="H98"/>
  <c r="E37" i="1"/>
  <c r="E42" i="116"/>
  <c r="E35"/>
  <c r="E44" i="1"/>
  <c r="E40"/>
  <c r="E146"/>
  <c r="E117"/>
  <c r="E109"/>
  <c r="E105"/>
  <c r="E101"/>
  <c r="E80"/>
  <c r="E77"/>
  <c r="E63"/>
  <c r="E49"/>
  <c r="E46"/>
  <c r="E45"/>
  <c r="E43"/>
  <c r="E38"/>
  <c r="E41"/>
  <c r="E28"/>
  <c r="E21"/>
  <c r="E82" i="116"/>
  <c r="E26"/>
  <c r="E54"/>
  <c r="E51"/>
  <c r="E50"/>
  <c r="E46"/>
  <c r="E45"/>
  <c r="E151"/>
  <c r="E122"/>
  <c r="E114"/>
  <c r="E110"/>
  <c r="E106"/>
  <c r="E49"/>
  <c r="E85"/>
  <c r="E68"/>
  <c r="E48"/>
  <c r="E33"/>
  <c r="E150" i="117"/>
  <c r="E145"/>
  <c r="E138"/>
  <c r="E134"/>
  <c r="E158"/>
  <c r="E131"/>
  <c r="E124"/>
  <c r="E119"/>
  <c r="E122"/>
  <c r="E120"/>
  <c r="E116"/>
  <c r="E103"/>
  <c r="E101"/>
  <c r="E100"/>
  <c r="E98"/>
  <c r="E133"/>
  <c r="E99"/>
  <c r="E96"/>
  <c r="E84"/>
  <c r="E80"/>
  <c r="E77"/>
  <c r="E72"/>
  <c r="E68"/>
  <c r="E91"/>
  <c r="E62"/>
  <c r="E57"/>
  <c r="E51"/>
  <c r="E45"/>
  <c r="E41"/>
  <c r="E39"/>
  <c r="E35"/>
  <c r="E32"/>
  <c r="E31"/>
  <c r="E24"/>
  <c r="E17"/>
  <c r="E10"/>
  <c r="D51" i="294"/>
  <c r="C51"/>
  <c r="D45"/>
  <c r="D57"/>
  <c r="C45"/>
  <c r="C57"/>
  <c r="D37"/>
  <c r="C37"/>
  <c r="D30"/>
  <c r="C30"/>
  <c r="D26"/>
  <c r="C26"/>
  <c r="D20"/>
  <c r="C20"/>
  <c r="D8"/>
  <c r="D36"/>
  <c r="D41"/>
  <c r="C8"/>
  <c r="C36"/>
  <c r="C41"/>
  <c r="D51" i="293"/>
  <c r="C51"/>
  <c r="D45"/>
  <c r="D57"/>
  <c r="C45"/>
  <c r="C57"/>
  <c r="D37"/>
  <c r="C37"/>
  <c r="D30"/>
  <c r="C30"/>
  <c r="D26"/>
  <c r="C26"/>
  <c r="D20"/>
  <c r="C20"/>
  <c r="D8"/>
  <c r="D36"/>
  <c r="D41"/>
  <c r="C8"/>
  <c r="C36"/>
  <c r="C41"/>
  <c r="D52" i="292"/>
  <c r="D51"/>
  <c r="C51"/>
  <c r="D48"/>
  <c r="D47"/>
  <c r="D46"/>
  <c r="D45"/>
  <c r="D57"/>
  <c r="C45"/>
  <c r="C57"/>
  <c r="D40"/>
  <c r="D37"/>
  <c r="C37"/>
  <c r="D30"/>
  <c r="C30"/>
  <c r="D26"/>
  <c r="C26"/>
  <c r="D20"/>
  <c r="C20"/>
  <c r="D19"/>
  <c r="D11"/>
  <c r="C11"/>
  <c r="D8"/>
  <c r="D36"/>
  <c r="D41"/>
  <c r="C8"/>
  <c r="C36"/>
  <c r="C41"/>
  <c r="D52" i="291"/>
  <c r="D51"/>
  <c r="C51"/>
  <c r="D48"/>
  <c r="D47"/>
  <c r="D46"/>
  <c r="D45"/>
  <c r="D57"/>
  <c r="C45"/>
  <c r="C57"/>
  <c r="D40"/>
  <c r="D37"/>
  <c r="C37"/>
  <c r="D30"/>
  <c r="C30"/>
  <c r="D26"/>
  <c r="C26"/>
  <c r="D20"/>
  <c r="C20"/>
  <c r="D19"/>
  <c r="D11"/>
  <c r="C11"/>
  <c r="C8"/>
  <c r="C36"/>
  <c r="C41"/>
  <c r="D8"/>
  <c r="D36"/>
  <c r="D41"/>
  <c r="L27" i="63"/>
  <c r="H27"/>
  <c r="C27"/>
  <c r="F51"/>
  <c r="H11"/>
  <c r="L11"/>
  <c r="K11"/>
  <c r="C11"/>
  <c r="M12"/>
  <c r="O12"/>
  <c r="G51"/>
  <c r="H51"/>
  <c r="C51"/>
  <c r="M37"/>
  <c r="H37"/>
  <c r="C37"/>
  <c r="H14"/>
  <c r="C14"/>
  <c r="K30"/>
  <c r="M31"/>
  <c r="K29"/>
  <c r="E27" i="3"/>
  <c r="E20"/>
  <c r="E27" i="119"/>
  <c r="E20"/>
  <c r="G94" i="87"/>
  <c r="G24"/>
  <c r="G17"/>
  <c r="H85" i="24"/>
  <c r="H84"/>
  <c r="E99" i="120"/>
  <c r="E43"/>
  <c r="E39"/>
  <c r="E39" i="119"/>
  <c r="E43"/>
  <c r="L12" i="64"/>
  <c r="H12"/>
  <c r="C12"/>
  <c r="N45" i="63"/>
  <c r="H45"/>
  <c r="C45"/>
  <c r="I8" i="73"/>
  <c r="I7"/>
  <c r="E8"/>
  <c r="E7" i="61"/>
  <c r="E98" i="3"/>
  <c r="E97"/>
  <c r="E98" i="119"/>
  <c r="E97"/>
  <c r="G95" i="87"/>
  <c r="H97" i="24"/>
  <c r="H96"/>
  <c r="E98" i="120"/>
  <c r="E97"/>
  <c r="E19" i="61"/>
  <c r="E31"/>
  <c r="E32"/>
  <c r="N6" i="64"/>
  <c r="H6"/>
  <c r="C6"/>
  <c r="N24" i="63"/>
  <c r="H24"/>
  <c r="C24"/>
  <c r="K6" i="64"/>
  <c r="E11" i="73"/>
  <c r="E43" i="3"/>
  <c r="E39"/>
  <c r="G40" i="87"/>
  <c r="G36"/>
  <c r="H87" i="24"/>
  <c r="E117" i="3"/>
  <c r="E117" i="119"/>
  <c r="G114" i="87"/>
  <c r="C50" i="63"/>
  <c r="L50"/>
  <c r="H50"/>
  <c r="D35"/>
  <c r="E35"/>
  <c r="M35"/>
  <c r="N35"/>
  <c r="I29" i="73"/>
  <c r="E156" i="3"/>
  <c r="E156" i="119"/>
  <c r="G153" i="87"/>
  <c r="H107" i="24"/>
  <c r="H108"/>
  <c r="H110"/>
  <c r="E108" i="3"/>
  <c r="E108" i="119"/>
  <c r="G105" i="87"/>
  <c r="H101" i="24"/>
  <c r="E7" i="73"/>
  <c r="E10" i="3"/>
  <c r="E10" i="119"/>
  <c r="G7" i="87"/>
  <c r="H83" i="24"/>
  <c r="D20" i="2"/>
  <c r="D19"/>
  <c r="D24"/>
  <c r="L53" i="63"/>
  <c r="K53"/>
  <c r="H53"/>
  <c r="C53"/>
  <c r="L14" i="64"/>
  <c r="H14"/>
  <c r="E120" i="120"/>
  <c r="E118"/>
  <c r="E37"/>
  <c r="E65"/>
  <c r="E90"/>
  <c r="L15" i="64"/>
  <c r="H15"/>
  <c r="C14"/>
  <c r="K15"/>
  <c r="D54" i="63"/>
  <c r="E54"/>
  <c r="E63"/>
  <c r="I54"/>
  <c r="M54"/>
  <c r="O54"/>
  <c r="E13" i="3"/>
  <c r="E13" i="119"/>
  <c r="G10" i="87"/>
  <c r="D39" i="2"/>
  <c r="E12" i="3"/>
  <c r="E12" i="119"/>
  <c r="G9" i="87"/>
  <c r="D33" i="2"/>
  <c r="E160" i="3"/>
  <c r="G111" i="87"/>
  <c r="E11" i="3"/>
  <c r="E11" i="119"/>
  <c r="G8" i="87"/>
  <c r="C35" i="2"/>
  <c r="D35"/>
  <c r="B35"/>
  <c r="E76" i="3"/>
  <c r="E76" i="119"/>
  <c r="G73" i="87"/>
  <c r="H91" i="24"/>
  <c r="E48" i="3"/>
  <c r="E48" i="119"/>
  <c r="G45" i="87"/>
  <c r="L6" i="64"/>
  <c r="C5" i="128"/>
  <c r="D5"/>
  <c r="E5"/>
  <c r="C6"/>
  <c r="D6"/>
  <c r="E6"/>
  <c r="C7"/>
  <c r="C8"/>
  <c r="D8"/>
  <c r="E8"/>
  <c r="C9"/>
  <c r="D9"/>
  <c r="E9"/>
  <c r="C20"/>
  <c r="D20"/>
  <c r="E20"/>
  <c r="C21"/>
  <c r="D21"/>
  <c r="E21"/>
  <c r="C22"/>
  <c r="D22"/>
  <c r="E22"/>
  <c r="C26"/>
  <c r="D26"/>
  <c r="E26"/>
  <c r="C28"/>
  <c r="D28"/>
  <c r="E28"/>
  <c r="C29"/>
  <c r="D29"/>
  <c r="E29"/>
  <c r="C30"/>
  <c r="D30"/>
  <c r="E30"/>
  <c r="C31"/>
  <c r="D31"/>
  <c r="E31"/>
  <c r="C33"/>
  <c r="D33"/>
  <c r="E33"/>
  <c r="C35"/>
  <c r="D35"/>
  <c r="E35"/>
  <c r="D22" i="70"/>
  <c r="E22"/>
  <c r="B7" i="2"/>
  <c r="C7"/>
  <c r="D7"/>
  <c r="B9"/>
  <c r="C9"/>
  <c r="D9"/>
  <c r="B18"/>
  <c r="C18"/>
  <c r="D18"/>
  <c r="B21"/>
  <c r="C21"/>
  <c r="D21"/>
  <c r="B26"/>
  <c r="C26"/>
  <c r="D26"/>
  <c r="B31"/>
  <c r="C31"/>
  <c r="D31"/>
  <c r="C33"/>
  <c r="C39"/>
  <c r="B41"/>
  <c r="C41"/>
  <c r="D41"/>
  <c r="B45"/>
  <c r="C45"/>
  <c r="O11" i="24"/>
  <c r="C12"/>
  <c r="D12"/>
  <c r="E12"/>
  <c r="F12"/>
  <c r="G12"/>
  <c r="H12"/>
  <c r="I12"/>
  <c r="J12"/>
  <c r="K12"/>
  <c r="L12"/>
  <c r="M12"/>
  <c r="N12"/>
  <c r="O12"/>
  <c r="O13"/>
  <c r="C14"/>
  <c r="D14"/>
  <c r="E14"/>
  <c r="F14"/>
  <c r="G14"/>
  <c r="H14"/>
  <c r="I14"/>
  <c r="J14"/>
  <c r="K14"/>
  <c r="L14"/>
  <c r="M14"/>
  <c r="N14"/>
  <c r="O14"/>
  <c r="C15"/>
  <c r="D15"/>
  <c r="E15"/>
  <c r="F15"/>
  <c r="G15"/>
  <c r="H15"/>
  <c r="I15"/>
  <c r="J15"/>
  <c r="K15"/>
  <c r="L15"/>
  <c r="M15"/>
  <c r="N15"/>
  <c r="O15"/>
  <c r="O16"/>
  <c r="O17"/>
  <c r="O18"/>
  <c r="O19"/>
  <c r="C20"/>
  <c r="D20"/>
  <c r="E20"/>
  <c r="F20"/>
  <c r="G20"/>
  <c r="H20"/>
  <c r="I20"/>
  <c r="J20"/>
  <c r="K20"/>
  <c r="L20"/>
  <c r="M20"/>
  <c r="N20"/>
  <c r="O20"/>
  <c r="C24"/>
  <c r="D24"/>
  <c r="E24"/>
  <c r="F24"/>
  <c r="G24"/>
  <c r="H24"/>
  <c r="I24"/>
  <c r="J24"/>
  <c r="K24"/>
  <c r="L24"/>
  <c r="M24"/>
  <c r="N24"/>
  <c r="O24"/>
  <c r="C25"/>
  <c r="D25"/>
  <c r="E25"/>
  <c r="F25"/>
  <c r="G25"/>
  <c r="H25"/>
  <c r="I25"/>
  <c r="J25"/>
  <c r="K25"/>
  <c r="L25"/>
  <c r="M25"/>
  <c r="N25"/>
  <c r="O25"/>
  <c r="C26"/>
  <c r="D26"/>
  <c r="E26"/>
  <c r="F26"/>
  <c r="G26"/>
  <c r="H26"/>
  <c r="I26"/>
  <c r="J26"/>
  <c r="K26"/>
  <c r="L26"/>
  <c r="M26"/>
  <c r="N26"/>
  <c r="O26"/>
  <c r="C27"/>
  <c r="D27"/>
  <c r="E27"/>
  <c r="F27"/>
  <c r="G27"/>
  <c r="H27"/>
  <c r="I27"/>
  <c r="J27"/>
  <c r="K27"/>
  <c r="L27"/>
  <c r="M27"/>
  <c r="N27"/>
  <c r="O27"/>
  <c r="O28"/>
  <c r="C29"/>
  <c r="D29"/>
  <c r="E29"/>
  <c r="F29"/>
  <c r="G29"/>
  <c r="H29"/>
  <c r="I29"/>
  <c r="J29"/>
  <c r="K29"/>
  <c r="L29"/>
  <c r="M29"/>
  <c r="N29"/>
  <c r="O29"/>
  <c r="E30"/>
  <c r="J30"/>
  <c r="O30"/>
  <c r="O31"/>
  <c r="C32"/>
  <c r="D32"/>
  <c r="E32"/>
  <c r="F32"/>
  <c r="G32"/>
  <c r="H32"/>
  <c r="I32"/>
  <c r="J32"/>
  <c r="K32"/>
  <c r="L32"/>
  <c r="M32"/>
  <c r="N32"/>
  <c r="O32"/>
  <c r="C33"/>
  <c r="D33"/>
  <c r="E33"/>
  <c r="F33"/>
  <c r="G33"/>
  <c r="H33"/>
  <c r="I33"/>
  <c r="J33"/>
  <c r="K33"/>
  <c r="L33"/>
  <c r="M33"/>
  <c r="N33"/>
  <c r="O33"/>
  <c r="O34"/>
  <c r="C35"/>
  <c r="D35"/>
  <c r="E35"/>
  <c r="F35"/>
  <c r="G35"/>
  <c r="H35"/>
  <c r="I35"/>
  <c r="J35"/>
  <c r="K35"/>
  <c r="L35"/>
  <c r="M35"/>
  <c r="N35"/>
  <c r="O35"/>
  <c r="C36"/>
  <c r="D36"/>
  <c r="E36"/>
  <c r="F36"/>
  <c r="G36"/>
  <c r="H36"/>
  <c r="I36"/>
  <c r="J36"/>
  <c r="K36"/>
  <c r="L36"/>
  <c r="M36"/>
  <c r="N36"/>
  <c r="O36"/>
  <c r="C38"/>
  <c r="D38"/>
  <c r="E38"/>
  <c r="F38"/>
  <c r="G38"/>
  <c r="H38"/>
  <c r="I38"/>
  <c r="J38"/>
  <c r="K38"/>
  <c r="L38"/>
  <c r="M38"/>
  <c r="N38"/>
  <c r="O38"/>
  <c r="E47"/>
  <c r="O47"/>
  <c r="C48"/>
  <c r="D48"/>
  <c r="E48"/>
  <c r="F48"/>
  <c r="G48"/>
  <c r="H48"/>
  <c r="I48"/>
  <c r="J48"/>
  <c r="K48"/>
  <c r="L48"/>
  <c r="M48"/>
  <c r="N48"/>
  <c r="O48"/>
  <c r="O49"/>
  <c r="C50"/>
  <c r="D50"/>
  <c r="E50"/>
  <c r="F50"/>
  <c r="G50"/>
  <c r="H50"/>
  <c r="I50"/>
  <c r="J50"/>
  <c r="K50"/>
  <c r="L50"/>
  <c r="M50"/>
  <c r="N50"/>
  <c r="O50"/>
  <c r="C51"/>
  <c r="D51"/>
  <c r="E51"/>
  <c r="F51"/>
  <c r="G51"/>
  <c r="H51"/>
  <c r="I51"/>
  <c r="J51"/>
  <c r="K51"/>
  <c r="L51"/>
  <c r="M51"/>
  <c r="N51"/>
  <c r="O51"/>
  <c r="O52"/>
  <c r="O53"/>
  <c r="O54"/>
  <c r="O55"/>
  <c r="C56"/>
  <c r="D56"/>
  <c r="E56"/>
  <c r="F56"/>
  <c r="G56"/>
  <c r="H56"/>
  <c r="I56"/>
  <c r="J56"/>
  <c r="K56"/>
  <c r="L56"/>
  <c r="M56"/>
  <c r="N56"/>
  <c r="O56"/>
  <c r="C60"/>
  <c r="D60"/>
  <c r="E60"/>
  <c r="F60"/>
  <c r="G60"/>
  <c r="H60"/>
  <c r="I60"/>
  <c r="J60"/>
  <c r="K60"/>
  <c r="L60"/>
  <c r="M60"/>
  <c r="N60"/>
  <c r="O60"/>
  <c r="C61"/>
  <c r="D61"/>
  <c r="E61"/>
  <c r="F61"/>
  <c r="G61"/>
  <c r="H61"/>
  <c r="I61"/>
  <c r="J61"/>
  <c r="K61"/>
  <c r="L61"/>
  <c r="M61"/>
  <c r="N61"/>
  <c r="O61"/>
  <c r="C62"/>
  <c r="D62"/>
  <c r="E62"/>
  <c r="F62"/>
  <c r="G62"/>
  <c r="H62"/>
  <c r="I62"/>
  <c r="J62"/>
  <c r="K62"/>
  <c r="L62"/>
  <c r="M62"/>
  <c r="N62"/>
  <c r="O62"/>
  <c r="C63"/>
  <c r="D63"/>
  <c r="E63"/>
  <c r="F63"/>
  <c r="G63"/>
  <c r="H63"/>
  <c r="I63"/>
  <c r="J63"/>
  <c r="K63"/>
  <c r="L63"/>
  <c r="M63"/>
  <c r="N63"/>
  <c r="O63"/>
  <c r="O64"/>
  <c r="C65"/>
  <c r="D65"/>
  <c r="E65"/>
  <c r="F65"/>
  <c r="G65"/>
  <c r="H65"/>
  <c r="I65"/>
  <c r="J65"/>
  <c r="K65"/>
  <c r="L65"/>
  <c r="M65"/>
  <c r="N65"/>
  <c r="O65"/>
  <c r="E66"/>
  <c r="J66"/>
  <c r="O66"/>
  <c r="E67"/>
  <c r="O67"/>
  <c r="C68"/>
  <c r="D68"/>
  <c r="E68"/>
  <c r="F68"/>
  <c r="G68"/>
  <c r="H68"/>
  <c r="I68"/>
  <c r="J68"/>
  <c r="K68"/>
  <c r="L68"/>
  <c r="M68"/>
  <c r="N68"/>
  <c r="O68"/>
  <c r="C69"/>
  <c r="D69"/>
  <c r="E69"/>
  <c r="F69"/>
  <c r="G69"/>
  <c r="H69"/>
  <c r="I69"/>
  <c r="J69"/>
  <c r="K69"/>
  <c r="L69"/>
  <c r="M69"/>
  <c r="N69"/>
  <c r="O69"/>
  <c r="O70"/>
  <c r="C71"/>
  <c r="D71"/>
  <c r="E71"/>
  <c r="F71"/>
  <c r="G71"/>
  <c r="H71"/>
  <c r="I71"/>
  <c r="J71"/>
  <c r="K71"/>
  <c r="L71"/>
  <c r="M71"/>
  <c r="N71"/>
  <c r="O71"/>
  <c r="C72"/>
  <c r="D72"/>
  <c r="E72"/>
  <c r="F72"/>
  <c r="G72"/>
  <c r="H72"/>
  <c r="I72"/>
  <c r="J72"/>
  <c r="K72"/>
  <c r="L72"/>
  <c r="M72"/>
  <c r="N72"/>
  <c r="O72"/>
  <c r="C74"/>
  <c r="D74"/>
  <c r="E74"/>
  <c r="F74"/>
  <c r="G74"/>
  <c r="H74"/>
  <c r="I74"/>
  <c r="J74"/>
  <c r="K74"/>
  <c r="L74"/>
  <c r="M74"/>
  <c r="N74"/>
  <c r="O74"/>
  <c r="E83"/>
  <c r="O83"/>
  <c r="C84"/>
  <c r="D84"/>
  <c r="E84"/>
  <c r="F84"/>
  <c r="G84"/>
  <c r="I84"/>
  <c r="J84"/>
  <c r="K84"/>
  <c r="L84"/>
  <c r="M84"/>
  <c r="N84"/>
  <c r="O84"/>
  <c r="O85"/>
  <c r="C86"/>
  <c r="D86"/>
  <c r="E86"/>
  <c r="F86"/>
  <c r="G86"/>
  <c r="H86"/>
  <c r="I86"/>
  <c r="J86"/>
  <c r="K86"/>
  <c r="L86"/>
  <c r="M86"/>
  <c r="N86"/>
  <c r="O86"/>
  <c r="C87"/>
  <c r="D87"/>
  <c r="E87"/>
  <c r="F87"/>
  <c r="G87"/>
  <c r="I87"/>
  <c r="J87"/>
  <c r="K87"/>
  <c r="L87"/>
  <c r="M87"/>
  <c r="N87"/>
  <c r="O87"/>
  <c r="O88"/>
  <c r="O89"/>
  <c r="O90"/>
  <c r="O91"/>
  <c r="C92"/>
  <c r="D92"/>
  <c r="E92"/>
  <c r="F92"/>
  <c r="G92"/>
  <c r="H92"/>
  <c r="I92"/>
  <c r="J92"/>
  <c r="K92"/>
  <c r="L92"/>
  <c r="M92"/>
  <c r="N92"/>
  <c r="C96"/>
  <c r="D96"/>
  <c r="E96"/>
  <c r="F96"/>
  <c r="G96"/>
  <c r="I96"/>
  <c r="J96"/>
  <c r="K96"/>
  <c r="L96"/>
  <c r="M96"/>
  <c r="N96"/>
  <c r="O96"/>
  <c r="C97"/>
  <c r="D97"/>
  <c r="E97"/>
  <c r="F97"/>
  <c r="G97"/>
  <c r="I97"/>
  <c r="J97"/>
  <c r="K97"/>
  <c r="L97"/>
  <c r="M97"/>
  <c r="N97"/>
  <c r="O97"/>
  <c r="C98"/>
  <c r="D98"/>
  <c r="E98"/>
  <c r="F98"/>
  <c r="G98"/>
  <c r="I98"/>
  <c r="J98"/>
  <c r="K98"/>
  <c r="L98"/>
  <c r="M98"/>
  <c r="N98"/>
  <c r="O98"/>
  <c r="C99"/>
  <c r="D99"/>
  <c r="E99"/>
  <c r="F99"/>
  <c r="G99"/>
  <c r="H99"/>
  <c r="I99"/>
  <c r="J99"/>
  <c r="K99"/>
  <c r="L99"/>
  <c r="M99"/>
  <c r="N99"/>
  <c r="O99"/>
  <c r="O100"/>
  <c r="C101"/>
  <c r="D101"/>
  <c r="E101"/>
  <c r="F101"/>
  <c r="G101"/>
  <c r="I101"/>
  <c r="J101"/>
  <c r="K101"/>
  <c r="L101"/>
  <c r="M101"/>
  <c r="N101"/>
  <c r="O101"/>
  <c r="E102"/>
  <c r="J102"/>
  <c r="O102"/>
  <c r="E103"/>
  <c r="C104"/>
  <c r="D104"/>
  <c r="E104"/>
  <c r="F104"/>
  <c r="G104"/>
  <c r="I104"/>
  <c r="J104"/>
  <c r="K104"/>
  <c r="L104"/>
  <c r="M104"/>
  <c r="N104"/>
  <c r="O104"/>
  <c r="C105"/>
  <c r="D105"/>
  <c r="E105"/>
  <c r="F105"/>
  <c r="G105"/>
  <c r="I105"/>
  <c r="J105"/>
  <c r="K105"/>
  <c r="L105"/>
  <c r="M105"/>
  <c r="N105"/>
  <c r="O105"/>
  <c r="O106"/>
  <c r="C107"/>
  <c r="D107"/>
  <c r="E107"/>
  <c r="F107"/>
  <c r="G107"/>
  <c r="I107"/>
  <c r="J107"/>
  <c r="K107"/>
  <c r="L107"/>
  <c r="M107"/>
  <c r="N107"/>
  <c r="O107"/>
  <c r="C108"/>
  <c r="D108"/>
  <c r="E108"/>
  <c r="F108"/>
  <c r="G108"/>
  <c r="I108"/>
  <c r="J108"/>
  <c r="K108"/>
  <c r="L108"/>
  <c r="M108"/>
  <c r="N108"/>
  <c r="C110"/>
  <c r="D110"/>
  <c r="E110"/>
  <c r="F110"/>
  <c r="G110"/>
  <c r="I110"/>
  <c r="J110"/>
  <c r="K110"/>
  <c r="L110"/>
  <c r="M110"/>
  <c r="N110"/>
  <c r="C30" i="88"/>
  <c r="D30"/>
  <c r="D6" i="66"/>
  <c r="E6"/>
  <c r="F6"/>
  <c r="G6"/>
  <c r="H6"/>
  <c r="I6"/>
  <c r="I7"/>
  <c r="I8"/>
  <c r="D9"/>
  <c r="E9"/>
  <c r="F9"/>
  <c r="G9"/>
  <c r="H9"/>
  <c r="I9"/>
  <c r="I10"/>
  <c r="I11"/>
  <c r="D12"/>
  <c r="E12"/>
  <c r="F12"/>
  <c r="G12"/>
  <c r="H12"/>
  <c r="I12"/>
  <c r="I13"/>
  <c r="D14"/>
  <c r="E14"/>
  <c r="F14"/>
  <c r="G14"/>
  <c r="H14"/>
  <c r="I14"/>
  <c r="I15"/>
  <c r="D16"/>
  <c r="E16"/>
  <c r="F16"/>
  <c r="G16"/>
  <c r="H16"/>
  <c r="I16"/>
  <c r="I17"/>
  <c r="D18"/>
  <c r="E18"/>
  <c r="F18"/>
  <c r="G18"/>
  <c r="H18"/>
  <c r="I18"/>
  <c r="C5" i="87"/>
  <c r="D5"/>
  <c r="E5"/>
  <c r="F5"/>
  <c r="G5"/>
  <c r="F9"/>
  <c r="F10"/>
  <c r="C12"/>
  <c r="D12"/>
  <c r="E12"/>
  <c r="F12"/>
  <c r="G12"/>
  <c r="F17"/>
  <c r="C19"/>
  <c r="D19"/>
  <c r="E19"/>
  <c r="F19"/>
  <c r="G19"/>
  <c r="C26"/>
  <c r="D26"/>
  <c r="E26"/>
  <c r="F26"/>
  <c r="G26"/>
  <c r="C27"/>
  <c r="D27"/>
  <c r="E27"/>
  <c r="F27"/>
  <c r="G27"/>
  <c r="C34"/>
  <c r="D34"/>
  <c r="E34"/>
  <c r="F34"/>
  <c r="G34"/>
  <c r="G62"/>
  <c r="G88"/>
  <c r="C46"/>
  <c r="D46"/>
  <c r="E46"/>
  <c r="F46"/>
  <c r="G46"/>
  <c r="C52"/>
  <c r="D52"/>
  <c r="E52"/>
  <c r="F52"/>
  <c r="G52"/>
  <c r="C57"/>
  <c r="D57"/>
  <c r="E57"/>
  <c r="F57"/>
  <c r="G57"/>
  <c r="C62"/>
  <c r="D62"/>
  <c r="E62"/>
  <c r="F62"/>
  <c r="C63"/>
  <c r="D63"/>
  <c r="E63"/>
  <c r="F63"/>
  <c r="G63"/>
  <c r="C67"/>
  <c r="D67"/>
  <c r="E67"/>
  <c r="F67"/>
  <c r="G67"/>
  <c r="C72"/>
  <c r="D72"/>
  <c r="E72"/>
  <c r="F72"/>
  <c r="G72"/>
  <c r="G86"/>
  <c r="C75"/>
  <c r="D75"/>
  <c r="E75"/>
  <c r="F75"/>
  <c r="G75"/>
  <c r="C79"/>
  <c r="D79"/>
  <c r="E79"/>
  <c r="F79"/>
  <c r="G79"/>
  <c r="C86"/>
  <c r="D86"/>
  <c r="E86"/>
  <c r="F86"/>
  <c r="C88"/>
  <c r="D88"/>
  <c r="E88"/>
  <c r="F88"/>
  <c r="C91"/>
  <c r="D91"/>
  <c r="E91"/>
  <c r="C93"/>
  <c r="D93"/>
  <c r="E93"/>
  <c r="F93"/>
  <c r="F94"/>
  <c r="F95"/>
  <c r="F96"/>
  <c r="C98"/>
  <c r="D98"/>
  <c r="E98"/>
  <c r="F98"/>
  <c r="G98"/>
  <c r="G93"/>
  <c r="G129"/>
  <c r="G156"/>
  <c r="G158"/>
  <c r="F105"/>
  <c r="E111"/>
  <c r="F111"/>
  <c r="F112"/>
  <c r="C115"/>
  <c r="D115"/>
  <c r="E115"/>
  <c r="F115"/>
  <c r="G115"/>
  <c r="F116"/>
  <c r="C120"/>
  <c r="D120"/>
  <c r="E120"/>
  <c r="F120"/>
  <c r="G120"/>
  <c r="E127"/>
  <c r="F127"/>
  <c r="G127"/>
  <c r="C129"/>
  <c r="D129"/>
  <c r="E129"/>
  <c r="F129"/>
  <c r="C130"/>
  <c r="D130"/>
  <c r="E130"/>
  <c r="F130"/>
  <c r="G130"/>
  <c r="C134"/>
  <c r="D134"/>
  <c r="E134"/>
  <c r="F134"/>
  <c r="G134"/>
  <c r="C141"/>
  <c r="D141"/>
  <c r="E141"/>
  <c r="F141"/>
  <c r="G141"/>
  <c r="F143"/>
  <c r="G143"/>
  <c r="C146"/>
  <c r="D146"/>
  <c r="E146"/>
  <c r="F146"/>
  <c r="G146"/>
  <c r="C154"/>
  <c r="D154"/>
  <c r="E154"/>
  <c r="F154"/>
  <c r="G154"/>
  <c r="C156"/>
  <c r="D156"/>
  <c r="E156"/>
  <c r="F156"/>
  <c r="E158"/>
  <c r="F158"/>
  <c r="G10" i="89"/>
  <c r="G11"/>
  <c r="G12"/>
  <c r="G13"/>
  <c r="G14"/>
  <c r="G15"/>
  <c r="C16"/>
  <c r="D16"/>
  <c r="E16"/>
  <c r="F16"/>
  <c r="G16"/>
  <c r="C8" i="121"/>
  <c r="D8"/>
  <c r="E8"/>
  <c r="C15"/>
  <c r="D15"/>
  <c r="E15"/>
  <c r="C22"/>
  <c r="D22"/>
  <c r="E22"/>
  <c r="C29"/>
  <c r="D29"/>
  <c r="E29"/>
  <c r="C30"/>
  <c r="D30"/>
  <c r="E30"/>
  <c r="C37"/>
  <c r="D37"/>
  <c r="E37"/>
  <c r="C49"/>
  <c r="D49"/>
  <c r="E49"/>
  <c r="C55"/>
  <c r="D55"/>
  <c r="E55"/>
  <c r="C60"/>
  <c r="D60"/>
  <c r="E60"/>
  <c r="C65"/>
  <c r="D65"/>
  <c r="E65"/>
  <c r="C66"/>
  <c r="D66"/>
  <c r="E66"/>
  <c r="C70"/>
  <c r="D70"/>
  <c r="E70"/>
  <c r="C75"/>
  <c r="D75"/>
  <c r="E75"/>
  <c r="C78"/>
  <c r="D78"/>
  <c r="E78"/>
  <c r="C82"/>
  <c r="D82"/>
  <c r="E82"/>
  <c r="C89"/>
  <c r="D89"/>
  <c r="E89"/>
  <c r="C90"/>
  <c r="D90"/>
  <c r="E90"/>
  <c r="C93"/>
  <c r="D93"/>
  <c r="E93"/>
  <c r="C114"/>
  <c r="D114"/>
  <c r="E114"/>
  <c r="C128"/>
  <c r="D128"/>
  <c r="E128"/>
  <c r="C129"/>
  <c r="D129"/>
  <c r="E129"/>
  <c r="C133"/>
  <c r="D133"/>
  <c r="E133"/>
  <c r="C140"/>
  <c r="D140"/>
  <c r="E140"/>
  <c r="C146"/>
  <c r="D146"/>
  <c r="E146"/>
  <c r="C154"/>
  <c r="D154"/>
  <c r="E154"/>
  <c r="C155"/>
  <c r="D155"/>
  <c r="E155"/>
  <c r="C8" i="120"/>
  <c r="D8"/>
  <c r="E8"/>
  <c r="C15"/>
  <c r="D15"/>
  <c r="E15"/>
  <c r="C22"/>
  <c r="D22"/>
  <c r="E22"/>
  <c r="C29"/>
  <c r="D29"/>
  <c r="E29"/>
  <c r="C30"/>
  <c r="D30"/>
  <c r="E30"/>
  <c r="C33"/>
  <c r="D33"/>
  <c r="E33"/>
  <c r="C37"/>
  <c r="D37"/>
  <c r="C39"/>
  <c r="D39"/>
  <c r="C43"/>
  <c r="D43"/>
  <c r="C49"/>
  <c r="D49"/>
  <c r="E49"/>
  <c r="C55"/>
  <c r="D55"/>
  <c r="E55"/>
  <c r="C60"/>
  <c r="D60"/>
  <c r="E60"/>
  <c r="C65"/>
  <c r="D65"/>
  <c r="C66"/>
  <c r="D66"/>
  <c r="E66"/>
  <c r="C70"/>
  <c r="D70"/>
  <c r="E70"/>
  <c r="C75"/>
  <c r="D75"/>
  <c r="E75"/>
  <c r="C78"/>
  <c r="D78"/>
  <c r="E78"/>
  <c r="C82"/>
  <c r="D82"/>
  <c r="E82"/>
  <c r="C89"/>
  <c r="D89"/>
  <c r="E89"/>
  <c r="C90"/>
  <c r="D90"/>
  <c r="C94"/>
  <c r="D94"/>
  <c r="E94"/>
  <c r="C96"/>
  <c r="D96"/>
  <c r="E96"/>
  <c r="C101"/>
  <c r="D101"/>
  <c r="E101"/>
  <c r="C114"/>
  <c r="D114"/>
  <c r="E114"/>
  <c r="C117"/>
  <c r="D117"/>
  <c r="E117"/>
  <c r="C122"/>
  <c r="D122"/>
  <c r="E122"/>
  <c r="C129"/>
  <c r="D129"/>
  <c r="E129"/>
  <c r="C131"/>
  <c r="D131"/>
  <c r="C132"/>
  <c r="D132"/>
  <c r="E132"/>
  <c r="C136"/>
  <c r="D136"/>
  <c r="E136"/>
  <c r="C143"/>
  <c r="D143"/>
  <c r="E143"/>
  <c r="C148"/>
  <c r="D148"/>
  <c r="E148"/>
  <c r="C156"/>
  <c r="D156"/>
  <c r="E156"/>
  <c r="C157"/>
  <c r="D157"/>
  <c r="C8" i="119"/>
  <c r="D8"/>
  <c r="E8"/>
  <c r="D12"/>
  <c r="D13"/>
  <c r="C15"/>
  <c r="D15"/>
  <c r="E15"/>
  <c r="D20"/>
  <c r="C22"/>
  <c r="D22"/>
  <c r="E22"/>
  <c r="C29"/>
  <c r="D29"/>
  <c r="E29"/>
  <c r="C30"/>
  <c r="D30"/>
  <c r="E30"/>
  <c r="C37"/>
  <c r="D37"/>
  <c r="E37"/>
  <c r="C39"/>
  <c r="D39"/>
  <c r="C43"/>
  <c r="D43"/>
  <c r="C49"/>
  <c r="D49"/>
  <c r="E49"/>
  <c r="C55"/>
  <c r="D55"/>
  <c r="E55"/>
  <c r="C60"/>
  <c r="D60"/>
  <c r="E60"/>
  <c r="C65"/>
  <c r="D65"/>
  <c r="C66"/>
  <c r="D66"/>
  <c r="E66"/>
  <c r="C70"/>
  <c r="D70"/>
  <c r="E70"/>
  <c r="C75"/>
  <c r="D75"/>
  <c r="E75"/>
  <c r="E89"/>
  <c r="C78"/>
  <c r="D78"/>
  <c r="E78"/>
  <c r="C82"/>
  <c r="D82"/>
  <c r="E82"/>
  <c r="C89"/>
  <c r="D89"/>
  <c r="C90"/>
  <c r="D90"/>
  <c r="C96"/>
  <c r="D96"/>
  <c r="C97"/>
  <c r="D97"/>
  <c r="C98"/>
  <c r="D98"/>
  <c r="C99"/>
  <c r="D99"/>
  <c r="C100"/>
  <c r="D100"/>
  <c r="E100"/>
  <c r="C101"/>
  <c r="D101"/>
  <c r="E101"/>
  <c r="C104"/>
  <c r="D104"/>
  <c r="E104"/>
  <c r="C108"/>
  <c r="D108"/>
  <c r="C113"/>
  <c r="D113"/>
  <c r="C114"/>
  <c r="D114"/>
  <c r="E114"/>
  <c r="D115"/>
  <c r="C118"/>
  <c r="D118"/>
  <c r="E118"/>
  <c r="C119"/>
  <c r="D119"/>
  <c r="C121"/>
  <c r="D121"/>
  <c r="C123"/>
  <c r="D123"/>
  <c r="E123"/>
  <c r="C132"/>
  <c r="D132"/>
  <c r="C133"/>
  <c r="D133"/>
  <c r="E133"/>
  <c r="C137"/>
  <c r="D137"/>
  <c r="E137"/>
  <c r="C144"/>
  <c r="D144"/>
  <c r="E144"/>
  <c r="C146"/>
  <c r="D146"/>
  <c r="E146"/>
  <c r="C149"/>
  <c r="D149"/>
  <c r="E149"/>
  <c r="C156"/>
  <c r="D156"/>
  <c r="C157"/>
  <c r="D157"/>
  <c r="E157"/>
  <c r="C158"/>
  <c r="D158"/>
  <c r="C8" i="3"/>
  <c r="D8"/>
  <c r="E8"/>
  <c r="D12"/>
  <c r="D13"/>
  <c r="C15"/>
  <c r="D15"/>
  <c r="E15"/>
  <c r="D20"/>
  <c r="C22"/>
  <c r="D22"/>
  <c r="E22"/>
  <c r="C29"/>
  <c r="D29"/>
  <c r="E29"/>
  <c r="C30"/>
  <c r="D30"/>
  <c r="E30"/>
  <c r="C37"/>
  <c r="D37"/>
  <c r="E37"/>
  <c r="C49"/>
  <c r="D49"/>
  <c r="E49"/>
  <c r="C55"/>
  <c r="D55"/>
  <c r="E55"/>
  <c r="C60"/>
  <c r="D60"/>
  <c r="E60"/>
  <c r="C65"/>
  <c r="D65"/>
  <c r="C66"/>
  <c r="D66"/>
  <c r="E66"/>
  <c r="C70"/>
  <c r="D70"/>
  <c r="E70"/>
  <c r="C75"/>
  <c r="D75"/>
  <c r="E75"/>
  <c r="C78"/>
  <c r="D78"/>
  <c r="E78"/>
  <c r="C82"/>
  <c r="D82"/>
  <c r="E82"/>
  <c r="C89"/>
  <c r="D89"/>
  <c r="E89"/>
  <c r="C90"/>
  <c r="D90"/>
  <c r="C94"/>
  <c r="D94"/>
  <c r="E94"/>
  <c r="C96"/>
  <c r="D96"/>
  <c r="D97"/>
  <c r="D98"/>
  <c r="D99"/>
  <c r="C101"/>
  <c r="D101"/>
  <c r="E101"/>
  <c r="D108"/>
  <c r="C114"/>
  <c r="D114"/>
  <c r="E114"/>
  <c r="E96"/>
  <c r="E132"/>
  <c r="E158"/>
  <c r="D115"/>
  <c r="C118"/>
  <c r="D118"/>
  <c r="E118"/>
  <c r="D119"/>
  <c r="C123"/>
  <c r="D123"/>
  <c r="E123"/>
  <c r="C130"/>
  <c r="D130"/>
  <c r="E130"/>
  <c r="C132"/>
  <c r="D132"/>
  <c r="C133"/>
  <c r="D133"/>
  <c r="E133"/>
  <c r="C137"/>
  <c r="D137"/>
  <c r="E137"/>
  <c r="C144"/>
  <c r="D144"/>
  <c r="E144"/>
  <c r="D146"/>
  <c r="E146"/>
  <c r="C149"/>
  <c r="D149"/>
  <c r="E149"/>
  <c r="C157"/>
  <c r="D157"/>
  <c r="E157"/>
  <c r="C158"/>
  <c r="D158"/>
  <c r="E5" i="71"/>
  <c r="E6"/>
  <c r="E7"/>
  <c r="E8"/>
  <c r="E9"/>
  <c r="E10"/>
  <c r="E11"/>
  <c r="B12"/>
  <c r="C12"/>
  <c r="D12"/>
  <c r="E12"/>
  <c r="B14"/>
  <c r="C14"/>
  <c r="D14"/>
  <c r="E15"/>
  <c r="E16"/>
  <c r="E17"/>
  <c r="E18"/>
  <c r="E19"/>
  <c r="E20"/>
  <c r="E21"/>
  <c r="B22"/>
  <c r="C22"/>
  <c r="D22"/>
  <c r="E22"/>
  <c r="B27"/>
  <c r="C27"/>
  <c r="D27"/>
  <c r="E28"/>
  <c r="E29"/>
  <c r="E30"/>
  <c r="E31"/>
  <c r="E32"/>
  <c r="E33"/>
  <c r="E34"/>
  <c r="B35"/>
  <c r="C35"/>
  <c r="D35"/>
  <c r="E35"/>
  <c r="B37"/>
  <c r="C37"/>
  <c r="D37"/>
  <c r="E38"/>
  <c r="E39"/>
  <c r="E40"/>
  <c r="E41"/>
  <c r="E42"/>
  <c r="E43"/>
  <c r="E44"/>
  <c r="B45"/>
  <c r="C45"/>
  <c r="D45"/>
  <c r="E45"/>
  <c r="D52"/>
  <c r="F5" i="64"/>
  <c r="G5"/>
  <c r="H5"/>
  <c r="K5"/>
  <c r="N5"/>
  <c r="F6"/>
  <c r="G6"/>
  <c r="K7"/>
  <c r="F8"/>
  <c r="G8"/>
  <c r="H8"/>
  <c r="K8"/>
  <c r="N8"/>
  <c r="K9"/>
  <c r="F10"/>
  <c r="G10"/>
  <c r="H10"/>
  <c r="K10"/>
  <c r="N10"/>
  <c r="F11"/>
  <c r="G11"/>
  <c r="H11"/>
  <c r="K11"/>
  <c r="N11"/>
  <c r="F12"/>
  <c r="G12"/>
  <c r="K12"/>
  <c r="F13"/>
  <c r="G13"/>
  <c r="H13"/>
  <c r="K13"/>
  <c r="N13"/>
  <c r="F14"/>
  <c r="G14"/>
  <c r="K14"/>
  <c r="C9" i="63"/>
  <c r="C12"/>
  <c r="F9"/>
  <c r="F12"/>
  <c r="G9"/>
  <c r="H9"/>
  <c r="L9"/>
  <c r="L12"/>
  <c r="C10"/>
  <c r="F10"/>
  <c r="G10"/>
  <c r="H10"/>
  <c r="N10"/>
  <c r="N12"/>
  <c r="F14"/>
  <c r="G14"/>
  <c r="K14"/>
  <c r="C15"/>
  <c r="F15"/>
  <c r="G15"/>
  <c r="H15"/>
  <c r="K15"/>
  <c r="L15"/>
  <c r="C16"/>
  <c r="F16"/>
  <c r="G16"/>
  <c r="H16"/>
  <c r="K16"/>
  <c r="L16"/>
  <c r="C17"/>
  <c r="F17"/>
  <c r="G17"/>
  <c r="H17"/>
  <c r="K17"/>
  <c r="L17"/>
  <c r="C18"/>
  <c r="F18"/>
  <c r="G18"/>
  <c r="H18"/>
  <c r="K18"/>
  <c r="L18"/>
  <c r="C19"/>
  <c r="F19"/>
  <c r="G19"/>
  <c r="H19"/>
  <c r="K19"/>
  <c r="L19"/>
  <c r="C20"/>
  <c r="F20"/>
  <c r="G20"/>
  <c r="H20"/>
  <c r="K20"/>
  <c r="L20"/>
  <c r="C21"/>
  <c r="F21"/>
  <c r="G21"/>
  <c r="H21"/>
  <c r="K21"/>
  <c r="N21"/>
  <c r="F22"/>
  <c r="G22"/>
  <c r="K22"/>
  <c r="N22"/>
  <c r="C23"/>
  <c r="F23"/>
  <c r="G23"/>
  <c r="H23"/>
  <c r="N23"/>
  <c r="F24"/>
  <c r="G24"/>
  <c r="K24"/>
  <c r="C25"/>
  <c r="F25"/>
  <c r="G25"/>
  <c r="H25"/>
  <c r="L25"/>
  <c r="K25"/>
  <c r="C26"/>
  <c r="F26"/>
  <c r="N26"/>
  <c r="K26"/>
  <c r="G26"/>
  <c r="H26"/>
  <c r="F27"/>
  <c r="G27"/>
  <c r="K27"/>
  <c r="F28"/>
  <c r="G28"/>
  <c r="N28"/>
  <c r="K28"/>
  <c r="C33"/>
  <c r="C35"/>
  <c r="F33"/>
  <c r="F35"/>
  <c r="G33"/>
  <c r="G35"/>
  <c r="H33"/>
  <c r="L33"/>
  <c r="L35"/>
  <c r="C34"/>
  <c r="F34"/>
  <c r="G34"/>
  <c r="H34"/>
  <c r="H35"/>
  <c r="L34"/>
  <c r="K34"/>
  <c r="F37"/>
  <c r="F54"/>
  <c r="G37"/>
  <c r="G54"/>
  <c r="K37"/>
  <c r="C38"/>
  <c r="F38"/>
  <c r="G38"/>
  <c r="H38"/>
  <c r="H54"/>
  <c r="K38"/>
  <c r="L38"/>
  <c r="C39"/>
  <c r="C54"/>
  <c r="F39"/>
  <c r="G39"/>
  <c r="H39"/>
  <c r="K39"/>
  <c r="L39"/>
  <c r="C40"/>
  <c r="F40"/>
  <c r="G40"/>
  <c r="H40"/>
  <c r="K40"/>
  <c r="L40"/>
  <c r="C41"/>
  <c r="F41"/>
  <c r="G41"/>
  <c r="H41"/>
  <c r="K41"/>
  <c r="L41"/>
  <c r="C42"/>
  <c r="F42"/>
  <c r="G42"/>
  <c r="H42"/>
  <c r="K42"/>
  <c r="N42"/>
  <c r="C43"/>
  <c r="F43"/>
  <c r="G43"/>
  <c r="H43"/>
  <c r="K43"/>
  <c r="N43"/>
  <c r="C44"/>
  <c r="F44"/>
  <c r="G44"/>
  <c r="H44"/>
  <c r="K44"/>
  <c r="N44"/>
  <c r="F45"/>
  <c r="G45"/>
  <c r="K45"/>
  <c r="C46"/>
  <c r="F46"/>
  <c r="G46"/>
  <c r="H46"/>
  <c r="L46"/>
  <c r="L54"/>
  <c r="C47"/>
  <c r="F47"/>
  <c r="G47"/>
  <c r="H47"/>
  <c r="L47"/>
  <c r="K47"/>
  <c r="C48"/>
  <c r="F48"/>
  <c r="G48"/>
  <c r="H48"/>
  <c r="L48"/>
  <c r="K48"/>
  <c r="C49"/>
  <c r="F49"/>
  <c r="G49"/>
  <c r="H49"/>
  <c r="L49"/>
  <c r="K49"/>
  <c r="F50"/>
  <c r="G50"/>
  <c r="K50"/>
  <c r="N51"/>
  <c r="K51"/>
  <c r="F52"/>
  <c r="G52"/>
  <c r="K52"/>
  <c r="K56"/>
  <c r="C57"/>
  <c r="E57"/>
  <c r="F57"/>
  <c r="G57"/>
  <c r="H57"/>
  <c r="I57"/>
  <c r="I63"/>
  <c r="J63"/>
  <c r="K57"/>
  <c r="L57"/>
  <c r="M57"/>
  <c r="N57"/>
  <c r="O63"/>
  <c r="C8" i="78"/>
  <c r="C11" i="77"/>
  <c r="D11"/>
  <c r="E11"/>
  <c r="F6" i="62"/>
  <c r="F7"/>
  <c r="F8"/>
  <c r="F9"/>
  <c r="F10"/>
  <c r="C11"/>
  <c r="D11"/>
  <c r="E11"/>
  <c r="F11"/>
  <c r="H7" i="61"/>
  <c r="C18"/>
  <c r="D18"/>
  <c r="E18"/>
  <c r="G18"/>
  <c r="H18"/>
  <c r="I18"/>
  <c r="I32"/>
  <c r="C19"/>
  <c r="D19"/>
  <c r="C20"/>
  <c r="D20"/>
  <c r="C25"/>
  <c r="D25"/>
  <c r="E25"/>
  <c r="C31"/>
  <c r="D31"/>
  <c r="G31"/>
  <c r="H31"/>
  <c r="I31"/>
  <c r="C32"/>
  <c r="D32"/>
  <c r="G32"/>
  <c r="H32"/>
  <c r="D7" i="73"/>
  <c r="H7"/>
  <c r="D8"/>
  <c r="H8"/>
  <c r="H9"/>
  <c r="G11"/>
  <c r="H11"/>
  <c r="H12"/>
  <c r="C19"/>
  <c r="D19"/>
  <c r="E19"/>
  <c r="G19"/>
  <c r="H19"/>
  <c r="I19"/>
  <c r="I31"/>
  <c r="C20"/>
  <c r="E20"/>
  <c r="E30"/>
  <c r="E31"/>
  <c r="D21"/>
  <c r="D20" s="1"/>
  <c r="D30" s="1"/>
  <c r="D31" s="1"/>
  <c r="C25"/>
  <c r="D25"/>
  <c r="E25"/>
  <c r="H28"/>
  <c r="I28"/>
  <c r="C30"/>
  <c r="G30"/>
  <c r="H30"/>
  <c r="I30"/>
  <c r="C31"/>
  <c r="G31"/>
  <c r="H31"/>
  <c r="C9" i="118"/>
  <c r="D9"/>
  <c r="E9"/>
  <c r="C16"/>
  <c r="D16"/>
  <c r="E16"/>
  <c r="C23"/>
  <c r="D23"/>
  <c r="E23"/>
  <c r="C30"/>
  <c r="D30"/>
  <c r="E30"/>
  <c r="C31"/>
  <c r="D31"/>
  <c r="E31"/>
  <c r="C38"/>
  <c r="D38"/>
  <c r="E38"/>
  <c r="C50"/>
  <c r="D50"/>
  <c r="E50"/>
  <c r="C56"/>
  <c r="D56"/>
  <c r="E56"/>
  <c r="C61"/>
  <c r="D61"/>
  <c r="E61"/>
  <c r="C66"/>
  <c r="D66"/>
  <c r="E66"/>
  <c r="C67"/>
  <c r="D67"/>
  <c r="E67"/>
  <c r="C71"/>
  <c r="D71"/>
  <c r="E71"/>
  <c r="C76"/>
  <c r="D76"/>
  <c r="E76"/>
  <c r="C79"/>
  <c r="D79"/>
  <c r="E79"/>
  <c r="C83"/>
  <c r="D83"/>
  <c r="E83"/>
  <c r="C90"/>
  <c r="D90"/>
  <c r="E90"/>
  <c r="C91"/>
  <c r="D91"/>
  <c r="E91"/>
  <c r="C95"/>
  <c r="C97"/>
  <c r="D97"/>
  <c r="E97"/>
  <c r="C118"/>
  <c r="D118"/>
  <c r="E118"/>
  <c r="C132"/>
  <c r="D132"/>
  <c r="E132"/>
  <c r="C133"/>
  <c r="D133"/>
  <c r="E133"/>
  <c r="C137"/>
  <c r="D137"/>
  <c r="E137"/>
  <c r="C144"/>
  <c r="D144"/>
  <c r="E144"/>
  <c r="C149"/>
  <c r="D149"/>
  <c r="E149"/>
  <c r="C157"/>
  <c r="D157"/>
  <c r="E157"/>
  <c r="C158"/>
  <c r="D158"/>
  <c r="E158"/>
  <c r="C162"/>
  <c r="D162"/>
  <c r="E162"/>
  <c r="C163"/>
  <c r="D163"/>
  <c r="E163"/>
  <c r="C10" i="117"/>
  <c r="D10"/>
  <c r="C17"/>
  <c r="D17"/>
  <c r="C24"/>
  <c r="D24"/>
  <c r="C31"/>
  <c r="D31"/>
  <c r="C32"/>
  <c r="D32"/>
  <c r="C35"/>
  <c r="D35"/>
  <c r="C39"/>
  <c r="D39"/>
  <c r="C41"/>
  <c r="D41"/>
  <c r="C45"/>
  <c r="D45"/>
  <c r="C51"/>
  <c r="D51"/>
  <c r="C57"/>
  <c r="D57"/>
  <c r="C62"/>
  <c r="D62"/>
  <c r="C67"/>
  <c r="D67"/>
  <c r="C68"/>
  <c r="D68"/>
  <c r="C72"/>
  <c r="D72"/>
  <c r="C77"/>
  <c r="D77"/>
  <c r="C80"/>
  <c r="D80"/>
  <c r="C84"/>
  <c r="D84"/>
  <c r="C91"/>
  <c r="D91"/>
  <c r="C92"/>
  <c r="D92"/>
  <c r="C96"/>
  <c r="D96"/>
  <c r="C98"/>
  <c r="D98"/>
  <c r="C103"/>
  <c r="D103"/>
  <c r="C116"/>
  <c r="D116"/>
  <c r="C119"/>
  <c r="D119"/>
  <c r="C124"/>
  <c r="D124"/>
  <c r="C131"/>
  <c r="D131"/>
  <c r="C133"/>
  <c r="D133"/>
  <c r="C134"/>
  <c r="D134"/>
  <c r="C138"/>
  <c r="D138"/>
  <c r="C145"/>
  <c r="D145"/>
  <c r="C150"/>
  <c r="D150"/>
  <c r="C158"/>
  <c r="D158"/>
  <c r="C159"/>
  <c r="D159"/>
  <c r="C14" i="116"/>
  <c r="D14"/>
  <c r="E14"/>
  <c r="D18"/>
  <c r="D19"/>
  <c r="C21"/>
  <c r="D21"/>
  <c r="E21"/>
  <c r="C26"/>
  <c r="D26"/>
  <c r="C28"/>
  <c r="D28"/>
  <c r="E28"/>
  <c r="C35"/>
  <c r="D35"/>
  <c r="C36"/>
  <c r="D36"/>
  <c r="E36"/>
  <c r="C43"/>
  <c r="D43"/>
  <c r="E43"/>
  <c r="C45"/>
  <c r="D45"/>
  <c r="C46"/>
  <c r="D46"/>
  <c r="C49"/>
  <c r="D49"/>
  <c r="C51"/>
  <c r="D51"/>
  <c r="C54"/>
  <c r="D54"/>
  <c r="C55"/>
  <c r="D55"/>
  <c r="E55"/>
  <c r="C61"/>
  <c r="D61"/>
  <c r="E61"/>
  <c r="C66"/>
  <c r="D66"/>
  <c r="E66"/>
  <c r="C71"/>
  <c r="D71"/>
  <c r="C72"/>
  <c r="D72"/>
  <c r="E72"/>
  <c r="C76"/>
  <c r="D76"/>
  <c r="E76"/>
  <c r="C81"/>
  <c r="D81"/>
  <c r="E81"/>
  <c r="C82"/>
  <c r="D82"/>
  <c r="C84"/>
  <c r="D84"/>
  <c r="E84"/>
  <c r="C88"/>
  <c r="D88"/>
  <c r="E88"/>
  <c r="C95"/>
  <c r="D95"/>
  <c r="C96"/>
  <c r="D96"/>
  <c r="C102"/>
  <c r="D102"/>
  <c r="C103"/>
  <c r="D103"/>
  <c r="C104"/>
  <c r="D104"/>
  <c r="C105"/>
  <c r="D105"/>
  <c r="C106"/>
  <c r="D106"/>
  <c r="C107"/>
  <c r="D107"/>
  <c r="E107"/>
  <c r="C110"/>
  <c r="D110"/>
  <c r="C114"/>
  <c r="D114"/>
  <c r="C119"/>
  <c r="D119"/>
  <c r="C120"/>
  <c r="D120"/>
  <c r="E120"/>
  <c r="D121"/>
  <c r="C123"/>
  <c r="D123"/>
  <c r="E123"/>
  <c r="C124"/>
  <c r="D124"/>
  <c r="C126"/>
  <c r="D126"/>
  <c r="C128"/>
  <c r="D128"/>
  <c r="E128"/>
  <c r="C137"/>
  <c r="D137"/>
  <c r="C138"/>
  <c r="D138"/>
  <c r="E138"/>
  <c r="C142"/>
  <c r="D142"/>
  <c r="E142"/>
  <c r="C149"/>
  <c r="D149"/>
  <c r="E149"/>
  <c r="E162"/>
  <c r="C151"/>
  <c r="D151"/>
  <c r="C154"/>
  <c r="D154"/>
  <c r="E154"/>
  <c r="C162"/>
  <c r="D162"/>
  <c r="C163"/>
  <c r="D163"/>
  <c r="C167"/>
  <c r="D167"/>
  <c r="C168"/>
  <c r="D168"/>
  <c r="C9" i="1"/>
  <c r="C66"/>
  <c r="E9"/>
  <c r="D13"/>
  <c r="D9"/>
  <c r="D66"/>
  <c r="D14"/>
  <c r="D16"/>
  <c r="E16"/>
  <c r="C21"/>
  <c r="C16"/>
  <c r="D21"/>
  <c r="C23"/>
  <c r="D23"/>
  <c r="E23"/>
  <c r="D30"/>
  <c r="E30"/>
  <c r="C31"/>
  <c r="C30"/>
  <c r="D31"/>
  <c r="E31"/>
  <c r="D38"/>
  <c r="C40"/>
  <c r="D40"/>
  <c r="C41"/>
  <c r="C38"/>
  <c r="D41"/>
  <c r="C44"/>
  <c r="D44"/>
  <c r="C46"/>
  <c r="D46"/>
  <c r="C49"/>
  <c r="D49"/>
  <c r="C50"/>
  <c r="D50"/>
  <c r="E50"/>
  <c r="C56"/>
  <c r="D56"/>
  <c r="E56"/>
  <c r="C61"/>
  <c r="D61"/>
  <c r="E61"/>
  <c r="C67"/>
  <c r="D67"/>
  <c r="D90"/>
  <c r="E67"/>
  <c r="C71"/>
  <c r="D71"/>
  <c r="E71"/>
  <c r="E90"/>
  <c r="E163"/>
  <c r="D76"/>
  <c r="E76"/>
  <c r="C77"/>
  <c r="C76"/>
  <c r="C90"/>
  <c r="D77"/>
  <c r="C79"/>
  <c r="D79"/>
  <c r="E79"/>
  <c r="C83"/>
  <c r="D83"/>
  <c r="E83"/>
  <c r="C98"/>
  <c r="D98"/>
  <c r="C99"/>
  <c r="D99"/>
  <c r="C100"/>
  <c r="D100"/>
  <c r="C101"/>
  <c r="D101"/>
  <c r="E102"/>
  <c r="E97"/>
  <c r="E132"/>
  <c r="C105"/>
  <c r="D105"/>
  <c r="C109"/>
  <c r="C102"/>
  <c r="D109"/>
  <c r="D102"/>
  <c r="C114"/>
  <c r="D114"/>
  <c r="C115"/>
  <c r="D115"/>
  <c r="D116"/>
  <c r="D118"/>
  <c r="C119"/>
  <c r="D119"/>
  <c r="C121"/>
  <c r="C118"/>
  <c r="D121"/>
  <c r="C123"/>
  <c r="D123"/>
  <c r="E123"/>
  <c r="E118"/>
  <c r="C133"/>
  <c r="D133"/>
  <c r="D157"/>
  <c r="E133"/>
  <c r="C137"/>
  <c r="D137"/>
  <c r="E137"/>
  <c r="D144"/>
  <c r="E144"/>
  <c r="E157"/>
  <c r="C146"/>
  <c r="C144"/>
  <c r="D146"/>
  <c r="C149"/>
  <c r="D149"/>
  <c r="E149"/>
  <c r="O92" i="24"/>
  <c r="K23" i="63"/>
  <c r="E131" i="120"/>
  <c r="E157"/>
  <c r="O103" i="24"/>
  <c r="D45" i="2"/>
  <c r="K33" i="63"/>
  <c r="K35"/>
  <c r="K46"/>
  <c r="N31"/>
  <c r="N63"/>
  <c r="L31"/>
  <c r="L63"/>
  <c r="F31"/>
  <c r="F63"/>
  <c r="K9"/>
  <c r="G31"/>
  <c r="G63"/>
  <c r="C31"/>
  <c r="C63"/>
  <c r="H12"/>
  <c r="M63"/>
  <c r="H31"/>
  <c r="K31"/>
  <c r="K10"/>
  <c r="G12"/>
  <c r="K54"/>
  <c r="N54"/>
  <c r="E65" i="3"/>
  <c r="E90"/>
  <c r="E65" i="119"/>
  <c r="E90"/>
  <c r="K12" i="63"/>
  <c r="E95" i="116"/>
  <c r="E168"/>
  <c r="E71"/>
  <c r="E159" i="117"/>
  <c r="E67"/>
  <c r="E92"/>
  <c r="E96" i="116"/>
  <c r="D162" i="1"/>
  <c r="D91"/>
  <c r="C91"/>
  <c r="C157"/>
  <c r="C163"/>
  <c r="C97"/>
  <c r="C132"/>
  <c r="C158"/>
  <c r="D97"/>
  <c r="D132"/>
  <c r="D158"/>
  <c r="D163"/>
  <c r="E66"/>
  <c r="E91"/>
  <c r="H63" i="63"/>
  <c r="C162" i="1"/>
  <c r="D37" i="295"/>
  <c r="D42"/>
  <c r="D42" i="298"/>
  <c r="E162" i="1"/>
  <c r="E158"/>
  <c r="E102" i="116"/>
  <c r="E137"/>
  <c r="E167"/>
  <c r="E163"/>
  <c r="E96" i="119"/>
  <c r="E132"/>
  <c r="E158"/>
  <c r="O108" i="24"/>
  <c r="O110"/>
</calcChain>
</file>

<file path=xl/comments1.xml><?xml version="1.0" encoding="utf-8"?>
<comments xmlns="http://schemas.openxmlformats.org/spreadsheetml/2006/main">
  <authors>
    <author>penzugy3</author>
  </authors>
  <commentList>
    <comment ref="L22" authorId="0">
      <text>
        <r>
          <rPr>
            <b/>
            <sz val="9"/>
            <color indexed="81"/>
            <rFont val="Tahoma"/>
            <family val="2"/>
            <charset val="238"/>
          </rPr>
          <t>penzugy3:</t>
        </r>
        <r>
          <rPr>
            <sz val="9"/>
            <color indexed="81"/>
            <rFont val="Tahoma"/>
            <family val="2"/>
            <charset val="238"/>
          </rPr>
          <t xml:space="preserve">
bruttó összeg eltérés
</t>
        </r>
      </text>
    </comment>
  </commentList>
</comments>
</file>

<file path=xl/sharedStrings.xml><?xml version="1.0" encoding="utf-8"?>
<sst xmlns="http://schemas.openxmlformats.org/spreadsheetml/2006/main" count="5136" uniqueCount="771">
  <si>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</si>
  <si>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</si>
  <si>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</si>
  <si>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</si>
  <si>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</si>
  <si>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</si>
  <si>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</si>
  <si>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</si>
  <si>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</si>
  <si>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</si>
  <si>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</si>
  <si>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</si>
  <si>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</si>
  <si>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</si>
  <si>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</si>
  <si>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</si>
  <si>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</si>
  <si>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</si>
  <si>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</si>
  <si>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</si>
  <si>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</si>
  <si>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</si>
  <si>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</si>
  <si>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</si>
  <si>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</si>
  <si>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</si>
  <si>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</si>
  <si>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</si>
  <si>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</si>
  <si>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</si>
  <si>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</si>
  <si>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</si>
  <si>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</si>
  <si>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</si>
  <si>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</si>
  <si>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</si>
  <si>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</si>
  <si>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</si>
  <si>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</si>
  <si>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</si>
  <si>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</si>
  <si>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</si>
  <si>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</si>
  <si>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</si>
  <si>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</si>
  <si>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</si>
  <si>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</si>
  <si>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</si>
  <si>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</si>
  <si>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</si>
  <si>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</si>
  <si>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</si>
  <si>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</si>
  <si>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</si>
  <si>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</si>
  <si>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</si>
  <si>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</si>
  <si>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</si>
  <si>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</si>
  <si>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</si>
  <si>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</si>
  <si>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</si>
  <si>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</si>
  <si>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</si>
  <si>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</si>
  <si>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</si>
  <si>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</si>
  <si>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</si>
  <si>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</si>
  <si>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</si>
  <si>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</si>
  <si>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</si>
  <si>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</si>
  <si>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</si>
  <si>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</si>
  <si>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</si>
  <si>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</si>
  <si>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</si>
  <si>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</si>
  <si>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</si>
  <si>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</si>
  <si>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</si>
  <si>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</si>
  <si>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</si>
  <si>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</si>
  <si>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</si>
  <si>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</si>
  <si>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</si>
  <si>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</si>
  <si>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</si>
  <si>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</si>
  <si>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</si>
  <si>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</si>
  <si>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</si>
  <si>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</si>
  <si>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</si>
  <si>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</si>
  <si>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</si>
  <si>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</si>
  <si>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</si>
  <si>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</si>
  <si>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</si>
  <si>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</si>
  <si>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</si>
  <si>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</si>
  <si>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</si>
  <si>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</si>
  <si>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</si>
  <si>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</si>
  <si>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</si>
  <si>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</si>
  <si>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</si>
  <si>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</si>
  <si>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</si>
  <si>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</si>
  <si>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</si>
  <si>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</si>
  <si>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</si>
  <si>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</si>
  <si>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</si>
  <si>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</si>
  <si>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</si>
  <si>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</si>
  <si>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</si>
  <si>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</si>
  <si>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</si>
  <si>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</si>
  <si>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</si>
  <si>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</si>
  <si>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</si>
  <si>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</si>
  <si>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</si>
  <si>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</si>
  <si>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</si>
  <si>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</si>
  <si>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</si>
  <si>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</si>
  <si>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</si>
  <si>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</si>
  <si>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</si>
  <si>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</si>
  <si>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</si>
  <si>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</si>
  <si>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</si>
  <si>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</si>
  <si>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</si>
  <si>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</si>
  <si>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</si>
  <si>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</si>
  <si>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</si>
  <si>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</si>
  <si>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</si>
  <si>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</si>
  <si>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</si>
  <si>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</si>
  <si>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</si>
  <si>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</si>
  <si>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</si>
  <si>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</si>
  <si>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</si>
  <si>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</si>
  <si>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</si>
  <si>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</si>
  <si>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</si>
  <si>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</si>
  <si>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</si>
  <si>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</si>
  <si>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</si>
  <si>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</si>
  <si>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</si>
  <si>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</si>
  <si>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</si>
  <si>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</si>
  <si>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</si>
  <si>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</si>
  <si>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</si>
  <si>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</si>
  <si>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</si>
  <si>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</si>
  <si>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</si>
  <si>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</si>
  <si>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</si>
  <si>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</si>
  <si>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</si>
  <si>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</si>
  <si>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</si>
  <si>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</si>
  <si>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</si>
  <si>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</si>
  <si>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</si>
  <si>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</si>
  <si>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</si>
  <si>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</si>
  <si>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</si>
  <si>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</si>
  <si>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</si>
  <si>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</si>
  <si>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</si>
  <si>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</si>
  <si>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</si>
  <si>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</si>
  <si>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</si>
  <si>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</si>
  <si>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</si>
  <si>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</si>
  <si>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</si>
  <si>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</si>
  <si>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</si>
  <si>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</si>
  <si>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</si>
  <si>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</si>
  <si>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</si>
  <si>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</si>
  <si>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</si>
  <si>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</si>
  <si>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</si>
  <si>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</si>
  <si>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</si>
  <si>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</si>
  <si>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</si>
  <si>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</si>
  <si>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</si>
  <si>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</si>
  <si>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</si>
  <si>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</si>
  <si>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</si>
  <si>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</si>
  <si>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</si>
  <si>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</si>
  <si>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</si>
  <si>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</si>
  <si>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</si>
  <si>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</si>
  <si>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</si>
  <si>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</si>
  <si>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</si>
  <si>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</si>
  <si>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</si>
  <si>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</si>
  <si>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</si>
  <si>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</si>
  <si>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</si>
  <si>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</si>
  <si>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</si>
  <si>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</si>
  <si>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</si>
  <si>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</si>
  <si>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</si>
  <si>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</si>
  <si>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</si>
  <si>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</si>
  <si>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</si>
  <si>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</si>
  <si>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</si>
  <si>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</si>
  <si>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</si>
  <si>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</si>
  <si>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</si>
  <si>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</si>
  <si>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</si>
  <si>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</si>
  <si>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</si>
  <si>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</si>
  <si>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</si>
  <si>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</si>
  <si>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</si>
  <si>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</si>
  <si>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</si>
  <si>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</si>
  <si>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</si>
  <si>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</si>
  <si>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</si>
  <si>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</si>
  <si>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</si>
  <si>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</si>
  <si>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</si>
  <si>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</si>
  <si>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</si>
  <si>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</si>
  <si>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</si>
  <si>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</si>
  <si>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</si>
  <si>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</si>
  <si>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</si>
  <si>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</si>
  <si>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</si>
  <si>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</si>
  <si>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</si>
  <si>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</si>
  <si>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</si>
  <si>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</si>
  <si>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</si>
  <si>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</si>
  <si>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</si>
  <si>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</si>
  <si>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</si>
  <si>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</si>
  <si>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</si>
  <si>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</si>
  <si>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</si>
  <si>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</si>
  <si>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</si>
  <si>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</si>
  <si>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</si>
  <si>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</si>
  <si>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</si>
  <si>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</si>
  <si>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</si>
  <si>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</si>
  <si>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</si>
  <si>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</si>
  <si>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</si>
  <si>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</si>
  <si>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</si>
  <si>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</si>
  <si>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</si>
  <si>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</si>
  <si>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</si>
  <si>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</si>
  <si>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</si>
  <si>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</si>
  <si>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</si>
  <si>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</si>
  <si>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</si>
  <si>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</si>
  <si>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</si>
  <si>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</si>
  <si>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</si>
  <si>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</si>
  <si>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</si>
  <si>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</si>
  <si>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</si>
  <si>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</si>
  <si>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</si>
  <si>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</si>
  <si>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</si>
  <si>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</si>
  <si>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</si>
  <si>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</si>
  <si>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</si>
  <si>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</si>
  <si>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</si>
  <si>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</si>
  <si>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</si>
  <si>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</si>
  <si>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</si>
  <si>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</si>
  <si>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</si>
  <si>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</si>
  <si>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</si>
  <si>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</si>
  <si>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</si>
  <si>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</si>
  <si>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</si>
  <si>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</si>
  <si>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</si>
  <si>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</si>
  <si>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</si>
  <si>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</si>
  <si>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</si>
  <si>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</si>
  <si>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</si>
  <si>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</si>
  <si>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</si>
  <si>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</si>
  <si>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</si>
  <si>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</si>
  <si>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</si>
  <si>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</si>
  <si>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</si>
  <si>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</si>
  <si>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</si>
  <si>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</si>
  <si>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</si>
  <si>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</si>
  <si>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</si>
  <si>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</si>
  <si>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</si>
  <si>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</si>
  <si>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</si>
  <si>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</si>
  <si>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</si>
  <si>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</si>
  <si>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</si>
  <si>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</si>
  <si>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</si>
  <si>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</si>
  <si>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</si>
  <si>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</si>
  <si>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</si>
  <si>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</si>
  <si>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</si>
  <si>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</si>
  <si>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</si>
  <si>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</si>
  <si>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</si>
  <si>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</si>
  <si>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</si>
  <si>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</si>
  <si>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</si>
  <si>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</si>
  <si>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</si>
  <si>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</si>
  <si>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</si>
  <si>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</si>
  <si>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</si>
  <si>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</si>
  <si>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</si>
  <si>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</si>
  <si>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</si>
  <si>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</si>
  <si>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</si>
  <si>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</si>
  <si>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</si>
  <si>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</si>
  <si>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</si>
  <si>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</si>
  <si>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</si>
  <si>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</si>
  <si>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</si>
  <si>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</si>
  <si>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</si>
  <si>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</si>
  <si>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</si>
  <si>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</si>
  <si>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</si>
  <si>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</si>
  <si>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</si>
  <si>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</si>
  <si>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</si>
  <si>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</si>
  <si>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</si>
  <si>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</si>
  <si>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</si>
  <si>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</si>
  <si>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</si>
  <si>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</si>
  <si>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</si>
  <si>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</si>
  <si>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</si>
  <si>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</si>
  <si>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</si>
  <si>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</si>
  <si>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</si>
  <si>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</si>
  <si>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</si>
  <si>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</si>
  <si>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</si>
  <si>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</si>
  <si>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</si>
  <si>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</si>
  <si>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</si>
  <si>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</si>
  <si>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</si>
  <si>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</si>
  <si>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</si>
  <si>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</si>
  <si>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</si>
  <si>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</si>
  <si>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</si>
  <si>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</si>
  <si>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</si>
  <si>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</si>
  <si>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</si>
  <si>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</si>
  <si>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</si>
  <si>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</si>
  <si>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</si>
  <si>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</si>
  <si>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</si>
  <si>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</si>
  <si>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</si>
  <si>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</si>
  <si>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</si>
  <si>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</si>
  <si>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</si>
  <si>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</si>
  <si>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</si>
  <si>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</si>
  <si>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</si>
  <si>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</si>
  <si>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</si>
  <si>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</si>
  <si>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</si>
  <si>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</si>
  <si>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</si>
  <si>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</si>
  <si>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</si>
  <si>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</si>
  <si>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</si>
  <si>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</si>
  <si>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</si>
  <si>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</si>
  <si>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</si>
  <si>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</si>
  <si>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</si>
  <si>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</si>
  <si>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</si>
  <si>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</si>
  <si>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</si>
  <si>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</si>
  <si>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</si>
  <si>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</si>
  <si>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</si>
  <si>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</si>
  <si>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</si>
  <si>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</si>
  <si>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</si>
  <si>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</si>
  <si>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</si>
  <si>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</si>
  <si>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</si>
  <si>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</si>
  <si>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</si>
  <si>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</si>
  <si>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</si>
  <si>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</si>
  <si>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</si>
  <si>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</si>
  <si>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</si>
  <si>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</si>
  <si>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</si>
  <si>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</si>
  <si>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</si>
  <si>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</si>
  <si>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</si>
  <si>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</si>
  <si>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</si>
  <si>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</si>
  <si>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</si>
  <si>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</si>
  <si>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</si>
  <si>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</si>
  <si>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</si>
  <si>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</si>
  <si>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</si>
  <si>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</si>
  <si>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</si>
  <si>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</si>
  <si>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</si>
  <si>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</si>
  <si>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</si>
  <si>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</si>
  <si>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</si>
  <si>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</si>
  <si>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</si>
  <si>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</si>
  <si>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</si>
  <si>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</si>
  <si>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</si>
  <si>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</si>
  <si>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</si>
  <si>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</si>
  <si>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</si>
  <si>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</si>
  <si>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</si>
  <si>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11749039-1543436</t>
  </si>
  <si>
    <t>Tartalék</t>
  </si>
  <si>
    <t>Függő, átfutó, kiegyenlítő bevételek</t>
  </si>
  <si>
    <t>Függő, átfutó, kiegyenlítő kiadások</t>
  </si>
  <si>
    <t>Helyi adók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</si>
  <si>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</si>
  <si>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</si>
  <si>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</si>
  <si>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</si>
  <si>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</si>
  <si>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</si>
  <si>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</si>
  <si>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</si>
  <si>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</si>
  <si>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</si>
  <si>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</si>
  <si>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Jövedelempótló támogatások összesen</t>
  </si>
  <si>
    <t>foglalkoztatást helyettesítő támogatás</t>
  </si>
  <si>
    <t>rendszeres szociális segély</t>
  </si>
  <si>
    <t>lakásfenntartási támogatás</t>
  </si>
  <si>
    <t>Gyermekétkeztetés dolgozói bértámogatása</t>
  </si>
  <si>
    <t>Gyermekétkeztetés üzemeltetési támogatása</t>
  </si>
  <si>
    <t>Üdülőhelyi feladatok</t>
  </si>
  <si>
    <t>Bérkompenzáció</t>
  </si>
  <si>
    <t>Központi, irányítószervi támogatás</t>
  </si>
  <si>
    <t>működési költségek</t>
  </si>
  <si>
    <t>Egyéb áruhasználati és szolgáltatási adók (idegenforgalmi adó)</t>
  </si>
  <si>
    <t>ÁHT-on belüli megelőlegezések visszafizetése</t>
  </si>
  <si>
    <t>BEVÉTELEK</t>
  </si>
  <si>
    <t>2019. évi</t>
  </si>
  <si>
    <t>Sorszám</t>
  </si>
  <si>
    <t>Len-Ki Baba Kft</t>
  </si>
  <si>
    <t xml:space="preserve">K I M U T A T Á S </t>
  </si>
  <si>
    <t>Ft</t>
  </si>
  <si>
    <t>személyes szabadság korlátozása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</si>
  <si>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</si>
  <si>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</si>
  <si>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</si>
  <si>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</si>
  <si>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</si>
  <si>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</si>
  <si>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2017.</t>
  </si>
  <si>
    <t>2018.</t>
  </si>
  <si>
    <t>Templom körüli térkő kialakítása (temető)</t>
  </si>
  <si>
    <t>Forint</t>
  </si>
  <si>
    <t>Felhalmozási célú támogatások Áht-n belül</t>
  </si>
  <si>
    <t>Működési célú támogatások Áht-n belül</t>
  </si>
  <si>
    <t>Működési célú támogatások Áht-n kívül</t>
  </si>
  <si>
    <t>Vagyoni típusú adók (építményadó)</t>
  </si>
  <si>
    <t>Termékek és szolgáltatások adói</t>
  </si>
  <si>
    <t>forintban</t>
  </si>
  <si>
    <t>2019.</t>
  </si>
  <si>
    <t>2020.</t>
  </si>
  <si>
    <t>Hozzájárulás  (Ft)</t>
  </si>
  <si>
    <t>Járdaburkolat felújítása (adósságkonszolidáció-2016.év)</t>
  </si>
  <si>
    <t>* Fő utca 7-27 (1400/3, 1482/2 Hrsz) (Vashegyi gyalogos járda és rézsű megerősítése)</t>
  </si>
  <si>
    <t>* Strandi sétány (911/14 Hrsz)</t>
  </si>
  <si>
    <t>* Fő utca 82-84/1 (1400/16 Hrsz)</t>
  </si>
  <si>
    <t>* Fő utca 50-62/2 (185/6 Hrsz)</t>
  </si>
  <si>
    <t>Eszközbeszerzés-gép,berendezés (Polgármester)</t>
  </si>
  <si>
    <t>Eszközbeszerzés-informatikai (Polgármester)</t>
  </si>
  <si>
    <t>Eszközbeszerzés-gép,berendezés (iskola)</t>
  </si>
  <si>
    <t>Településfejlesztési koncepció (adósságkonszolidáció)</t>
  </si>
  <si>
    <t>Út beruházás (VP6-7.2.1-7.4.1.2-16 pályázat, 1. célterület önrésze) (út)</t>
  </si>
  <si>
    <t>Eszközbeszerzés-gép,berendezés (város-községgazdálkodás)</t>
  </si>
  <si>
    <t>Eszközbeszerzés-gép,berendezés (háziorvos)</t>
  </si>
  <si>
    <t>Eszközbeszerzés-informatikai (Gyermekorvos)</t>
  </si>
  <si>
    <t>Eszközbeszerzés-gép,berendezés (védőnő)</t>
  </si>
  <si>
    <t>Röplabdapálya fejlesztése (strand)</t>
  </si>
  <si>
    <t>Eszközbeszerzés-gép,berendezés (strand)</t>
  </si>
  <si>
    <t>Beruházás (immateriális javak) összesen:</t>
  </si>
  <si>
    <t>Beruházás (ingatlan) összesen:</t>
  </si>
  <si>
    <t>Beruházás (informatikai eszköz) összesen:</t>
  </si>
  <si>
    <t>Beruházás (gép,berendezés) összesen:</t>
  </si>
  <si>
    <t>BERUHÁZÁS MINDÖSSZESEN:</t>
  </si>
  <si>
    <t>Kandelláber (2 db) (Kápolna utca)</t>
  </si>
  <si>
    <t>Út beruházáshoz gép, berendezés (VP6-7.2.1-7.4.1.2-16 pályázat, 1.célterület önrésze)(közút fenntartás)</t>
  </si>
  <si>
    <t>Pályázati támogatás</t>
  </si>
  <si>
    <t>BERUHÁZÁS</t>
  </si>
  <si>
    <t>Önerő</t>
  </si>
  <si>
    <t>Pályázati önrész</t>
  </si>
  <si>
    <t>FELÚJÍTÁS</t>
  </si>
  <si>
    <t>Vajda János Öregdiákok Egyesülete</t>
  </si>
  <si>
    <t>Felhaszánálási hely</t>
  </si>
  <si>
    <t>Temető</t>
  </si>
  <si>
    <t>Út</t>
  </si>
  <si>
    <t>Felhasználási hely</t>
  </si>
  <si>
    <t>Város- és községgazdálkodás</t>
  </si>
  <si>
    <t>Strand</t>
  </si>
  <si>
    <t>Közvilágítás</t>
  </si>
  <si>
    <t>Igazgatás</t>
  </si>
  <si>
    <t>Gyermekorvos</t>
  </si>
  <si>
    <t>Közút fenntartás</t>
  </si>
  <si>
    <t>Iskola</t>
  </si>
  <si>
    <t>Háziorvos</t>
  </si>
  <si>
    <t>Védőnő</t>
  </si>
  <si>
    <t>Eszközbeszerzés-gép,berendezés (gyermekorvos)</t>
  </si>
  <si>
    <t>Elvonások és befizetések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</si>
  <si>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</si>
  <si>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</si>
  <si>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kulturális támogatás (kulturális illetménypótlék)</t>
  </si>
  <si>
    <t>Keszthelyi Mentők Alapítány</t>
  </si>
  <si>
    <t>Város-és községgazd</t>
  </si>
  <si>
    <t>Részesedés beszerzés összesen: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</si>
  <si>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</si>
  <si>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</si>
  <si>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</si>
  <si>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Turisztika</t>
  </si>
  <si>
    <t xml:space="preserve">Beruházás (ingatlan)(pályázat-piac)(nyilvános wc, út, járda, csapadékvíz, piactér lefedése) </t>
  </si>
  <si>
    <t>Beruházás (gép, berendezés)(pályázat-piac)(árusító asztal, mobil árusítóhely, térbútorok, hordozható számítógép)</t>
  </si>
  <si>
    <t>Beruházás (gép, berendezés)(pályázat-mondák)(berendezések, informatikai-audiovizuális eszközök, élményelemek, szoftverek)</t>
  </si>
  <si>
    <t>Beruházás (ingatlan)(pályázat-mondák)(telek vásárlás, látogatóközpont épülete, külső játszótér, kézműves pince, alkotó terasz, parkoló)</t>
  </si>
  <si>
    <t>Beruházás (ingatlan)(pályázat-csapadékcsatorna)(Helikon-Agyagos-Rákóczi u. csap.csat)</t>
  </si>
  <si>
    <t>Beruházás (gép, berendezés)(pályázat-busz)(mikrobusz)</t>
  </si>
  <si>
    <t>2017-2018</t>
  </si>
  <si>
    <t>2017-2020</t>
  </si>
  <si>
    <t>2017-2019</t>
  </si>
  <si>
    <t xml:space="preserve">Vonyarcvashegy Sportegyesület </t>
  </si>
  <si>
    <t>Lakossági víz-csatornaszolgáltatási támogatás</t>
  </si>
  <si>
    <t>Kiegészítő, központosított előirányzat</t>
  </si>
  <si>
    <t>Állami támogatás</t>
  </si>
  <si>
    <t>Egyéb kulturális támogatás (könyvtári érdekeltségnövelő támogatás)</t>
  </si>
  <si>
    <t>Temetői kőkeresztek felújítása</t>
  </si>
  <si>
    <t>Közös Hivatal felújítása</t>
  </si>
  <si>
    <t>Beruházás (gép, berendezés)(pályázat-Közös Hivatal)(kazán)</t>
  </si>
  <si>
    <t>Ingatlanvásárlás (2007/6 Hrsz, 2034 m2 beépítetlen terület)</t>
  </si>
  <si>
    <t>*</t>
  </si>
  <si>
    <t xml:space="preserve">* A 105/2017.(VIII.11.) számú Képviselő-testületi határozat alapján megvásárlásra kerül a 2007/6 Hrsz-ú, 2034 m2 beépítetlen területű ingatlan 9.700.000 + 2.619.000 = 12.319.000 Ft összegben. Az ingatlan beszerzése a Mondák háza pályázat megvalósítása miatt történik. A pályázatban már szerepel 4.602.231 Ft előirányzat telekvásárlásra, így a pályázati beruházás sor ennyivel csökken, és az ingatlan beszerzés külön soron teljes összegben kerül kimutatásra. </t>
  </si>
  <si>
    <t>Zöldterület</t>
  </si>
  <si>
    <t>Környezetvédelmi program felülvizsgálata</t>
  </si>
  <si>
    <t>Szociális tűzifa támogatás</t>
  </si>
  <si>
    <t>Morzsa Állatvédelmi Alapítvány</t>
  </si>
  <si>
    <t>Eredeti előirányzat (2018.01)</t>
  </si>
  <si>
    <t>2018. ÉVI KÖLTSÉGVETÉSÉNEK ÖSSZEVONT MÉRLEGE</t>
  </si>
  <si>
    <t>VONYARVASHEGY NAGYKÖZSÉG ÖNKORMÁNYZAT</t>
  </si>
  <si>
    <t>2018. ÉVI KÖLTSÉGVETÉSÉNEK MÉRLEGE</t>
  </si>
  <si>
    <t>KÖTELEZŐ FELADATOK</t>
  </si>
  <si>
    <t>ÖNKÉNT VÁLLALT FELADATOK</t>
  </si>
  <si>
    <t>ÁLLAMI (ÁLLAMIGAZGATÁSI) FELADATOK</t>
  </si>
  <si>
    <t>2021.</t>
  </si>
  <si>
    <t>Díjak, pótlékok, bírságok, talajterhelési díj</t>
  </si>
  <si>
    <t>Bírság-, pótlék- és díjbevétel, talajterhelési díj</t>
  </si>
  <si>
    <t>Vonyarcvashegy Nagyközség Önkormányzata  2018. évi adósságot keletkeztető fejlesztési céljai</t>
  </si>
  <si>
    <t>Felhasználás 2017.12.31-ig</t>
  </si>
  <si>
    <t>2018. év utáni szükséglet</t>
  </si>
  <si>
    <t>2019. után</t>
  </si>
  <si>
    <t>Önkormányzaton kívüli EU-s projektekhez történő hozzájárulás 2018. évi előirányzat</t>
  </si>
  <si>
    <t>Éves eredeti kiadási előirányzat: 1.223.597.044 Ft</t>
  </si>
  <si>
    <t>Vonyarcvashegy, 2018. .......................... hó .....nap</t>
  </si>
  <si>
    <t>2017. évi várható</t>
  </si>
  <si>
    <t>2016. évi tény</t>
  </si>
  <si>
    <t>2017. év előtti kifizetés</t>
  </si>
  <si>
    <t>Előirányzat-felhasználási terv 2018. évre</t>
  </si>
  <si>
    <t>(2018.01.)</t>
  </si>
  <si>
    <t>2018. évi támogatás (2018.01.01)</t>
  </si>
  <si>
    <t>A 2018. évi működési és felhalmozási feladatok állami támogatásának alakulása jogcímenként</t>
  </si>
  <si>
    <t>2017. évi pótigény</t>
  </si>
  <si>
    <t>Bérkompenzáció (2017. év)</t>
  </si>
  <si>
    <t>a 2018. évben céljelleggel juttatott támogatásokról</t>
  </si>
  <si>
    <t>Támogatás összege (2018.01.01)</t>
  </si>
  <si>
    <t>Polgármesteri illetmény támogatása</t>
  </si>
  <si>
    <t>ASP rendszer bevezetése</t>
  </si>
  <si>
    <t>Arany János utcai út, járda felújítása</t>
  </si>
  <si>
    <t>2015-2018</t>
  </si>
  <si>
    <t>Járdafelújítás (strand)</t>
  </si>
  <si>
    <t>2018-2018</t>
  </si>
  <si>
    <t>Egyéb építmény (strand)</t>
  </si>
  <si>
    <t>2016-2018</t>
  </si>
  <si>
    <t>Műfüves pálya labdafogó hálótartó oszlopok</t>
  </si>
  <si>
    <t>Önkorm.vagyonnal való gazd.</t>
  </si>
  <si>
    <t>Lámpatestek</t>
  </si>
  <si>
    <t>Óvoda épületének tetőtér beépítése (város-községgazdálkodás)</t>
  </si>
  <si>
    <t>Óvoda lépcső burkolása (város-községgazdálkodás)</t>
  </si>
  <si>
    <t>Kisajátítás-kártalanítás (Mondák Háza)</t>
  </si>
  <si>
    <t>Emléktábla (Tóvölgyi László)</t>
  </si>
  <si>
    <t>Beruházás (ingatlan)(strand)</t>
  </si>
  <si>
    <t xml:space="preserve">Beruházás (ingatlan)(pályázat-strand) </t>
  </si>
  <si>
    <t>Beruházás (gép, berendezés)(pályázat-strand)</t>
  </si>
  <si>
    <t>Térburkolat, kereszt, parkosítás (I. világháborús pályázat)</t>
  </si>
  <si>
    <t>Kamerarendszer (temető)</t>
  </si>
  <si>
    <t>4. tájékoztató tábla</t>
  </si>
  <si>
    <t>2020. évi</t>
  </si>
  <si>
    <t>2021. évi</t>
  </si>
  <si>
    <t>Módosított előirányzat (2018.03)</t>
  </si>
  <si>
    <t>Forintban</t>
  </si>
  <si>
    <t>(2018.03.)</t>
  </si>
  <si>
    <t>Támogatás összege (2018.03)</t>
  </si>
  <si>
    <t>2018. évi támogatás (2018.03)</t>
  </si>
  <si>
    <t>Módosított előirányzat (2018.06)</t>
  </si>
  <si>
    <t>(2018.06.)</t>
  </si>
  <si>
    <t>2018. évi támogatás (2018.06)</t>
  </si>
  <si>
    <t>Támogatás összege (2018.06)</t>
  </si>
  <si>
    <t>Szociális tűzifa támogatás (kiegészítés-2017.év)</t>
  </si>
  <si>
    <t xml:space="preserve">                              ebből: Közművelődési érdekeltségnövelő pályázati önerő</t>
  </si>
  <si>
    <t>Eszközbeszerzés-Árnyékoló (4 db)(strand)</t>
  </si>
  <si>
    <t>Eszközfelújítás (strand)(nádtetős napernyő)</t>
  </si>
  <si>
    <t>Külterületi utak fejlesztése (külterületi utak pályázat)</t>
  </si>
  <si>
    <t>Belterületi utak</t>
  </si>
  <si>
    <t>Szoftver (strand)</t>
  </si>
  <si>
    <t>Járdafelújítás (71. sz. Fő út és buszöböl között)</t>
  </si>
  <si>
    <t>Zala-menti Kutató-Mentő Csoport Egyesület</t>
  </si>
  <si>
    <t xml:space="preserve"> 1.2. melléklet a 13/2018. (VI.25.)  önkormányzati rendelethez</t>
  </si>
  <si>
    <t>2.1. melléklet a 13/2018. (VI.25.)  önkormányzati rendelethez</t>
  </si>
  <si>
    <t>2.2. melléklet a 13/2018. (VI.25.)  önkormányzati rendelethez</t>
  </si>
  <si>
    <t xml:space="preserve"> 6. melléklet a 13/2018. (VI.25.)  önkormányzati rendelethez</t>
  </si>
  <si>
    <t>9.1. melléklet a 13/2018. (VI.25.) önkormányzati rendelethez</t>
  </si>
  <si>
    <t>9.1.1. melléklet a 13/2018. (VI.25.)  önkormányzati rendelethez</t>
  </si>
  <si>
    <t>9.1.2. melléklet a 13/2018. (VI.25.) önkormányzati rendelethez</t>
  </si>
  <si>
    <t>9.1.3. melléklet a 13/2018. (VI.25.) önkormányzati rendelethez</t>
  </si>
  <si>
    <t>9.2. melléklet a 13/2018. (VI.25.)  önkormányzati rendelethez</t>
  </si>
  <si>
    <t>9.2.(2-1) melléklet a 13/2018. (VI.25.)  önkormányzati rendelethez</t>
  </si>
  <si>
    <t>9.2.(2-2) melléklet a 13/2018. (VI.25.)  önkormányzati rendelethez</t>
  </si>
  <si>
    <t>9.2.1. melléklet a 13/2018. (VI.25.)  önkormányzati rendelethez</t>
  </si>
  <si>
    <t>9.2.2. melléklet a 13/2018. (VI.25.) önkormányzati rendelethez</t>
  </si>
  <si>
    <t>9.2.3. melléklet a 13/2018. (VI.25.) 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</si>
</sst>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5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765">
    <xf numFmtId="0" fontId="0" fillId="0" borderId="0" xfId="0"/>
    <xf numFmtId="164" fontId="9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Alignment="1" applyProtection="1">
      <alignment horizontal="right" vertical="top"/>
    </xf>
    <xf numFmtId="164" fontId="9" fillId="0" borderId="0" xfId="0" applyNumberFormat="1" applyFont="1" applyFill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49" fontId="11" fillId="0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 applyProtection="1">
      <alignment vertical="center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4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49" fontId="6" fillId="0" borderId="15" xfId="0" applyNumberFormat="1" applyFont="1" applyFill="1" applyBorder="1" applyAlignment="1" applyProtection="1">
      <alignment horizontal="center" vertical="center" wrapText="1"/>
    </xf>
    <xf numFmtId="0" fontId="18" fillId="0" borderId="2" xfId="4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18" fillId="0" borderId="17" xfId="4" applyFont="1" applyFill="1" applyBorder="1" applyAlignment="1" applyProtection="1">
      <alignment horizontal="left" vertical="center" wrapText="1" indent="1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9" xfId="4" applyFont="1" applyFill="1" applyBorder="1" applyAlignment="1" applyProtection="1">
      <alignment horizontal="lef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2" xfId="4" applyFont="1" applyFill="1" applyBorder="1" applyAlignment="1" applyProtection="1">
      <alignment horizontal="left" vertical="center" wrapText="1" inden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4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2" xfId="4" applyFont="1" applyFill="1" applyBorder="1" applyAlignment="1" applyProtection="1">
      <alignment horizontal="left" vertical="center" wrapText="1" indent="1"/>
    </xf>
    <xf numFmtId="164" fontId="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4" applyFont="1" applyFill="1" applyBorder="1" applyAlignment="1" applyProtection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5" xfId="4" applyFont="1" applyFill="1" applyBorder="1" applyAlignment="1" applyProtection="1">
      <alignment horizontal="left" vertical="center" wrapText="1" indent="1"/>
    </xf>
    <xf numFmtId="164" fontId="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7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left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5" fillId="0" borderId="7" xfId="0" applyFont="1" applyFill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4" fillId="0" borderId="10" xfId="0" applyFont="1" applyFill="1" applyBorder="1" applyAlignment="1" applyProtection="1">
      <alignment horizontal="left" vertical="center"/>
    </xf>
    <xf numFmtId="0" fontId="14" fillId="0" borderId="28" xfId="0" applyFont="1" applyFill="1" applyBorder="1" applyAlignment="1" applyProtection="1">
      <alignment vertical="center" wrapText="1"/>
    </xf>
    <xf numFmtId="3" fontId="1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4" applyFont="1" applyFill="1" applyProtection="1"/>
    <xf numFmtId="0" fontId="13" fillId="0" borderId="30" xfId="0" applyFont="1" applyFill="1" applyBorder="1" applyAlignment="1" applyProtection="1">
      <alignment horizontal="right" vertical="center"/>
    </xf>
    <xf numFmtId="0" fontId="11" fillId="0" borderId="10" xfId="4" applyFont="1" applyFill="1" applyBorder="1" applyAlignment="1" applyProtection="1">
      <alignment horizontal="center" vertical="center" wrapText="1"/>
    </xf>
    <xf numFmtId="0" fontId="11" fillId="0" borderId="11" xfId="4" applyFont="1" applyFill="1" applyBorder="1" applyAlignment="1" applyProtection="1">
      <alignment horizontal="center" vertical="center" wrapText="1"/>
    </xf>
    <xf numFmtId="0" fontId="15" fillId="0" borderId="31" xfId="4" applyFont="1" applyFill="1" applyBorder="1" applyAlignment="1" applyProtection="1">
      <alignment horizontal="center" vertical="center" wrapText="1"/>
    </xf>
    <xf numFmtId="0" fontId="15" fillId="0" borderId="8" xfId="4" applyFont="1" applyFill="1" applyBorder="1" applyAlignment="1" applyProtection="1">
      <alignment horizontal="center" vertical="center" wrapText="1"/>
    </xf>
    <xf numFmtId="0" fontId="15" fillId="0" borderId="32" xfId="4" applyFont="1" applyFill="1" applyBorder="1" applyAlignment="1" applyProtection="1">
      <alignment horizontal="center" vertical="center" wrapText="1"/>
    </xf>
    <xf numFmtId="0" fontId="18" fillId="0" borderId="0" xfId="4" applyFont="1" applyFill="1" applyProtection="1"/>
    <xf numFmtId="0" fontId="15" fillId="0" borderId="10" xfId="4" applyFont="1" applyFill="1" applyBorder="1" applyAlignment="1" applyProtection="1">
      <alignment horizontal="left" vertical="center" wrapText="1" indent="1"/>
    </xf>
    <xf numFmtId="0" fontId="15" fillId="0" borderId="11" xfId="4" applyFont="1" applyFill="1" applyBorder="1" applyAlignment="1" applyProtection="1">
      <alignment horizontal="left" vertical="center" wrapText="1" indent="1"/>
    </xf>
    <xf numFmtId="164" fontId="15" fillId="0" borderId="9" xfId="4" applyNumberFormat="1" applyFont="1" applyFill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49" fontId="18" fillId="0" borderId="23" xfId="4" applyNumberFormat="1" applyFont="1" applyFill="1" applyBorder="1" applyAlignment="1" applyProtection="1">
      <alignment horizontal="left" vertical="center" wrapText="1" indent="1"/>
    </xf>
    <xf numFmtId="0" fontId="25" fillId="0" borderId="22" xfId="0" applyFont="1" applyBorder="1" applyAlignment="1" applyProtection="1">
      <alignment horizontal="left" wrapText="1" indent="1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6" xfId="4" applyNumberFormat="1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left" wrapText="1" indent="1"/>
    </xf>
    <xf numFmtId="164" fontId="1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Border="1" applyAlignment="1" applyProtection="1">
      <alignment horizontal="left" vertical="center" wrapText="1" indent="1"/>
    </xf>
    <xf numFmtId="49" fontId="18" fillId="0" borderId="33" xfId="4" applyNumberFormat="1" applyFont="1" applyFill="1" applyBorder="1" applyAlignment="1" applyProtection="1">
      <alignment horizontal="left" vertical="center" wrapText="1" indent="1"/>
    </xf>
    <xf numFmtId="0" fontId="25" fillId="0" borderId="34" xfId="0" applyFont="1" applyBorder="1" applyAlignment="1" applyProtection="1">
      <alignment horizontal="left" vertical="center" wrapText="1" indent="1"/>
    </xf>
    <xf numFmtId="0" fontId="20" fillId="0" borderId="11" xfId="0" applyFont="1" applyBorder="1" applyAlignment="1" applyProtection="1">
      <alignment horizontal="lef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4" xfId="0" applyFont="1" applyBorder="1" applyAlignment="1" applyProtection="1">
      <alignment horizontal="left" wrapText="1" indent="1"/>
    </xf>
    <xf numFmtId="164" fontId="16" fillId="0" borderId="9" xfId="4" applyNumberFormat="1" applyFont="1" applyFill="1" applyBorder="1" applyAlignment="1" applyProtection="1">
      <alignment horizontal="right" vertical="center" wrapText="1" indent="1"/>
    </xf>
    <xf numFmtId="164" fontId="18" fillId="0" borderId="24" xfId="4" applyNumberFormat="1" applyFont="1" applyFill="1" applyBorder="1" applyAlignment="1" applyProtection="1">
      <alignment horizontal="right" vertical="center" wrapText="1" indent="1"/>
    </xf>
    <xf numFmtId="0" fontId="25" fillId="0" borderId="17" xfId="0" quotePrefix="1" applyFont="1" applyBorder="1" applyAlignment="1" applyProtection="1">
      <alignment horizontal="left" wrapText="1" indent="1"/>
    </xf>
    <xf numFmtId="164" fontId="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4" applyFont="1" applyFill="1" applyBorder="1" applyAlignment="1" applyProtection="1">
      <alignment horizontal="left" vertical="center" wrapText="1"/>
    </xf>
    <xf numFmtId="0" fontId="20" fillId="0" borderId="10" xfId="0" applyFont="1" applyBorder="1" applyAlignment="1" applyProtection="1">
      <alignment vertical="center" wrapText="1"/>
    </xf>
    <xf numFmtId="0" fontId="25" fillId="0" borderId="34" xfId="0" applyFont="1" applyBorder="1" applyAlignment="1" applyProtection="1">
      <alignment vertical="center" wrapText="1"/>
    </xf>
    <xf numFmtId="0" fontId="25" fillId="0" borderId="23" xfId="0" applyFont="1" applyBorder="1" applyAlignment="1" applyProtection="1">
      <alignment wrapText="1"/>
    </xf>
    <xf numFmtId="0" fontId="25" fillId="0" borderId="16" xfId="0" applyFont="1" applyBorder="1" applyAlignment="1" applyProtection="1">
      <alignment wrapText="1"/>
    </xf>
    <xf numFmtId="0" fontId="25" fillId="0" borderId="33" xfId="0" applyFont="1" applyBorder="1" applyAlignment="1" applyProtection="1">
      <alignment wrapText="1"/>
    </xf>
    <xf numFmtId="164" fontId="15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0" applyFont="1" applyBorder="1" applyAlignment="1" applyProtection="1">
      <alignment wrapText="1"/>
    </xf>
    <xf numFmtId="0" fontId="20" fillId="0" borderId="35" xfId="0" applyFont="1" applyBorder="1" applyAlignment="1" applyProtection="1">
      <alignment vertical="center" wrapText="1"/>
    </xf>
    <xf numFmtId="0" fontId="20" fillId="0" borderId="25" xfId="0" applyFont="1" applyBorder="1" applyAlignment="1" applyProtection="1">
      <alignment wrapText="1"/>
    </xf>
    <xf numFmtId="0" fontId="12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 applyBorder="1" applyAlignment="1" applyProtection="1">
      <alignment vertical="center" wrapText="1"/>
    </xf>
    <xf numFmtId="164" fontId="12" fillId="0" borderId="0" xfId="4" applyNumberFormat="1" applyFont="1" applyFill="1" applyBorder="1" applyAlignment="1" applyProtection="1">
      <alignment horizontal="right" vertical="center" wrapText="1" indent="1"/>
    </xf>
    <xf numFmtId="0" fontId="13" fillId="0" borderId="30" xfId="0" applyFont="1" applyFill="1" applyBorder="1" applyAlignment="1" applyProtection="1">
      <alignment horizontal="right"/>
    </xf>
    <xf numFmtId="0" fontId="2" fillId="0" borderId="0" xfId="4" applyFont="1" applyFill="1" applyAlignment="1" applyProtection="1"/>
    <xf numFmtId="0" fontId="15" fillId="0" borderId="10" xfId="4" applyFont="1" applyFill="1" applyBorder="1" applyAlignment="1" applyProtection="1">
      <alignment horizontal="center" vertical="center" wrapText="1"/>
    </xf>
    <xf numFmtId="0" fontId="15" fillId="0" borderId="11" xfId="4" applyFont="1" applyFill="1" applyBorder="1" applyAlignment="1" applyProtection="1">
      <alignment horizontal="center" vertical="center" wrapText="1"/>
    </xf>
    <xf numFmtId="0" fontId="15" fillId="0" borderId="9" xfId="4" applyFont="1" applyFill="1" applyBorder="1" applyAlignment="1" applyProtection="1">
      <alignment horizontal="center" vertical="center" wrapText="1"/>
    </xf>
    <xf numFmtId="0" fontId="15" fillId="0" borderId="31" xfId="4" applyFont="1" applyFill="1" applyBorder="1" applyAlignment="1" applyProtection="1">
      <alignment horizontal="left" vertical="center" wrapText="1" indent="1"/>
    </xf>
    <xf numFmtId="0" fontId="15" fillId="0" borderId="8" xfId="4" applyFont="1" applyFill="1" applyBorder="1" applyAlignment="1" applyProtection="1">
      <alignment vertical="center" wrapText="1"/>
    </xf>
    <xf numFmtId="164" fontId="15" fillId="0" borderId="32" xfId="4" applyNumberFormat="1" applyFont="1" applyFill="1" applyBorder="1" applyAlignment="1" applyProtection="1">
      <alignment horizontal="right" vertical="center" wrapText="1" indent="1"/>
    </xf>
    <xf numFmtId="49" fontId="18" fillId="0" borderId="15" xfId="4" applyNumberFormat="1" applyFont="1" applyFill="1" applyBorder="1" applyAlignment="1" applyProtection="1">
      <alignment horizontal="left" vertical="center" wrapText="1" indent="1"/>
    </xf>
    <xf numFmtId="164" fontId="1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6" xfId="4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8" fillId="0" borderId="34" xfId="4" applyFont="1" applyFill="1" applyBorder="1" applyAlignment="1" applyProtection="1">
      <alignment horizontal="left" vertical="center" wrapText="1" indent="6"/>
    </xf>
    <xf numFmtId="0" fontId="18" fillId="0" borderId="17" xfId="4" applyFont="1" applyFill="1" applyBorder="1" applyAlignment="1" applyProtection="1">
      <alignment horizontal="left" indent="6"/>
    </xf>
    <xf numFmtId="0" fontId="18" fillId="0" borderId="17" xfId="4" applyFont="1" applyFill="1" applyBorder="1" applyAlignment="1" applyProtection="1">
      <alignment horizontal="left" vertical="center" wrapText="1" indent="6"/>
    </xf>
    <xf numFmtId="49" fontId="18" fillId="0" borderId="37" xfId="4" applyNumberFormat="1" applyFont="1" applyFill="1" applyBorder="1" applyAlignment="1" applyProtection="1">
      <alignment horizontal="left" vertical="center" wrapText="1" indent="1"/>
    </xf>
    <xf numFmtId="49" fontId="18" fillId="0" borderId="38" xfId="4" applyNumberFormat="1" applyFont="1" applyFill="1" applyBorder="1" applyAlignment="1" applyProtection="1">
      <alignment horizontal="left" vertical="center" wrapText="1" indent="1"/>
    </xf>
    <xf numFmtId="0" fontId="18" fillId="0" borderId="5" xfId="4" applyFont="1" applyFill="1" applyBorder="1" applyAlignment="1" applyProtection="1">
      <alignment horizontal="left" vertical="center" wrapText="1" indent="7"/>
    </xf>
    <xf numFmtId="164" fontId="18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5" xfId="4" applyFont="1" applyFill="1" applyBorder="1" applyAlignment="1" applyProtection="1">
      <alignment horizontal="left" vertical="center" wrapText="1" indent="1"/>
    </xf>
    <xf numFmtId="0" fontId="15" fillId="0" borderId="25" xfId="4" applyFont="1" applyFill="1" applyBorder="1" applyAlignment="1" applyProtection="1">
      <alignment vertical="center" wrapText="1"/>
    </xf>
    <xf numFmtId="164" fontId="15" fillId="0" borderId="39" xfId="4" applyNumberFormat="1" applyFont="1" applyFill="1" applyBorder="1" applyAlignment="1" applyProtection="1">
      <alignment horizontal="right" vertical="center" wrapText="1" indent="1"/>
    </xf>
    <xf numFmtId="0" fontId="18" fillId="0" borderId="34" xfId="4" applyFont="1" applyFill="1" applyBorder="1" applyAlignment="1" applyProtection="1">
      <alignment horizontal="left" vertical="center" wrapText="1" indent="1"/>
    </xf>
    <xf numFmtId="164" fontId="18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2" xfId="4" applyFont="1" applyFill="1" applyBorder="1" applyAlignment="1" applyProtection="1">
      <alignment horizontal="left" vertical="center" wrapText="1" indent="6"/>
    </xf>
    <xf numFmtId="164" fontId="1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Border="1" applyAlignment="1" applyProtection="1">
      <alignment horizontal="right" vertical="center" wrapText="1" indent="1"/>
    </xf>
    <xf numFmtId="164" fontId="20" fillId="0" borderId="9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9" xfId="0" quotePrefix="1" applyNumberFormat="1" applyFont="1" applyBorder="1" applyAlignment="1" applyProtection="1">
      <alignment horizontal="right" vertical="center" wrapText="1" indent="1"/>
    </xf>
    <xf numFmtId="0" fontId="7" fillId="0" borderId="0" xfId="4" applyFont="1" applyFill="1" applyProtection="1"/>
    <xf numFmtId="0" fontId="20" fillId="0" borderId="35" xfId="0" applyFont="1" applyBorder="1" applyAlignment="1" applyProtection="1">
      <alignment horizontal="left" vertical="center" wrapText="1" indent="1"/>
    </xf>
    <xf numFmtId="0" fontId="21" fillId="0" borderId="25" xfId="0" applyFont="1" applyBorder="1" applyAlignment="1" applyProtection="1">
      <alignment horizontal="left" vertical="center" wrapText="1" indent="1"/>
    </xf>
    <xf numFmtId="0" fontId="2" fillId="0" borderId="0" xfId="4" applyFont="1" applyFill="1" applyAlignment="1" applyProtection="1">
      <alignment horizontal="right" vertical="center" indent="1"/>
    </xf>
    <xf numFmtId="0" fontId="15" fillId="0" borderId="11" xfId="4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11" fillId="0" borderId="3" xfId="0" quotePrefix="1" applyFont="1" applyFill="1" applyBorder="1" applyAlignment="1" applyProtection="1">
      <alignment horizontal="right" vertical="center" indent="1"/>
    </xf>
    <xf numFmtId="0" fontId="12" fillId="0" borderId="0" xfId="0" applyFont="1" applyFill="1" applyAlignment="1">
      <alignment vertical="center"/>
    </xf>
    <xf numFmtId="0" fontId="11" fillId="0" borderId="4" xfId="0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horizontal="right" vertical="center" indent="1"/>
    </xf>
    <xf numFmtId="0" fontId="14" fillId="0" borderId="0" xfId="0" applyFont="1" applyFill="1" applyAlignment="1">
      <alignment vertical="center"/>
    </xf>
    <xf numFmtId="0" fontId="11" fillId="0" borderId="32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0" fontId="27" fillId="0" borderId="22" xfId="0" applyFont="1" applyBorder="1" applyAlignment="1" applyProtection="1">
      <alignment horizontal="left" wrapText="1" indent="1"/>
    </xf>
    <xf numFmtId="0" fontId="27" fillId="0" borderId="17" xfId="0" applyFont="1" applyBorder="1" applyAlignment="1" applyProtection="1">
      <alignment horizontal="left" wrapText="1" indent="1"/>
    </xf>
    <xf numFmtId="0" fontId="27" fillId="0" borderId="17" xfId="0" quotePrefix="1" applyFont="1" applyBorder="1" applyAlignment="1" applyProtection="1">
      <alignment horizontal="left" wrapText="1" indent="1"/>
    </xf>
    <xf numFmtId="0" fontId="27" fillId="0" borderId="34" xfId="0" applyFont="1" applyBorder="1" applyAlignment="1" applyProtection="1">
      <alignment horizontal="left" wrapText="1" indent="1"/>
    </xf>
    <xf numFmtId="0" fontId="18" fillId="0" borderId="17" xfId="4" applyFont="1" applyFill="1" applyBorder="1" applyAlignment="1" applyProtection="1">
      <alignment horizontal="left" vertical="center" wrapText="1" indent="7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0" xfId="4" applyFont="1" applyFill="1" applyAlignment="1" applyProtection="1"/>
    <xf numFmtId="0" fontId="19" fillId="0" borderId="0" xfId="4" applyFont="1" applyFill="1"/>
    <xf numFmtId="164" fontId="29" fillId="0" borderId="0" xfId="4" applyNumberFormat="1" applyFont="1" applyFill="1" applyBorder="1" applyAlignment="1" applyProtection="1">
      <alignment horizontal="centerContinuous" vertical="center"/>
    </xf>
    <xf numFmtId="0" fontId="30" fillId="0" borderId="0" xfId="0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/>
    <xf numFmtId="0" fontId="15" fillId="0" borderId="15" xfId="4" applyFont="1" applyFill="1" applyBorder="1" applyAlignment="1" applyProtection="1">
      <alignment horizontal="center" vertical="center" wrapText="1"/>
    </xf>
    <xf numFmtId="0" fontId="15" fillId="0" borderId="2" xfId="4" applyFont="1" applyFill="1" applyBorder="1" applyAlignment="1" applyProtection="1">
      <alignment horizontal="center" vertical="center" wrapText="1"/>
    </xf>
    <xf numFmtId="0" fontId="15" fillId="0" borderId="3" xfId="4" applyFont="1" applyFill="1" applyBorder="1" applyAlignment="1" applyProtection="1">
      <alignment horizontal="center" vertical="center" wrapText="1"/>
    </xf>
    <xf numFmtId="0" fontId="18" fillId="0" borderId="10" xfId="4" applyFont="1" applyFill="1" applyBorder="1" applyAlignment="1" applyProtection="1">
      <alignment horizontal="center" vertical="center"/>
    </xf>
    <xf numFmtId="0" fontId="18" fillId="0" borderId="11" xfId="4" applyFont="1" applyFill="1" applyBorder="1" applyAlignment="1" applyProtection="1">
      <alignment horizontal="center" vertical="center"/>
    </xf>
    <xf numFmtId="0" fontId="18" fillId="0" borderId="9" xfId="4" applyFont="1" applyFill="1" applyBorder="1" applyAlignment="1" applyProtection="1">
      <alignment horizontal="center" vertical="center"/>
    </xf>
    <xf numFmtId="0" fontId="18" fillId="0" borderId="15" xfId="4" applyFont="1" applyFill="1" applyBorder="1" applyAlignment="1" applyProtection="1">
      <alignment horizontal="center" vertical="center"/>
    </xf>
    <xf numFmtId="0" fontId="18" fillId="0" borderId="2" xfId="4" applyFont="1" applyFill="1" applyBorder="1" applyProtection="1">
      <protection locked="0"/>
    </xf>
    <xf numFmtId="166" fontId="18" fillId="0" borderId="3" xfId="1" applyNumberFormat="1" applyFont="1" applyFill="1" applyBorder="1" applyProtection="1">
      <protection locked="0"/>
    </xf>
    <xf numFmtId="0" fontId="18" fillId="0" borderId="16" xfId="4" applyFont="1" applyFill="1" applyBorder="1" applyAlignment="1" applyProtection="1">
      <alignment horizontal="center" vertical="center"/>
    </xf>
    <xf numFmtId="0" fontId="18" fillId="0" borderId="17" xfId="4" applyFont="1" applyFill="1" applyBorder="1" applyProtection="1">
      <protection locked="0"/>
    </xf>
    <xf numFmtId="166" fontId="18" fillId="0" borderId="18" xfId="1" applyNumberFormat="1" applyFont="1" applyFill="1" applyBorder="1" applyProtection="1">
      <protection locked="0"/>
    </xf>
    <xf numFmtId="0" fontId="18" fillId="0" borderId="33" xfId="4" applyFont="1" applyFill="1" applyBorder="1" applyAlignment="1" applyProtection="1">
      <alignment horizontal="center" vertical="center"/>
    </xf>
    <xf numFmtId="0" fontId="18" fillId="0" borderId="34" xfId="4" applyFont="1" applyFill="1" applyBorder="1" applyProtection="1">
      <protection locked="0"/>
    </xf>
    <xf numFmtId="166" fontId="18" fillId="0" borderId="21" xfId="1" applyNumberFormat="1" applyFont="1" applyFill="1" applyBorder="1" applyProtection="1">
      <protection locked="0"/>
    </xf>
    <xf numFmtId="0" fontId="15" fillId="0" borderId="10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left" vertical="center" wrapText="1"/>
    </xf>
    <xf numFmtId="166" fontId="15" fillId="0" borderId="9" xfId="1" applyNumberFormat="1" applyFont="1" applyFill="1" applyBorder="1" applyProtection="1"/>
    <xf numFmtId="0" fontId="29" fillId="0" borderId="0" xfId="4" applyFont="1" applyFill="1"/>
    <xf numFmtId="0" fontId="16" fillId="0" borderId="15" xfId="4" applyFont="1" applyFill="1" applyBorder="1" applyAlignment="1" applyProtection="1">
      <alignment horizontal="center" vertical="center" wrapText="1"/>
    </xf>
    <xf numFmtId="0" fontId="16" fillId="0" borderId="2" xfId="4" applyFont="1" applyFill="1" applyBorder="1" applyAlignment="1" applyProtection="1">
      <alignment horizontal="center" vertical="center" wrapText="1"/>
    </xf>
    <xf numFmtId="0" fontId="6" fillId="0" borderId="10" xfId="4" applyFont="1" applyFill="1" applyBorder="1" applyAlignment="1" applyProtection="1">
      <alignment horizontal="center" vertical="center"/>
    </xf>
    <xf numFmtId="0" fontId="6" fillId="0" borderId="11" xfId="4" applyFont="1" applyFill="1" applyBorder="1" applyAlignment="1" applyProtection="1">
      <alignment horizontal="center" vertical="center"/>
    </xf>
    <xf numFmtId="0" fontId="6" fillId="0" borderId="9" xfId="4" applyFont="1" applyFill="1" applyBorder="1" applyAlignment="1" applyProtection="1">
      <alignment horizontal="center" vertical="center"/>
    </xf>
    <xf numFmtId="0" fontId="6" fillId="0" borderId="15" xfId="4" applyFont="1" applyFill="1" applyBorder="1" applyAlignment="1" applyProtection="1">
      <alignment horizontal="center" vertical="center"/>
    </xf>
    <xf numFmtId="0" fontId="6" fillId="0" borderId="22" xfId="4" applyFont="1" applyFill="1" applyBorder="1" applyProtection="1"/>
    <xf numFmtId="166" fontId="6" fillId="0" borderId="41" xfId="1" applyNumberFormat="1" applyFont="1" applyFill="1" applyBorder="1" applyProtection="1">
      <protection locked="0"/>
    </xf>
    <xf numFmtId="0" fontId="6" fillId="0" borderId="16" xfId="4" applyFont="1" applyFill="1" applyBorder="1" applyAlignment="1" applyProtection="1">
      <alignment horizontal="center" vertical="center"/>
    </xf>
    <xf numFmtId="0" fontId="10" fillId="0" borderId="17" xfId="0" applyFont="1" applyBorder="1" applyAlignment="1">
      <alignment horizontal="justify" wrapText="1"/>
    </xf>
    <xf numFmtId="166" fontId="6" fillId="0" borderId="40" xfId="1" applyNumberFormat="1" applyFont="1" applyFill="1" applyBorder="1" applyProtection="1">
      <protection locked="0"/>
    </xf>
    <xf numFmtId="0" fontId="10" fillId="0" borderId="17" xfId="0" applyFont="1" applyBorder="1" applyAlignment="1">
      <alignment wrapText="1"/>
    </xf>
    <xf numFmtId="0" fontId="6" fillId="0" borderId="33" xfId="4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Protection="1">
      <protection locked="0"/>
    </xf>
    <xf numFmtId="0" fontId="10" fillId="0" borderId="5" xfId="0" applyFont="1" applyBorder="1" applyAlignment="1">
      <alignment wrapText="1"/>
    </xf>
    <xf numFmtId="166" fontId="16" fillId="0" borderId="9" xfId="1" applyNumberFormat="1" applyFont="1" applyFill="1" applyBorder="1" applyProtection="1"/>
    <xf numFmtId="172" fontId="14" fillId="0" borderId="34" xfId="4" applyNumberFormat="1" applyFont="1" applyFill="1" applyBorder="1" applyAlignment="1">
      <alignment horizontal="center" vertical="center" wrapText="1"/>
    </xf>
    <xf numFmtId="0" fontId="24" fillId="0" borderId="10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9" xfId="4" applyFont="1" applyFill="1" applyBorder="1" applyAlignment="1">
      <alignment horizontal="center" vertical="center"/>
    </xf>
    <xf numFmtId="0" fontId="24" fillId="0" borderId="23" xfId="4" applyFont="1" applyFill="1" applyBorder="1" applyAlignment="1">
      <alignment horizontal="center" vertical="center"/>
    </xf>
    <xf numFmtId="0" fontId="24" fillId="0" borderId="22" xfId="4" applyFont="1" applyFill="1" applyBorder="1" applyProtection="1">
      <protection locked="0"/>
    </xf>
    <xf numFmtId="166" fontId="24" fillId="0" borderId="22" xfId="1" applyNumberFormat="1" applyFont="1" applyFill="1" applyBorder="1" applyProtection="1">
      <protection locked="0"/>
    </xf>
    <xf numFmtId="166" fontId="24" fillId="0" borderId="24" xfId="1" applyNumberFormat="1" applyFont="1" applyFill="1" applyBorder="1"/>
    <xf numFmtId="0" fontId="24" fillId="0" borderId="16" xfId="4" applyFont="1" applyFill="1" applyBorder="1" applyAlignment="1">
      <alignment horizontal="center" vertical="center"/>
    </xf>
    <xf numFmtId="0" fontId="24" fillId="0" borderId="17" xfId="4" applyFont="1" applyFill="1" applyBorder="1" applyProtection="1">
      <protection locked="0"/>
    </xf>
    <xf numFmtId="166" fontId="24" fillId="0" borderId="17" xfId="1" applyNumberFormat="1" applyFont="1" applyFill="1" applyBorder="1" applyProtection="1">
      <protection locked="0"/>
    </xf>
    <xf numFmtId="166" fontId="24" fillId="0" borderId="18" xfId="1" applyNumberFormat="1" applyFont="1" applyFill="1" applyBorder="1"/>
    <xf numFmtId="0" fontId="24" fillId="0" borderId="33" xfId="4" applyFont="1" applyFill="1" applyBorder="1" applyAlignment="1">
      <alignment horizontal="center" vertical="center"/>
    </xf>
    <xf numFmtId="0" fontId="24" fillId="0" borderId="34" xfId="4" applyFont="1" applyFill="1" applyBorder="1" applyProtection="1">
      <protection locked="0"/>
    </xf>
    <xf numFmtId="166" fontId="24" fillId="0" borderId="34" xfId="1" applyNumberFormat="1" applyFont="1" applyFill="1" applyBorder="1" applyProtection="1">
      <protection locked="0"/>
    </xf>
    <xf numFmtId="0" fontId="14" fillId="0" borderId="10" xfId="4" applyFont="1" applyFill="1" applyBorder="1" applyAlignment="1">
      <alignment horizontal="center" vertical="center"/>
    </xf>
    <xf numFmtId="0" fontId="14" fillId="0" borderId="11" xfId="4" applyFont="1" applyFill="1" applyBorder="1"/>
    <xf numFmtId="166" fontId="14" fillId="0" borderId="11" xfId="4" applyNumberFormat="1" applyFont="1" applyFill="1" applyBorder="1"/>
    <xf numFmtId="166" fontId="14" fillId="0" borderId="9" xfId="4" applyNumberFormat="1" applyFont="1" applyFill="1" applyBorder="1"/>
    <xf numFmtId="49" fontId="34" fillId="0" borderId="0" xfId="0" applyNumberFormat="1" applyFont="1" applyFill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32" fillId="0" borderId="10" xfId="0" applyNumberFormat="1" applyFont="1" applyFill="1" applyBorder="1" applyAlignment="1" applyProtection="1">
      <alignment horizontal="centerContinuous" vertical="center" wrapText="1"/>
    </xf>
    <xf numFmtId="164" fontId="32" fillId="0" borderId="10" xfId="0" applyNumberFormat="1" applyFont="1" applyFill="1" applyBorder="1" applyAlignment="1" applyProtection="1">
      <alignment horizontal="center" vertical="center" wrapText="1"/>
    </xf>
    <xf numFmtId="164" fontId="32" fillId="0" borderId="11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vertical="center" wrapText="1"/>
    </xf>
    <xf numFmtId="164" fontId="16" fillId="0" borderId="42" xfId="0" applyNumberFormat="1" applyFont="1" applyFill="1" applyBorder="1" applyAlignment="1" applyProtection="1">
      <alignment horizontal="center" vertical="center" wrapText="1"/>
    </xf>
    <xf numFmtId="164" fontId="16" fillId="0" borderId="10" xfId="0" applyNumberFormat="1" applyFont="1" applyFill="1" applyBorder="1" applyAlignment="1" applyProtection="1">
      <alignment horizontal="center" vertical="center" wrapText="1"/>
    </xf>
    <xf numFmtId="164" fontId="16" fillId="0" borderId="9" xfId="0" applyNumberFormat="1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6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7" xfId="0" applyNumberFormat="1" applyFont="1" applyFill="1" applyBorder="1" applyAlignment="1" applyProtection="1">
      <alignment horizontal="left" vertical="center" wrapText="1" indent="1"/>
    </xf>
    <xf numFmtId="164" fontId="36" fillId="0" borderId="42" xfId="0" applyNumberFormat="1" applyFont="1" applyFill="1" applyBorder="1" applyAlignment="1" applyProtection="1">
      <alignment horizontal="left" vertical="center" wrapText="1" inden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37" fillId="0" borderId="37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left" vertical="center" wrapText="1" indent="2"/>
    </xf>
    <xf numFmtId="164" fontId="6" fillId="0" borderId="17" xfId="0" applyNumberFormat="1" applyFont="1" applyFill="1" applyBorder="1" applyAlignment="1" applyProtection="1">
      <alignment horizontal="left" vertical="center" wrapText="1" indent="2"/>
    </xf>
    <xf numFmtId="164" fontId="37" fillId="0" borderId="17" xfId="0" applyNumberFormat="1" applyFont="1" applyFill="1" applyBorder="1" applyAlignment="1" applyProtection="1">
      <alignment horizontal="left" vertical="center" wrapText="1" indent="1"/>
    </xf>
    <xf numFmtId="164" fontId="6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left" vertical="center" wrapText="1" indent="2"/>
    </xf>
    <xf numFmtId="164" fontId="6" fillId="0" borderId="33" xfId="0" applyNumberFormat="1" applyFont="1" applyFill="1" applyBorder="1" applyAlignment="1" applyProtection="1">
      <alignment horizontal="left" vertical="center" wrapText="1" indent="2"/>
    </xf>
    <xf numFmtId="164" fontId="3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 applyProtection="1">
      <alignment horizontal="center" vertical="center" wrapText="1"/>
    </xf>
    <xf numFmtId="3" fontId="2" fillId="0" borderId="0" xfId="0" applyNumberFormat="1" applyFont="1" applyFill="1" applyAlignment="1" applyProtection="1">
      <alignment vertical="center" wrapText="1"/>
    </xf>
    <xf numFmtId="3" fontId="8" fillId="0" borderId="0" xfId="0" applyNumberFormat="1" applyFont="1" applyFill="1" applyAlignment="1" applyProtection="1">
      <alignment horizontal="right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3" fontId="7" fillId="0" borderId="10" xfId="0" applyNumberFormat="1" applyFont="1" applyFill="1" applyBorder="1" applyAlignment="1" applyProtection="1">
      <alignment horizontal="center" vertical="center" wrapText="1"/>
    </xf>
    <xf numFmtId="3" fontId="7" fillId="0" borderId="28" xfId="0" applyNumberFormat="1" applyFont="1" applyFill="1" applyBorder="1" applyAlignment="1" applyProtection="1">
      <alignment horizontal="center" vertical="center" wrapText="1"/>
    </xf>
    <xf numFmtId="3" fontId="7" fillId="0" borderId="11" xfId="0" applyNumberFormat="1" applyFont="1" applyFill="1" applyBorder="1" applyAlignment="1" applyProtection="1">
      <alignment horizontal="center" vertical="center" wrapText="1"/>
    </xf>
    <xf numFmtId="3" fontId="7" fillId="0" borderId="9" xfId="0" applyNumberFormat="1" applyFont="1" applyFill="1" applyBorder="1" applyAlignment="1" applyProtection="1">
      <alignment horizontal="center" vertical="center" wrapText="1"/>
    </xf>
    <xf numFmtId="3" fontId="7" fillId="0" borderId="44" xfId="0" applyNumberFormat="1" applyFont="1" applyFill="1" applyBorder="1" applyAlignment="1" applyProtection="1">
      <alignment horizontal="center" vertical="center" wrapText="1"/>
    </xf>
    <xf numFmtId="3" fontId="8" fillId="0" borderId="7" xfId="0" applyNumberFormat="1" applyFont="1" applyFill="1" applyBorder="1" applyAlignment="1" applyProtection="1">
      <alignment horizontal="center" vertical="center" wrapText="1"/>
    </xf>
    <xf numFmtId="3" fontId="8" fillId="0" borderId="11" xfId="0" applyNumberFormat="1" applyFont="1" applyFill="1" applyBorder="1" applyAlignment="1" applyProtection="1">
      <alignment horizontal="center" vertical="center" wrapText="1"/>
    </xf>
    <xf numFmtId="3" fontId="7" fillId="0" borderId="35" xfId="0" applyNumberFormat="1" applyFont="1" applyFill="1" applyBorder="1" applyAlignment="1" applyProtection="1">
      <alignment horizontal="center" vertical="center" wrapText="1"/>
    </xf>
    <xf numFmtId="3" fontId="7" fillId="0" borderId="45" xfId="0" applyNumberFormat="1" applyFont="1" applyFill="1" applyBorder="1" applyAlignment="1" applyProtection="1">
      <alignment horizontal="center" vertical="center" wrapText="1"/>
    </xf>
    <xf numFmtId="3" fontId="7" fillId="0" borderId="25" xfId="0" applyNumberFormat="1" applyFont="1" applyFill="1" applyBorder="1" applyAlignment="1" applyProtection="1">
      <alignment horizontal="center" vertical="center" wrapText="1"/>
    </xf>
    <xf numFmtId="3" fontId="7" fillId="0" borderId="39" xfId="0" applyNumberFormat="1" applyFont="1" applyFill="1" applyBorder="1" applyAlignment="1" applyProtection="1">
      <alignment horizontal="center" vertical="center" wrapText="1"/>
    </xf>
    <xf numFmtId="3" fontId="7" fillId="0" borderId="46" xfId="0" applyNumberFormat="1" applyFont="1" applyFill="1" applyBorder="1" applyAlignment="1" applyProtection="1">
      <alignment horizontal="center" vertical="center" wrapText="1"/>
    </xf>
    <xf numFmtId="3" fontId="7" fillId="0" borderId="47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horizontal="center" vertical="center" wrapText="1"/>
    </xf>
    <xf numFmtId="49" fontId="18" fillId="0" borderId="23" xfId="4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18" fillId="0" borderId="16" xfId="4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 wrapText="1"/>
    </xf>
    <xf numFmtId="49" fontId="18" fillId="0" borderId="33" xfId="4" applyNumberFormat="1" applyFont="1" applyFill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wrapText="1"/>
    </xf>
    <xf numFmtId="0" fontId="25" fillId="0" borderId="34" xfId="0" applyFont="1" applyBorder="1" applyAlignment="1" applyProtection="1">
      <alignment wrapText="1"/>
    </xf>
    <xf numFmtId="0" fontId="25" fillId="0" borderId="23" xfId="0" applyFont="1" applyBorder="1" applyAlignment="1" applyProtection="1">
      <alignment horizontal="center" wrapText="1"/>
    </xf>
    <xf numFmtId="0" fontId="25" fillId="0" borderId="16" xfId="0" applyFont="1" applyBorder="1" applyAlignment="1" applyProtection="1">
      <alignment horizontal="center" wrapText="1"/>
    </xf>
    <xf numFmtId="0" fontId="25" fillId="0" borderId="33" xfId="0" applyFont="1" applyBorder="1" applyAlignment="1" applyProtection="1">
      <alignment horizontal="center" wrapText="1"/>
    </xf>
    <xf numFmtId="0" fontId="20" fillId="0" borderId="35" xfId="0" applyFont="1" applyBorder="1" applyAlignment="1" applyProtection="1">
      <alignment horizontal="center" wrapText="1"/>
    </xf>
    <xf numFmtId="0" fontId="22" fillId="0" borderId="0" xfId="0" applyFont="1" applyFill="1" applyAlignment="1">
      <alignment vertical="center" wrapText="1"/>
    </xf>
    <xf numFmtId="49" fontId="18" fillId="0" borderId="15" xfId="4" applyNumberFormat="1" applyFont="1" applyFill="1" applyBorder="1" applyAlignment="1" applyProtection="1">
      <alignment horizontal="center" vertical="center" wrapText="1"/>
    </xf>
    <xf numFmtId="49" fontId="18" fillId="0" borderId="37" xfId="4" applyNumberFormat="1" applyFont="1" applyFill="1" applyBorder="1" applyAlignment="1" applyProtection="1">
      <alignment horizontal="center" vertical="center" wrapText="1"/>
    </xf>
    <xf numFmtId="49" fontId="18" fillId="0" borderId="38" xfId="4" applyNumberFormat="1" applyFont="1" applyFill="1" applyBorder="1" applyAlignment="1" applyProtection="1">
      <alignment horizontal="center" vertical="center" wrapText="1"/>
    </xf>
    <xf numFmtId="0" fontId="18" fillId="0" borderId="5" xfId="4" applyFont="1" applyFill="1" applyBorder="1" applyAlignment="1" applyProtection="1">
      <alignment horizontal="left" vertical="center" wrapText="1" indent="6"/>
    </xf>
    <xf numFmtId="49" fontId="16" fillId="0" borderId="10" xfId="4" applyNumberFormat="1" applyFont="1" applyFill="1" applyBorder="1" applyAlignment="1" applyProtection="1">
      <alignment horizontal="center" vertical="center" wrapText="1"/>
    </xf>
    <xf numFmtId="0" fontId="20" fillId="0" borderId="35" xfId="0" applyFont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/>
    <xf numFmtId="164" fontId="36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5" fillId="0" borderId="0" xfId="0" applyNumberFormat="1" applyFont="1" applyFill="1" applyAlignment="1" applyProtection="1">
      <alignment horizontal="right" wrapText="1"/>
    </xf>
    <xf numFmtId="164" fontId="35" fillId="0" borderId="0" xfId="0" applyNumberFormat="1" applyFont="1" applyFill="1" applyAlignment="1" applyProtection="1">
      <alignment horizontal="center" vertical="center" wrapText="1"/>
    </xf>
    <xf numFmtId="164" fontId="36" fillId="0" borderId="10" xfId="0" applyNumberFormat="1" applyFont="1" applyFill="1" applyBorder="1" applyAlignment="1" applyProtection="1">
      <alignment horizontal="center" vertical="center" wrapText="1"/>
    </xf>
    <xf numFmtId="164" fontId="36" fillId="0" borderId="28" xfId="0" applyNumberFormat="1" applyFont="1" applyFill="1" applyBorder="1" applyAlignment="1" applyProtection="1">
      <alignment horizontal="center" vertical="center" wrapText="1"/>
    </xf>
    <xf numFmtId="164" fontId="36" fillId="0" borderId="11" xfId="0" applyNumberFormat="1" applyFont="1" applyFill="1" applyBorder="1" applyAlignment="1" applyProtection="1">
      <alignment horizontal="center" vertical="center" wrapText="1"/>
    </xf>
    <xf numFmtId="164" fontId="36" fillId="0" borderId="9" xfId="0" applyNumberFormat="1" applyFont="1" applyFill="1" applyBorder="1" applyAlignment="1" applyProtection="1">
      <alignment horizontal="center" vertical="center" wrapText="1"/>
    </xf>
    <xf numFmtId="164" fontId="36" fillId="0" borderId="44" xfId="0" applyNumberFormat="1" applyFont="1" applyFill="1" applyBorder="1" applyAlignment="1" applyProtection="1">
      <alignment horizontal="center" vertical="center" wrapText="1"/>
    </xf>
    <xf numFmtId="164" fontId="35" fillId="0" borderId="7" xfId="0" applyNumberFormat="1" applyFont="1" applyFill="1" applyBorder="1" applyAlignment="1" applyProtection="1">
      <alignment horizontal="center" vertical="center" wrapText="1"/>
    </xf>
    <xf numFmtId="164" fontId="35" fillId="0" borderId="11" xfId="0" applyNumberFormat="1" applyFont="1" applyFill="1" applyBorder="1" applyAlignment="1" applyProtection="1">
      <alignment horizontal="center" vertical="center" wrapText="1"/>
    </xf>
    <xf numFmtId="164" fontId="36" fillId="0" borderId="35" xfId="0" applyNumberFormat="1" applyFont="1" applyFill="1" applyBorder="1" applyAlignment="1" applyProtection="1">
      <alignment horizontal="center" vertical="center" wrapText="1"/>
    </xf>
    <xf numFmtId="164" fontId="36" fillId="0" borderId="45" xfId="0" applyNumberFormat="1" applyFont="1" applyFill="1" applyBorder="1" applyAlignment="1" applyProtection="1">
      <alignment horizontal="center" vertical="center" wrapText="1"/>
    </xf>
    <xf numFmtId="164" fontId="36" fillId="0" borderId="25" xfId="0" applyNumberFormat="1" applyFont="1" applyFill="1" applyBorder="1" applyAlignment="1" applyProtection="1">
      <alignment horizontal="center" vertical="center" wrapText="1"/>
    </xf>
    <xf numFmtId="164" fontId="36" fillId="0" borderId="39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" vertical="center" wrapText="1"/>
    </xf>
    <xf numFmtId="164" fontId="36" fillId="0" borderId="47" xfId="0" applyNumberFormat="1" applyFont="1" applyFill="1" applyBorder="1" applyAlignment="1" applyProtection="1">
      <alignment horizontal="center" vertical="center" wrapText="1"/>
    </xf>
    <xf numFmtId="49" fontId="0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0" xfId="0" applyNumberFormat="1" applyFont="1" applyFill="1" applyAlignment="1">
      <alignment vertical="center" wrapText="1"/>
    </xf>
    <xf numFmtId="0" fontId="14" fillId="0" borderId="10" xfId="4" applyFont="1" applyFill="1" applyBorder="1" applyAlignment="1" applyProtection="1">
      <alignment horizontal="center" vertical="center" wrapText="1"/>
    </xf>
    <xf numFmtId="0" fontId="14" fillId="0" borderId="11" xfId="4" applyFont="1" applyFill="1" applyBorder="1" applyAlignment="1" applyProtection="1">
      <alignment horizontal="center" vertical="center" wrapText="1"/>
    </xf>
    <xf numFmtId="0" fontId="24" fillId="0" borderId="0" xfId="4" applyFont="1" applyFill="1"/>
    <xf numFmtId="0" fontId="14" fillId="0" borderId="10" xfId="4" applyFont="1" applyFill="1" applyBorder="1" applyAlignment="1" applyProtection="1">
      <alignment horizontal="left" vertical="center" wrapText="1" indent="1"/>
    </xf>
    <xf numFmtId="0" fontId="14" fillId="0" borderId="11" xfId="4" applyFont="1" applyFill="1" applyBorder="1" applyAlignment="1" applyProtection="1">
      <alignment horizontal="left" vertical="center" wrapText="1" indent="1"/>
    </xf>
    <xf numFmtId="49" fontId="24" fillId="0" borderId="23" xfId="4" applyNumberFormat="1" applyFont="1" applyFill="1" applyBorder="1" applyAlignment="1" applyProtection="1">
      <alignment horizontal="left" vertical="center" wrapText="1" indent="1"/>
    </xf>
    <xf numFmtId="49" fontId="24" fillId="0" borderId="16" xfId="4" applyNumberFormat="1" applyFont="1" applyFill="1" applyBorder="1" applyAlignment="1" applyProtection="1">
      <alignment horizontal="left" vertical="center" wrapText="1" indent="1"/>
    </xf>
    <xf numFmtId="0" fontId="27" fillId="0" borderId="17" xfId="0" applyFont="1" applyBorder="1" applyAlignment="1" applyProtection="1">
      <alignment horizontal="left" vertical="center" wrapText="1" indent="1"/>
    </xf>
    <xf numFmtId="49" fontId="24" fillId="0" borderId="33" xfId="4" applyNumberFormat="1" applyFont="1" applyFill="1" applyBorder="1" applyAlignment="1" applyProtection="1">
      <alignment horizontal="left" vertical="center" wrapText="1" indent="1"/>
    </xf>
    <xf numFmtId="0" fontId="27" fillId="0" borderId="34" xfId="0" applyFont="1" applyBorder="1" applyAlignment="1" applyProtection="1">
      <alignment horizontal="left" vertical="center" wrapText="1" indent="1"/>
    </xf>
    <xf numFmtId="0" fontId="39" fillId="0" borderId="11" xfId="0" applyFont="1" applyBorder="1" applyAlignment="1" applyProtection="1">
      <alignment horizontal="left" vertical="center" wrapText="1" indent="1"/>
    </xf>
    <xf numFmtId="0" fontId="14" fillId="0" borderId="10" xfId="4" applyFont="1" applyFill="1" applyBorder="1" applyAlignment="1" applyProtection="1">
      <alignment horizontal="left" vertical="center" wrapText="1"/>
    </xf>
    <xf numFmtId="0" fontId="39" fillId="0" borderId="10" xfId="0" applyFont="1" applyBorder="1" applyAlignment="1" applyProtection="1">
      <alignment vertical="center" wrapText="1"/>
    </xf>
    <xf numFmtId="0" fontId="27" fillId="0" borderId="34" xfId="0" applyFont="1" applyBorder="1" applyAlignment="1" applyProtection="1">
      <alignment vertical="center" wrapText="1"/>
    </xf>
    <xf numFmtId="0" fontId="27" fillId="0" borderId="23" xfId="0" applyFont="1" applyBorder="1" applyAlignment="1" applyProtection="1">
      <alignment wrapText="1"/>
    </xf>
    <xf numFmtId="0" fontId="27" fillId="0" borderId="16" xfId="0" applyFont="1" applyBorder="1" applyAlignment="1" applyProtection="1">
      <alignment wrapText="1"/>
    </xf>
    <xf numFmtId="0" fontId="27" fillId="0" borderId="33" xfId="0" applyFont="1" applyBorder="1" applyAlignment="1" applyProtection="1">
      <alignment wrapText="1"/>
    </xf>
    <xf numFmtId="0" fontId="39" fillId="0" borderId="11" xfId="0" applyFont="1" applyBorder="1" applyAlignment="1" applyProtection="1">
      <alignment wrapText="1"/>
    </xf>
    <xf numFmtId="0" fontId="39" fillId="0" borderId="35" xfId="0" applyFont="1" applyBorder="1" applyAlignment="1" applyProtection="1">
      <alignment horizontal="center" vertical="center" wrapText="1"/>
    </xf>
    <xf numFmtId="0" fontId="39" fillId="0" borderId="25" xfId="0" applyFont="1" applyBorder="1" applyAlignment="1" applyProtection="1">
      <alignment wrapText="1"/>
    </xf>
    <xf numFmtId="0" fontId="14" fillId="0" borderId="31" xfId="4" applyFont="1" applyFill="1" applyBorder="1" applyAlignment="1" applyProtection="1">
      <alignment horizontal="left" vertical="center" wrapText="1" indent="1"/>
    </xf>
    <xf numFmtId="0" fontId="14" fillId="0" borderId="8" xfId="4" applyFont="1" applyFill="1" applyBorder="1" applyAlignment="1" applyProtection="1">
      <alignment vertical="center" wrapText="1"/>
    </xf>
    <xf numFmtId="49" fontId="24" fillId="0" borderId="15" xfId="4" applyNumberFormat="1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17" xfId="4" applyFont="1" applyFill="1" applyBorder="1" applyAlignment="1" applyProtection="1">
      <alignment horizontal="left" vertical="center" wrapText="1" indent="1"/>
    </xf>
    <xf numFmtId="0" fontId="24" fillId="0" borderId="36" xfId="4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4" fillId="0" borderId="34" xfId="4" applyFont="1" applyFill="1" applyBorder="1" applyAlignment="1" applyProtection="1">
      <alignment horizontal="left" vertical="center" wrapText="1" indent="6"/>
    </xf>
    <xf numFmtId="0" fontId="24" fillId="0" borderId="17" xfId="4" applyFont="1" applyFill="1" applyBorder="1" applyAlignment="1" applyProtection="1">
      <alignment horizontal="left" indent="6"/>
    </xf>
    <xf numFmtId="0" fontId="24" fillId="0" borderId="17" xfId="4" applyFont="1" applyFill="1" applyBorder="1" applyAlignment="1" applyProtection="1">
      <alignment horizontal="left" vertical="center" wrapText="1" indent="6"/>
    </xf>
    <xf numFmtId="49" fontId="24" fillId="0" borderId="37" xfId="4" applyNumberFormat="1" applyFont="1" applyFill="1" applyBorder="1" applyAlignment="1" applyProtection="1">
      <alignment horizontal="left" vertical="center" wrapText="1" indent="1"/>
    </xf>
    <xf numFmtId="49" fontId="24" fillId="0" borderId="38" xfId="4" applyNumberFormat="1" applyFont="1" applyFill="1" applyBorder="1" applyAlignment="1" applyProtection="1">
      <alignment horizontal="left" vertical="center" wrapText="1" indent="1"/>
    </xf>
    <xf numFmtId="0" fontId="24" fillId="0" borderId="5" xfId="4" applyFont="1" applyFill="1" applyBorder="1" applyAlignment="1" applyProtection="1">
      <alignment horizontal="left" vertical="center" wrapText="1" indent="7"/>
    </xf>
    <xf numFmtId="0" fontId="14" fillId="0" borderId="35" xfId="4" applyFont="1" applyFill="1" applyBorder="1" applyAlignment="1" applyProtection="1">
      <alignment horizontal="left" vertical="center" wrapText="1" indent="1"/>
    </xf>
    <xf numFmtId="0" fontId="14" fillId="0" borderId="25" xfId="4" applyFont="1" applyFill="1" applyBorder="1" applyAlignment="1" applyProtection="1">
      <alignment vertical="center" wrapText="1"/>
    </xf>
    <xf numFmtId="0" fontId="24" fillId="0" borderId="34" xfId="4" applyFont="1" applyFill="1" applyBorder="1" applyAlignment="1" applyProtection="1">
      <alignment horizontal="left" vertical="center" wrapText="1" indent="1"/>
    </xf>
    <xf numFmtId="0" fontId="24" fillId="0" borderId="22" xfId="4" applyFont="1" applyFill="1" applyBorder="1" applyAlignment="1" applyProtection="1">
      <alignment horizontal="left" vertical="center" wrapText="1" indent="6"/>
    </xf>
    <xf numFmtId="0" fontId="36" fillId="0" borderId="11" xfId="4" applyFont="1" applyFill="1" applyBorder="1" applyAlignment="1" applyProtection="1">
      <alignment horizontal="left" vertical="center" wrapText="1" indent="1"/>
    </xf>
    <xf numFmtId="0" fontId="24" fillId="0" borderId="22" xfId="4" applyFont="1" applyFill="1" applyBorder="1" applyAlignment="1" applyProtection="1">
      <alignment horizontal="left" vertical="center" wrapText="1" indent="1"/>
    </xf>
    <xf numFmtId="0" fontId="24" fillId="0" borderId="19" xfId="4" applyFont="1" applyFill="1" applyBorder="1" applyAlignment="1" applyProtection="1">
      <alignment horizontal="left" vertical="center" wrapText="1" indent="1"/>
    </xf>
    <xf numFmtId="0" fontId="36" fillId="0" borderId="25" xfId="4" applyFont="1" applyFill="1" applyBorder="1" applyAlignment="1" applyProtection="1">
      <alignment horizontal="left" vertical="center" wrapText="1" indent="1"/>
    </xf>
    <xf numFmtId="0" fontId="39" fillId="0" borderId="35" xfId="0" applyFont="1" applyBorder="1" applyAlignment="1" applyProtection="1">
      <alignment horizontal="left" vertical="center" wrapText="1" indent="1"/>
    </xf>
    <xf numFmtId="0" fontId="39" fillId="0" borderId="25" xfId="0" applyFont="1" applyBorder="1" applyAlignment="1" applyProtection="1">
      <alignment horizontal="left" vertical="center" wrapText="1" indent="1"/>
    </xf>
    <xf numFmtId="0" fontId="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1" fillId="0" borderId="0" xfId="0" applyFont="1" applyFill="1" applyProtection="1">
      <protection locked="0"/>
    </xf>
    <xf numFmtId="0" fontId="41" fillId="0" borderId="0" xfId="0" applyFont="1" applyFill="1" applyProtection="1"/>
    <xf numFmtId="0" fontId="41" fillId="0" borderId="0" xfId="0" applyFont="1" applyFill="1"/>
    <xf numFmtId="0" fontId="32" fillId="0" borderId="10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vertical="center" wrapText="1"/>
    </xf>
    <xf numFmtId="164" fontId="6" fillId="0" borderId="22" xfId="0" applyNumberFormat="1" applyFont="1" applyFill="1" applyBorder="1" applyAlignment="1" applyProtection="1">
      <alignment vertical="center"/>
      <protection locked="0"/>
    </xf>
    <xf numFmtId="164" fontId="16" fillId="0" borderId="24" xfId="0" applyNumberFormat="1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vertical="center" wrapText="1"/>
    </xf>
    <xf numFmtId="164" fontId="6" fillId="0" borderId="17" xfId="0" applyNumberFormat="1" applyFont="1" applyFill="1" applyBorder="1" applyAlignment="1" applyProtection="1">
      <alignment vertical="center"/>
      <protection locked="0"/>
    </xf>
    <xf numFmtId="164" fontId="16" fillId="0" borderId="18" xfId="0" applyNumberFormat="1" applyFont="1" applyFill="1" applyBorder="1" applyAlignment="1" applyProtection="1">
      <alignment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vertical="center" wrapText="1"/>
    </xf>
    <xf numFmtId="164" fontId="6" fillId="0" borderId="34" xfId="0" applyNumberFormat="1" applyFont="1" applyFill="1" applyBorder="1" applyAlignment="1" applyProtection="1">
      <alignment vertical="center"/>
      <protection locked="0"/>
    </xf>
    <xf numFmtId="164" fontId="16" fillId="0" borderId="21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 applyProtection="1">
      <alignment horizontal="center" vertical="center"/>
    </xf>
    <xf numFmtId="0" fontId="32" fillId="0" borderId="11" xfId="0" applyFont="1" applyFill="1" applyBorder="1" applyAlignment="1" applyProtection="1">
      <alignment vertical="center" wrapText="1"/>
    </xf>
    <xf numFmtId="164" fontId="16" fillId="0" borderId="11" xfId="0" applyNumberFormat="1" applyFont="1" applyFill="1" applyBorder="1" applyAlignment="1" applyProtection="1">
      <alignment vertical="center"/>
    </xf>
    <xf numFmtId="164" fontId="16" fillId="0" borderId="9" xfId="0" applyNumberFormat="1" applyFont="1" applyFill="1" applyBorder="1" applyAlignment="1" applyProtection="1">
      <alignment vertical="center"/>
    </xf>
    <xf numFmtId="0" fontId="36" fillId="0" borderId="0" xfId="0" applyFont="1" applyFill="1"/>
    <xf numFmtId="0" fontId="0" fillId="0" borderId="48" xfId="0" applyFont="1" applyFill="1" applyBorder="1" applyProtection="1"/>
    <xf numFmtId="0" fontId="35" fillId="0" borderId="48" xfId="0" applyFont="1" applyFill="1" applyBorder="1" applyAlignment="1" applyProtection="1">
      <alignment horizontal="center"/>
    </xf>
    <xf numFmtId="0" fontId="0" fillId="0" borderId="0" xfId="0" applyFont="1" applyFill="1" applyBorder="1"/>
    <xf numFmtId="0" fontId="35" fillId="0" borderId="0" xfId="0" applyFont="1" applyFill="1" applyBorder="1" applyAlignment="1">
      <alignment horizontal="center"/>
    </xf>
    <xf numFmtId="164" fontId="35" fillId="0" borderId="0" xfId="0" applyNumberFormat="1" applyFont="1" applyFill="1" applyAlignment="1" applyProtection="1">
      <alignment horizontal="right"/>
    </xf>
    <xf numFmtId="164" fontId="40" fillId="0" borderId="0" xfId="0" applyNumberFormat="1" applyFont="1" applyFill="1" applyAlignment="1" applyProtection="1">
      <alignment vertical="center"/>
    </xf>
    <xf numFmtId="164" fontId="32" fillId="0" borderId="49" xfId="0" applyNumberFormat="1" applyFont="1" applyFill="1" applyBorder="1" applyAlignment="1" applyProtection="1">
      <alignment horizontal="center" vertical="center"/>
    </xf>
    <xf numFmtId="164" fontId="32" fillId="0" borderId="26" xfId="0" applyNumberFormat="1" applyFont="1" applyFill="1" applyBorder="1" applyAlignment="1" applyProtection="1">
      <alignment horizontal="center" vertical="center" wrapText="1"/>
    </xf>
    <xf numFmtId="164" fontId="40" fillId="0" borderId="0" xfId="0" applyNumberFormat="1" applyFont="1" applyFill="1" applyAlignment="1" applyProtection="1">
      <alignment horizontal="center" vertical="center"/>
    </xf>
    <xf numFmtId="164" fontId="16" fillId="0" borderId="7" xfId="0" applyNumberFormat="1" applyFont="1" applyFill="1" applyBorder="1" applyAlignment="1" applyProtection="1">
      <alignment horizontal="center" vertical="center" wrapText="1"/>
    </xf>
    <xf numFmtId="164" fontId="16" fillId="0" borderId="44" xfId="0" applyNumberFormat="1" applyFont="1" applyFill="1" applyBorder="1" applyAlignment="1" applyProtection="1">
      <alignment horizontal="center" vertical="center" wrapText="1"/>
    </xf>
    <xf numFmtId="164" fontId="16" fillId="0" borderId="50" xfId="0" applyNumberFormat="1" applyFont="1" applyFill="1" applyBorder="1" applyAlignment="1" applyProtection="1">
      <alignment horizontal="center" vertical="center" wrapText="1"/>
    </xf>
    <xf numFmtId="164" fontId="40" fillId="0" borderId="0" xfId="0" applyNumberFormat="1" applyFont="1" applyFill="1" applyAlignment="1" applyProtection="1">
      <alignment horizontal="center" vertical="center" wrapText="1"/>
    </xf>
    <xf numFmtId="164" fontId="16" fillId="0" borderId="42" xfId="0" applyNumberFormat="1" applyFont="1" applyFill="1" applyBorder="1" applyAlignment="1" applyProtection="1">
      <alignment horizontal="left" vertical="center" wrapText="1" indent="1"/>
    </xf>
    <xf numFmtId="4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2" xfId="0" applyNumberFormat="1" applyFont="1" applyFill="1" applyBorder="1" applyAlignment="1" applyProtection="1">
      <alignment vertical="center" wrapText="1"/>
    </xf>
    <xf numFmtId="164" fontId="6" fillId="0" borderId="10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164" fontId="6" fillId="0" borderId="9" xfId="0" applyNumberFormat="1" applyFont="1" applyFill="1" applyBorder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horizontal="center" vertical="center" wrapText="1"/>
    </xf>
    <xf numFmtId="164" fontId="6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1" xfId="0" applyNumberFormat="1" applyFont="1" applyFill="1" applyBorder="1" applyAlignment="1" applyProtection="1">
      <alignment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  <protection locked="0"/>
    </xf>
    <xf numFmtId="164" fontId="6" fillId="0" borderId="51" xfId="0" applyNumberFormat="1" applyFont="1" applyFill="1" applyBorder="1" applyAlignment="1" applyProtection="1">
      <alignment vertical="center" wrapText="1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3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2" xfId="0" applyNumberFormat="1" applyFont="1" applyFill="1" applyBorder="1" applyAlignment="1" applyProtection="1">
      <alignment vertical="center" wrapText="1"/>
      <protection locked="0"/>
    </xf>
    <xf numFmtId="164" fontId="6" fillId="0" borderId="33" xfId="0" applyNumberFormat="1" applyFont="1" applyFill="1" applyBorder="1" applyAlignment="1" applyProtection="1">
      <alignment vertical="center" wrapText="1"/>
      <protection locked="0"/>
    </xf>
    <xf numFmtId="164" fontId="6" fillId="0" borderId="34" xfId="0" applyNumberFormat="1" applyFont="1" applyFill="1" applyBorder="1" applyAlignment="1" applyProtection="1">
      <alignment vertical="center" wrapText="1"/>
      <protection locked="0"/>
    </xf>
    <xf numFmtId="164" fontId="6" fillId="0" borderId="21" xfId="0" applyNumberFormat="1" applyFont="1" applyFill="1" applyBorder="1" applyAlignment="1" applyProtection="1">
      <alignment vertical="center" wrapText="1"/>
      <protection locked="0"/>
    </xf>
    <xf numFmtId="164" fontId="6" fillId="0" borderId="52" xfId="0" applyNumberFormat="1" applyFont="1" applyFill="1" applyBorder="1" applyAlignment="1" applyProtection="1">
      <alignment vertical="center" wrapText="1"/>
    </xf>
    <xf numFmtId="164" fontId="16" fillId="0" borderId="37" xfId="0" applyNumberFormat="1" applyFont="1" applyFill="1" applyBorder="1" applyAlignment="1" applyProtection="1">
      <alignment horizontal="center" vertical="center" wrapText="1"/>
    </xf>
    <xf numFmtId="164" fontId="6" fillId="0" borderId="53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0" xfId="0" applyNumberFormat="1" applyFont="1" applyFill="1" applyBorder="1" applyAlignment="1" applyProtection="1">
      <alignment vertical="center" wrapText="1"/>
      <protection locked="0"/>
    </xf>
    <xf numFmtId="164" fontId="6" fillId="0" borderId="37" xfId="0" applyNumberFormat="1" applyFont="1" applyFill="1" applyBorder="1" applyAlignment="1" applyProtection="1">
      <alignment vertical="center" wrapText="1"/>
      <protection locked="0"/>
    </xf>
    <xf numFmtId="164" fontId="6" fillId="0" borderId="19" xfId="0" applyNumberFormat="1" applyFont="1" applyFill="1" applyBorder="1" applyAlignment="1" applyProtection="1">
      <alignment vertical="center" wrapText="1"/>
      <protection locked="0"/>
    </xf>
    <xf numFmtId="164" fontId="6" fillId="0" borderId="20" xfId="0" applyNumberFormat="1" applyFont="1" applyFill="1" applyBorder="1" applyAlignment="1" applyProtection="1">
      <alignment vertical="center" wrapText="1"/>
      <protection locked="0"/>
    </xf>
    <xf numFmtId="164" fontId="6" fillId="0" borderId="50" xfId="0" applyNumberFormat="1" applyFont="1" applyFill="1" applyBorder="1" applyAlignment="1" applyProtection="1">
      <alignment vertical="center" wrapText="1"/>
    </xf>
    <xf numFmtId="164" fontId="0" fillId="2" borderId="44" xfId="0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Protection="1"/>
    <xf numFmtId="0" fontId="7" fillId="0" borderId="8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right" vertical="center" indent="1"/>
    </xf>
    <xf numFmtId="0" fontId="2" fillId="0" borderId="17" xfId="0" applyFont="1" applyBorder="1" applyAlignment="1" applyProtection="1">
      <alignment horizontal="left" vertical="center" indent="1"/>
      <protection locked="0"/>
    </xf>
    <xf numFmtId="3" fontId="2" fillId="0" borderId="18" xfId="0" applyNumberFormat="1" applyFont="1" applyBorder="1" applyAlignment="1" applyProtection="1">
      <alignment horizontal="right" vertical="center" indent="1"/>
      <protection locked="0"/>
    </xf>
    <xf numFmtId="0" fontId="2" fillId="0" borderId="17" xfId="0" applyFont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vertical="center"/>
    </xf>
    <xf numFmtId="3" fontId="8" fillId="0" borderId="28" xfId="0" applyNumberFormat="1" applyFont="1" applyBorder="1" applyAlignment="1">
      <alignment vertical="center"/>
    </xf>
    <xf numFmtId="0" fontId="4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42" fillId="0" borderId="0" xfId="0" applyFont="1" applyFill="1" applyBorder="1" applyAlignment="1" applyProtection="1">
      <alignment vertical="center"/>
    </xf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42" fillId="0" borderId="1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/>
    <xf numFmtId="0" fontId="28" fillId="0" borderId="0" xfId="0" applyFont="1" applyFill="1" applyBorder="1" applyAlignment="1">
      <alignment vertical="center"/>
    </xf>
    <xf numFmtId="0" fontId="44" fillId="0" borderId="17" xfId="0" applyFont="1" applyFill="1" applyBorder="1" applyAlignment="1" applyProtection="1">
      <alignment horizontal="center" vertical="center" wrapText="1"/>
    </xf>
    <xf numFmtId="164" fontId="44" fillId="0" borderId="17" xfId="0" applyNumberFormat="1" applyFont="1" applyFill="1" applyBorder="1" applyAlignment="1" applyProtection="1">
      <alignment horizontal="right" vertical="center" wrapText="1"/>
    </xf>
    <xf numFmtId="0" fontId="45" fillId="0" borderId="17" xfId="0" applyFont="1" applyFill="1" applyBorder="1" applyAlignment="1" applyProtection="1">
      <alignment horizontal="left" vertical="center" wrapText="1"/>
      <protection locked="0"/>
    </xf>
    <xf numFmtId="164" fontId="45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46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45" fillId="0" borderId="17" xfId="0" applyFont="1" applyFill="1" applyBorder="1" applyAlignment="1" applyProtection="1">
      <alignment horizontal="right" vertical="center" wrapText="1"/>
      <protection locked="0"/>
    </xf>
    <xf numFmtId="3" fontId="45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17" xfId="0" applyFont="1" applyFill="1" applyBorder="1" applyAlignment="1" applyProtection="1">
      <alignment horizontal="center" vertical="center" wrapText="1"/>
      <protection locked="0"/>
    </xf>
    <xf numFmtId="164" fontId="44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45" fillId="0" borderId="17" xfId="0" applyFont="1" applyFill="1" applyBorder="1" applyAlignment="1" applyProtection="1">
      <alignment vertical="center" wrapText="1"/>
      <protection locked="0"/>
    </xf>
    <xf numFmtId="164" fontId="45" fillId="0" borderId="17" xfId="0" applyNumberFormat="1" applyFont="1" applyFill="1" applyBorder="1" applyAlignment="1" applyProtection="1">
      <alignment vertical="center" wrapText="1"/>
      <protection locked="0"/>
    </xf>
    <xf numFmtId="164" fontId="45" fillId="0" borderId="17" xfId="0" applyNumberFormat="1" applyFont="1" applyFill="1" applyBorder="1" applyAlignment="1" applyProtection="1">
      <alignment horizontal="left" vertical="center" wrapText="1"/>
      <protection locked="0"/>
    </xf>
    <xf numFmtId="3" fontId="45" fillId="0" borderId="17" xfId="0" applyNumberFormat="1" applyFont="1" applyFill="1" applyBorder="1"/>
    <xf numFmtId="3" fontId="44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0" fontId="44" fillId="0" borderId="17" xfId="0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horizontal="right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 applyProtection="1">
      <alignment horizontal="left" vertical="center" wrapText="1" indent="1"/>
    </xf>
    <xf numFmtId="164" fontId="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 applyProtection="1">
      <alignment horizontal="left" vertical="center" wrapText="1" indent="1"/>
    </xf>
    <xf numFmtId="164" fontId="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6" xfId="0" applyFont="1" applyFill="1" applyBorder="1" applyAlignment="1" applyProtection="1">
      <alignment horizontal="left" vertical="center" wrapText="1" indent="8"/>
    </xf>
    <xf numFmtId="0" fontId="6" fillId="0" borderId="22" xfId="0" applyFont="1" applyFill="1" applyBorder="1" applyAlignment="1" applyProtection="1">
      <alignment vertical="center" wrapText="1"/>
      <protection locked="0"/>
    </xf>
    <xf numFmtId="0" fontId="6" fillId="0" borderId="17" xfId="0" applyFont="1" applyFill="1" applyBorder="1" applyAlignment="1" applyProtection="1">
      <alignment vertical="center" wrapText="1"/>
      <protection locked="0"/>
    </xf>
    <xf numFmtId="0" fontId="6" fillId="0" borderId="3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vertical="center" wrapText="1"/>
      <protection locked="0"/>
    </xf>
    <xf numFmtId="164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16" fillId="0" borderId="39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right" vertical="center" wrapText="1"/>
    </xf>
    <xf numFmtId="0" fontId="12" fillId="0" borderId="56" xfId="4" applyFont="1" applyFill="1" applyBorder="1" applyAlignment="1" applyProtection="1">
      <alignment horizontal="center" vertical="center" wrapText="1"/>
    </xf>
    <xf numFmtId="0" fontId="12" fillId="0" borderId="56" xfId="4" applyFont="1" applyFill="1" applyBorder="1" applyAlignment="1" applyProtection="1">
      <alignment vertical="center" wrapText="1"/>
    </xf>
    <xf numFmtId="0" fontId="24" fillId="0" borderId="0" xfId="4" applyFont="1" applyFill="1" applyBorder="1" applyProtection="1"/>
    <xf numFmtId="0" fontId="16" fillId="0" borderId="25" xfId="4" applyFont="1" applyFill="1" applyBorder="1" applyAlignment="1" applyProtection="1">
      <alignment vertical="center" wrapText="1"/>
    </xf>
    <xf numFmtId="164" fontId="47" fillId="0" borderId="17" xfId="0" applyNumberFormat="1" applyFont="1" applyFill="1" applyBorder="1" applyAlignment="1" applyProtection="1">
      <alignment horizontal="left" vertical="center" wrapText="1"/>
      <protection locked="0"/>
    </xf>
    <xf numFmtId="3" fontId="47" fillId="0" borderId="17" xfId="0" applyNumberFormat="1" applyFont="1" applyFill="1" applyBorder="1"/>
    <xf numFmtId="0" fontId="28" fillId="0" borderId="0" xfId="0" applyFont="1" applyFill="1" applyBorder="1"/>
    <xf numFmtId="3" fontId="2" fillId="0" borderId="0" xfId="0" applyNumberFormat="1" applyFont="1" applyFill="1" applyAlignment="1">
      <alignment horizontal="left" vertical="center" wrapText="1"/>
    </xf>
    <xf numFmtId="0" fontId="41" fillId="0" borderId="0" xfId="4" applyFont="1" applyFill="1"/>
    <xf numFmtId="0" fontId="48" fillId="0" borderId="0" xfId="0" applyFont="1" applyFill="1" applyBorder="1" applyAlignment="1" applyProtection="1">
      <alignment horizontal="right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/>
    <xf numFmtId="0" fontId="7" fillId="0" borderId="0" xfId="4" applyFont="1" applyFill="1" applyAlignment="1" applyProtection="1">
      <alignment horizontal="center"/>
    </xf>
    <xf numFmtId="49" fontId="34" fillId="0" borderId="0" xfId="0" applyNumberFormat="1" applyFont="1" applyFill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164" fontId="0" fillId="0" borderId="0" xfId="0" applyNumberFormat="1" applyFont="1" applyFill="1" applyAlignment="1" applyProtection="1">
      <alignment horizontal="centerContinuous" vertical="center"/>
    </xf>
    <xf numFmtId="164" fontId="0" fillId="0" borderId="53" xfId="0" applyNumberFormat="1" applyFont="1" applyFill="1" applyBorder="1" applyAlignment="1" applyProtection="1">
      <alignment horizontal="left" vertical="center" wrapText="1" indent="1"/>
    </xf>
    <xf numFmtId="164" fontId="0" fillId="0" borderId="51" xfId="0" applyNumberFormat="1" applyFont="1" applyFill="1" applyBorder="1" applyAlignment="1" applyProtection="1">
      <alignment horizontal="left" vertical="center" wrapText="1" indent="1"/>
    </xf>
    <xf numFmtId="164" fontId="0" fillId="0" borderId="50" xfId="0" applyNumberFormat="1" applyFont="1" applyFill="1" applyBorder="1" applyAlignment="1" applyProtection="1">
      <alignment horizontal="left" vertical="center" wrapText="1" indent="1"/>
    </xf>
    <xf numFmtId="164" fontId="35" fillId="0" borderId="30" xfId="4" applyNumberFormat="1" applyFont="1" applyFill="1" applyBorder="1" applyAlignment="1" applyProtection="1">
      <alignment horizontal="left" vertical="center"/>
    </xf>
    <xf numFmtId="0" fontId="8" fillId="0" borderId="0" xfId="4" applyFont="1" applyFill="1" applyAlignment="1" applyProtection="1">
      <alignment horizontal="center"/>
    </xf>
    <xf numFmtId="0" fontId="24" fillId="0" borderId="17" xfId="4" applyFont="1" applyFill="1" applyBorder="1" applyAlignment="1" applyProtection="1">
      <alignment wrapText="1"/>
      <protection locked="0"/>
    </xf>
    <xf numFmtId="0" fontId="36" fillId="0" borderId="0" xfId="0" applyFont="1" applyFill="1" applyProtection="1"/>
    <xf numFmtId="0" fontId="36" fillId="0" borderId="31" xfId="0" applyFont="1" applyFill="1" applyBorder="1" applyAlignment="1" applyProtection="1">
      <alignment vertical="center"/>
    </xf>
    <xf numFmtId="0" fontId="36" fillId="0" borderId="8" xfId="0" applyFont="1" applyFill="1" applyBorder="1" applyAlignment="1" applyProtection="1">
      <alignment horizontal="center" vertical="center"/>
    </xf>
    <xf numFmtId="0" fontId="36" fillId="0" borderId="32" xfId="0" applyFont="1" applyFill="1" applyBorder="1" applyAlignment="1" applyProtection="1">
      <alignment horizontal="center" vertical="center"/>
    </xf>
    <xf numFmtId="49" fontId="0" fillId="0" borderId="15" xfId="0" applyNumberFormat="1" applyFont="1" applyFill="1" applyBorder="1" applyAlignment="1" applyProtection="1">
      <alignment vertical="center"/>
    </xf>
    <xf numFmtId="3" fontId="0" fillId="0" borderId="2" xfId="0" applyNumberFormat="1" applyFont="1" applyFill="1" applyBorder="1" applyAlignment="1" applyProtection="1">
      <alignment vertical="center"/>
      <protection locked="0"/>
    </xf>
    <xf numFmtId="3" fontId="0" fillId="0" borderId="3" xfId="0" applyNumberFormat="1" applyFont="1" applyFill="1" applyBorder="1" applyAlignment="1" applyProtection="1">
      <alignment vertical="center"/>
    </xf>
    <xf numFmtId="49" fontId="34" fillId="0" borderId="16" xfId="0" quotePrefix="1" applyNumberFormat="1" applyFont="1" applyFill="1" applyBorder="1" applyAlignment="1" applyProtection="1">
      <alignment horizontal="left" vertical="center" indent="1"/>
    </xf>
    <xf numFmtId="3" fontId="34" fillId="0" borderId="17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0" fillId="0" borderId="16" xfId="0" applyNumberFormat="1" applyFont="1" applyFill="1" applyBorder="1" applyAlignment="1" applyProtection="1">
      <alignment vertical="center"/>
    </xf>
    <xf numFmtId="3" fontId="0" fillId="0" borderId="17" xfId="0" applyNumberFormat="1" applyFont="1" applyFill="1" applyBorder="1" applyAlignment="1" applyProtection="1">
      <alignment vertical="center"/>
      <protection locked="0"/>
    </xf>
    <xf numFmtId="3" fontId="0" fillId="0" borderId="18" xfId="0" applyNumberFormat="1" applyFont="1" applyFill="1" applyBorder="1" applyAlignment="1" applyProtection="1">
      <alignment vertical="center"/>
    </xf>
    <xf numFmtId="49" fontId="0" fillId="0" borderId="33" xfId="0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ont="1" applyFill="1" applyBorder="1" applyAlignment="1" applyProtection="1">
      <alignment vertical="center"/>
      <protection locked="0"/>
    </xf>
    <xf numFmtId="49" fontId="36" fillId="0" borderId="10" xfId="0" applyNumberFormat="1" applyFont="1" applyFill="1" applyBorder="1" applyAlignment="1" applyProtection="1">
      <alignment vertical="center"/>
    </xf>
    <xf numFmtId="3" fontId="0" fillId="0" borderId="11" xfId="0" applyNumberFormat="1" applyFont="1" applyFill="1" applyBorder="1" applyAlignment="1" applyProtection="1">
      <alignment vertical="center"/>
    </xf>
    <xf numFmtId="3" fontId="0" fillId="0" borderId="9" xfId="0" applyNumberFormat="1" applyFont="1" applyFill="1" applyBorder="1" applyAlignment="1" applyProtection="1">
      <alignment vertical="center"/>
    </xf>
    <xf numFmtId="49" fontId="0" fillId="0" borderId="16" xfId="0" applyNumberFormat="1" applyFont="1" applyFill="1" applyBorder="1" applyAlignment="1" applyProtection="1">
      <alignment horizontal="left" vertical="center"/>
    </xf>
    <xf numFmtId="49" fontId="0" fillId="0" borderId="16" xfId="0" applyNumberFormat="1" applyFont="1" applyFill="1" applyBorder="1" applyAlignment="1" applyProtection="1">
      <alignment vertical="center"/>
      <protection locked="0"/>
    </xf>
    <xf numFmtId="0" fontId="36" fillId="0" borderId="0" xfId="0" applyNumberFormat="1" applyFont="1" applyFill="1" applyBorder="1" applyAlignment="1" applyProtection="1">
      <alignment vertical="center"/>
    </xf>
    <xf numFmtId="0" fontId="2" fillId="0" borderId="22" xfId="0" applyFont="1" applyBorder="1" applyAlignment="1" applyProtection="1">
      <alignment horizontal="left" vertical="center" indent="1"/>
      <protection locked="0"/>
    </xf>
    <xf numFmtId="3" fontId="2" fillId="0" borderId="24" xfId="0" applyNumberFormat="1" applyFont="1" applyBorder="1" applyAlignment="1" applyProtection="1">
      <alignment horizontal="right" vertical="center" indent="1"/>
      <protection locked="0"/>
    </xf>
    <xf numFmtId="0" fontId="14" fillId="0" borderId="28" xfId="4" applyFont="1" applyFill="1" applyBorder="1" applyAlignment="1" applyProtection="1">
      <alignment horizontal="center" vertical="center" wrapText="1"/>
    </xf>
    <xf numFmtId="0" fontId="14" fillId="0" borderId="27" xfId="4" applyFont="1" applyFill="1" applyBorder="1" applyAlignment="1" applyProtection="1">
      <alignment horizontal="center" vertical="center" wrapText="1"/>
    </xf>
    <xf numFmtId="164" fontId="14" fillId="0" borderId="11" xfId="4" applyNumberFormat="1" applyFont="1" applyFill="1" applyBorder="1" applyAlignment="1" applyProtection="1">
      <alignment horizontal="right" vertical="center" wrapText="1"/>
    </xf>
    <xf numFmtId="164" fontId="14" fillId="0" borderId="9" xfId="4" applyNumberFormat="1" applyFont="1" applyFill="1" applyBorder="1" applyAlignment="1" applyProtection="1">
      <alignment horizontal="right" vertical="center" wrapText="1"/>
    </xf>
    <xf numFmtId="164" fontId="24" fillId="0" borderId="22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24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7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8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34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21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22" xfId="4" applyNumberFormat="1" applyFont="1" applyFill="1" applyBorder="1" applyAlignment="1" applyProtection="1">
      <alignment horizontal="right" vertical="center" wrapText="1"/>
    </xf>
    <xf numFmtId="164" fontId="24" fillId="0" borderId="24" xfId="4" applyNumberFormat="1" applyFont="1" applyFill="1" applyBorder="1" applyAlignment="1" applyProtection="1">
      <alignment horizontal="right" vertical="center" wrapText="1"/>
    </xf>
    <xf numFmtId="164" fontId="14" fillId="0" borderId="11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9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8" xfId="4" applyNumberFormat="1" applyFont="1" applyFill="1" applyBorder="1" applyAlignment="1" applyProtection="1">
      <alignment horizontal="right" vertical="center" wrapText="1" indent="1"/>
    </xf>
    <xf numFmtId="164" fontId="14" fillId="0" borderId="32" xfId="4" applyNumberFormat="1" applyFont="1" applyFill="1" applyBorder="1" applyAlignment="1" applyProtection="1">
      <alignment horizontal="right" vertical="center" wrapText="1" indent="1"/>
    </xf>
    <xf numFmtId="164" fontId="2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4" applyNumberFormat="1" applyFont="1" applyFill="1" applyBorder="1" applyAlignment="1" applyProtection="1">
      <alignment horizontal="right" vertical="center" wrapText="1" indent="1"/>
    </xf>
    <xf numFmtId="164" fontId="14" fillId="0" borderId="39" xfId="4" applyNumberFormat="1" applyFont="1" applyFill="1" applyBorder="1" applyAlignment="1" applyProtection="1">
      <alignment horizontal="right" vertical="center" wrapText="1" indent="1"/>
    </xf>
    <xf numFmtId="164" fontId="24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4" applyNumberFormat="1" applyFont="1" applyFill="1" applyBorder="1" applyAlignment="1" applyProtection="1">
      <alignment horizontal="right" vertical="center" wrapText="1" indent="1"/>
    </xf>
    <xf numFmtId="164" fontId="14" fillId="0" borderId="9" xfId="4" applyNumberFormat="1" applyFont="1" applyFill="1" applyBorder="1" applyAlignment="1" applyProtection="1">
      <alignment horizontal="right" vertical="center" wrapText="1" indent="1"/>
    </xf>
    <xf numFmtId="164" fontId="36" fillId="0" borderId="11" xfId="4" applyNumberFormat="1" applyFont="1" applyFill="1" applyBorder="1" applyAlignment="1" applyProtection="1">
      <alignment horizontal="right" vertical="center" wrapText="1" indent="1"/>
    </xf>
    <xf numFmtId="164" fontId="36" fillId="0" borderId="9" xfId="4" applyNumberFormat="1" applyFont="1" applyFill="1" applyBorder="1" applyAlignment="1" applyProtection="1">
      <alignment horizontal="right" vertical="center" wrapText="1" indent="1"/>
    </xf>
    <xf numFmtId="164" fontId="39" fillId="0" borderId="11" xfId="0" applyNumberFormat="1" applyFont="1" applyBorder="1" applyAlignment="1" applyProtection="1">
      <alignment horizontal="right" vertical="center" wrapText="1" indent="1"/>
    </xf>
    <xf numFmtId="164" fontId="39" fillId="0" borderId="9" xfId="0" applyNumberFormat="1" applyFont="1" applyBorder="1" applyAlignment="1" applyProtection="1">
      <alignment horizontal="right" vertical="center" wrapText="1" indent="1"/>
    </xf>
    <xf numFmtId="164" fontId="39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39" fillId="0" borderId="9" xfId="0" applyNumberFormat="1" applyFont="1" applyBorder="1" applyAlignment="1" applyProtection="1">
      <alignment horizontal="right" vertical="center" wrapText="1" indent="1"/>
      <protection locked="0"/>
    </xf>
    <xf numFmtId="164" fontId="39" fillId="0" borderId="11" xfId="0" quotePrefix="1" applyNumberFormat="1" applyFont="1" applyBorder="1" applyAlignment="1" applyProtection="1">
      <alignment horizontal="right" vertical="center" wrapText="1" indent="1"/>
    </xf>
    <xf numFmtId="164" fontId="39" fillId="0" borderId="9" xfId="0" quotePrefix="1" applyNumberFormat="1" applyFont="1" applyBorder="1" applyAlignment="1" applyProtection="1">
      <alignment horizontal="right" vertical="center" wrapText="1" indent="1"/>
    </xf>
    <xf numFmtId="0" fontId="11" fillId="0" borderId="32" xfId="0" applyFont="1" applyFill="1" applyBorder="1" applyAlignment="1" applyProtection="1">
      <alignment horizontal="right" vertical="center" wrapText="1" indent="1"/>
    </xf>
    <xf numFmtId="164" fontId="34" fillId="0" borderId="16" xfId="0" applyNumberFormat="1" applyFont="1" applyFill="1" applyBorder="1" applyAlignment="1" applyProtection="1">
      <alignment vertical="center" wrapText="1"/>
      <protection locked="0"/>
    </xf>
    <xf numFmtId="164" fontId="34" fillId="0" borderId="36" xfId="0" applyNumberFormat="1" applyFont="1" applyFill="1" applyBorder="1" applyAlignment="1" applyProtection="1">
      <alignment vertical="center" wrapText="1"/>
      <protection locked="0"/>
    </xf>
    <xf numFmtId="164" fontId="34" fillId="0" borderId="17" xfId="0" applyNumberFormat="1" applyFont="1" applyFill="1" applyBorder="1" applyAlignment="1" applyProtection="1">
      <alignment vertical="center" wrapText="1"/>
      <protection locked="0"/>
    </xf>
    <xf numFmtId="49" fontId="3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Fill="1" applyBorder="1" applyAlignment="1" applyProtection="1">
      <alignment vertical="center" wrapText="1"/>
    </xf>
    <xf numFmtId="164" fontId="0" fillId="0" borderId="57" xfId="0" applyNumberFormat="1" applyFont="1" applyFill="1" applyBorder="1" applyAlignment="1" applyProtection="1">
      <alignment vertical="center" wrapText="1"/>
      <protection locked="0"/>
    </xf>
    <xf numFmtId="164" fontId="0" fillId="0" borderId="18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Alignment="1">
      <alignment vertical="center" wrapText="1"/>
    </xf>
    <xf numFmtId="164" fontId="0" fillId="0" borderId="16" xfId="0" applyNumberFormat="1" applyFont="1" applyFill="1" applyBorder="1" applyAlignment="1" applyProtection="1">
      <alignment vertical="center" wrapText="1"/>
      <protection locked="0"/>
    </xf>
    <xf numFmtId="164" fontId="0" fillId="0" borderId="36" xfId="0" applyNumberFormat="1" applyFont="1" applyFill="1" applyBorder="1" applyAlignment="1" applyProtection="1">
      <alignment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  <protection locked="0"/>
    </xf>
    <xf numFmtId="164" fontId="35" fillId="0" borderId="57" xfId="0" applyNumberFormat="1" applyFont="1" applyFill="1" applyBorder="1" applyAlignment="1" applyProtection="1">
      <alignment vertical="center" wrapText="1"/>
      <protection locked="0"/>
    </xf>
    <xf numFmtId="164" fontId="35" fillId="0" borderId="0" xfId="0" applyNumberFormat="1" applyFont="1" applyFill="1" applyAlignment="1">
      <alignment vertical="center" wrapText="1"/>
    </xf>
    <xf numFmtId="164" fontId="34" fillId="0" borderId="57" xfId="0" applyNumberFormat="1" applyFont="1" applyFill="1" applyBorder="1" applyAlignment="1" applyProtection="1">
      <alignment vertical="center" wrapText="1"/>
      <protection locked="0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164" fontId="0" fillId="0" borderId="58" xfId="0" applyNumberFormat="1" applyFont="1" applyFill="1" applyBorder="1" applyAlignment="1" applyProtection="1">
      <alignment vertical="center" wrapText="1"/>
      <protection locked="0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164" fontId="0" fillId="0" borderId="21" xfId="0" applyNumberFormat="1" applyFont="1" applyFill="1" applyBorder="1" applyAlignment="1" applyProtection="1">
      <alignment vertical="center" wrapText="1"/>
    </xf>
    <xf numFmtId="164" fontId="36" fillId="0" borderId="10" xfId="0" applyNumberFormat="1" applyFont="1" applyFill="1" applyBorder="1" applyAlignment="1" applyProtection="1">
      <alignment horizontal="left" vertical="center" wrapText="1"/>
    </xf>
    <xf numFmtId="164" fontId="36" fillId="0" borderId="28" xfId="0" applyNumberFormat="1" applyFont="1" applyFill="1" applyBorder="1" applyAlignment="1" applyProtection="1">
      <alignment horizontal="left" vertical="center" wrapText="1"/>
    </xf>
    <xf numFmtId="164" fontId="36" fillId="0" borderId="11" xfId="0" applyNumberFormat="1" applyFont="1" applyFill="1" applyBorder="1" applyAlignment="1" applyProtection="1">
      <alignment vertical="center" wrapText="1"/>
    </xf>
    <xf numFmtId="3" fontId="2" fillId="0" borderId="16" xfId="0" applyNumberFormat="1" applyFont="1" applyFill="1" applyBorder="1" applyAlignment="1" applyProtection="1">
      <alignment vertical="center" wrapText="1"/>
      <protection locked="0"/>
    </xf>
    <xf numFmtId="3" fontId="2" fillId="0" borderId="36" xfId="0" applyNumberFormat="1" applyFont="1" applyFill="1" applyBorder="1" applyAlignment="1" applyProtection="1">
      <alignment vertical="center" wrapText="1"/>
      <protection locked="0"/>
    </xf>
    <xf numFmtId="3" fontId="2" fillId="0" borderId="17" xfId="0" applyNumberFormat="1" applyFont="1" applyFill="1" applyBorder="1" applyAlignment="1" applyProtection="1">
      <alignment vertical="center" wrapText="1"/>
      <protection locked="0"/>
    </xf>
    <xf numFmtId="3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7" xfId="0" applyNumberFormat="1" applyFont="1" applyFill="1" applyBorder="1" applyAlignment="1" applyProtection="1">
      <alignment vertical="center" wrapText="1"/>
    </xf>
    <xf numFmtId="3" fontId="2" fillId="0" borderId="57" xfId="0" applyNumberFormat="1" applyFont="1" applyFill="1" applyBorder="1" applyAlignment="1" applyProtection="1">
      <alignment vertical="center" wrapText="1"/>
      <protection locked="0"/>
    </xf>
    <xf numFmtId="3" fontId="7" fillId="0" borderId="57" xfId="0" applyNumberFormat="1" applyFont="1" applyFill="1" applyBorder="1" applyAlignment="1" applyProtection="1">
      <alignment vertical="center" wrapText="1"/>
      <protection locked="0"/>
    </xf>
    <xf numFmtId="3" fontId="2" fillId="0" borderId="18" xfId="0" applyNumberFormat="1" applyFont="1" applyFill="1" applyBorder="1" applyAlignment="1" applyProtection="1">
      <alignment vertical="center" wrapText="1"/>
    </xf>
    <xf numFmtId="3" fontId="8" fillId="0" borderId="16" xfId="0" applyNumberFormat="1" applyFont="1" applyFill="1" applyBorder="1" applyAlignment="1" applyProtection="1">
      <alignment vertical="center" wrapText="1"/>
      <protection locked="0"/>
    </xf>
    <xf numFmtId="3" fontId="8" fillId="0" borderId="36" xfId="0" applyNumberFormat="1" applyFont="1" applyFill="1" applyBorder="1" applyAlignment="1" applyProtection="1">
      <alignment vertical="center" wrapText="1"/>
      <protection locked="0"/>
    </xf>
    <xf numFmtId="3" fontId="8" fillId="0" borderId="17" xfId="0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Alignment="1">
      <alignment vertical="center" wrapText="1"/>
    </xf>
    <xf numFmtId="3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8" xfId="0" applyNumberFormat="1" applyFont="1" applyFill="1" applyBorder="1" applyAlignment="1" applyProtection="1">
      <alignment vertical="center" wrapText="1"/>
    </xf>
    <xf numFmtId="3" fontId="8" fillId="0" borderId="57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horizontal="left" vertical="center" wrapText="1"/>
    </xf>
    <xf numFmtId="3" fontId="7" fillId="0" borderId="28" xfId="0" applyNumberFormat="1" applyFont="1" applyFill="1" applyBorder="1" applyAlignment="1" applyProtection="1">
      <alignment horizontal="left" vertical="center" wrapText="1"/>
    </xf>
    <xf numFmtId="3" fontId="7" fillId="0" borderId="11" xfId="0" applyNumberFormat="1" applyFont="1" applyFill="1" applyBorder="1" applyAlignment="1" applyProtection="1">
      <alignment vertical="center" wrapText="1"/>
    </xf>
    <xf numFmtId="164" fontId="35" fillId="0" borderId="0" xfId="0" applyNumberFormat="1" applyFont="1" applyFill="1" applyAlignment="1" applyProtection="1">
      <alignment horizontal="right" vertical="center"/>
    </xf>
    <xf numFmtId="164" fontId="32" fillId="0" borderId="11" xfId="0" applyNumberFormat="1" applyFont="1" applyFill="1" applyBorder="1" applyAlignment="1" applyProtection="1">
      <alignment horizontal="centerContinuous" vertical="center" wrapText="1"/>
    </xf>
    <xf numFmtId="164" fontId="32" fillId="0" borderId="9" xfId="0" applyNumberFormat="1" applyFont="1" applyFill="1" applyBorder="1" applyAlignment="1" applyProtection="1">
      <alignment horizontal="centerContinuous" vertical="center" wrapText="1"/>
    </xf>
    <xf numFmtId="164" fontId="16" fillId="0" borderId="11" xfId="0" applyNumberFormat="1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37" fillId="0" borderId="22" xfId="0" applyNumberFormat="1" applyFont="1" applyFill="1" applyBorder="1" applyAlignment="1" applyProtection="1">
      <alignment horizontal="right" vertical="center" wrapText="1" indent="1"/>
    </xf>
    <xf numFmtId="164" fontId="37" fillId="0" borderId="17" xfId="0" applyNumberFormat="1" applyFont="1" applyFill="1" applyBorder="1" applyAlignment="1" applyProtection="1">
      <alignment horizontal="right" vertical="center" wrapText="1" indent="1"/>
    </xf>
    <xf numFmtId="164" fontId="36" fillId="0" borderId="27" xfId="0" applyNumberFormat="1" applyFont="1" applyFill="1" applyBorder="1" applyAlignment="1" applyProtection="1">
      <alignment horizontal="right" vertical="center" wrapText="1" indent="1"/>
    </xf>
    <xf numFmtId="164" fontId="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19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4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right" vertical="center" wrapText="1" indent="1"/>
    </xf>
    <xf numFmtId="0" fontId="28" fillId="0" borderId="0" xfId="4" applyFont="1" applyFill="1" applyProtection="1"/>
    <xf numFmtId="0" fontId="28" fillId="0" borderId="0" xfId="4" applyFont="1" applyFill="1" applyAlignment="1" applyProtection="1">
      <alignment horizontal="right" vertical="center" indent="1"/>
    </xf>
    <xf numFmtId="164" fontId="14" fillId="0" borderId="56" xfId="4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center"/>
    </xf>
    <xf numFmtId="164" fontId="15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4" applyNumberFormat="1" applyFont="1" applyFill="1" applyBorder="1" applyAlignment="1" applyProtection="1">
      <alignment horizontal="righ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</xf>
    <xf numFmtId="164" fontId="1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6" xfId="4" applyNumberFormat="1" applyFont="1" applyFill="1" applyBorder="1" applyAlignment="1" applyProtection="1">
      <alignment horizontal="right" vertical="center" wrapText="1" indent="1"/>
    </xf>
    <xf numFmtId="164" fontId="16" fillId="0" borderId="25" xfId="4" applyNumberFormat="1" applyFont="1" applyFill="1" applyBorder="1" applyAlignment="1" applyProtection="1">
      <alignment horizontal="righ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4" applyNumberFormat="1" applyFont="1" applyFill="1" applyBorder="1" applyAlignment="1" applyProtection="1">
      <alignment horizontal="right" vertical="center" wrapText="1" indent="1"/>
    </xf>
    <xf numFmtId="164" fontId="21" fillId="0" borderId="11" xfId="0" quotePrefix="1" applyNumberFormat="1" applyFont="1" applyBorder="1" applyAlignment="1" applyProtection="1">
      <alignment horizontal="right" vertical="center" wrapText="1" indent="1"/>
      <protection locked="0"/>
    </xf>
    <xf numFmtId="164" fontId="21" fillId="0" borderId="11" xfId="0" quotePrefix="1" applyNumberFormat="1" applyFont="1" applyBorder="1" applyAlignment="1" applyProtection="1">
      <alignment horizontal="right" vertical="center" wrapText="1" indent="1"/>
    </xf>
    <xf numFmtId="0" fontId="51" fillId="0" borderId="0" xfId="5" applyFont="1" applyFill="1" applyProtection="1"/>
    <xf numFmtId="0" fontId="51" fillId="0" borderId="0" xfId="5" applyFont="1" applyFill="1" applyProtection="1">
      <protection locked="0"/>
    </xf>
    <xf numFmtId="0" fontId="42" fillId="0" borderId="0" xfId="5" applyFont="1" applyFill="1" applyProtection="1"/>
    <xf numFmtId="0" fontId="42" fillId="0" borderId="0" xfId="5" applyFont="1" applyFill="1" applyAlignment="1" applyProtection="1">
      <alignment horizontal="center" wrapText="1"/>
    </xf>
    <xf numFmtId="0" fontId="43" fillId="0" borderId="0" xfId="0" applyFont="1" applyFill="1" applyAlignment="1">
      <alignment horizontal="right"/>
    </xf>
    <xf numFmtId="0" fontId="42" fillId="0" borderId="31" xfId="5" applyFont="1" applyFill="1" applyBorder="1" applyAlignment="1" applyProtection="1">
      <alignment horizontal="center" vertical="center" wrapText="1"/>
    </xf>
    <xf numFmtId="0" fontId="42" fillId="0" borderId="8" xfId="5" applyFont="1" applyFill="1" applyBorder="1" applyAlignment="1" applyProtection="1">
      <alignment horizontal="center" vertical="center"/>
    </xf>
    <xf numFmtId="0" fontId="42" fillId="0" borderId="32" xfId="5" applyFont="1" applyFill="1" applyBorder="1" applyAlignment="1" applyProtection="1">
      <alignment horizontal="center" vertical="center"/>
    </xf>
    <xf numFmtId="0" fontId="42" fillId="0" borderId="10" xfId="5" applyFont="1" applyFill="1" applyBorder="1" applyAlignment="1" applyProtection="1">
      <alignment horizontal="left" vertical="center" indent="1"/>
    </xf>
    <xf numFmtId="0" fontId="42" fillId="0" borderId="0" xfId="5" applyFont="1" applyFill="1" applyAlignment="1" applyProtection="1">
      <alignment vertical="center"/>
    </xf>
    <xf numFmtId="0" fontId="51" fillId="0" borderId="16" xfId="5" applyFont="1" applyFill="1" applyBorder="1" applyAlignment="1" applyProtection="1">
      <alignment horizontal="left" vertical="center" indent="1"/>
    </xf>
    <xf numFmtId="0" fontId="51" fillId="0" borderId="17" xfId="5" applyFont="1" applyFill="1" applyBorder="1" applyAlignment="1" applyProtection="1">
      <alignment horizontal="left" vertical="center" indent="1"/>
    </xf>
    <xf numFmtId="164" fontId="51" fillId="0" borderId="17" xfId="5" applyNumberFormat="1" applyFont="1" applyFill="1" applyBorder="1" applyAlignment="1" applyProtection="1">
      <alignment vertical="center"/>
      <protection locked="0"/>
    </xf>
    <xf numFmtId="164" fontId="42" fillId="0" borderId="18" xfId="5" applyNumberFormat="1" applyFont="1" applyFill="1" applyBorder="1" applyAlignment="1" applyProtection="1">
      <alignment vertical="center"/>
    </xf>
    <xf numFmtId="0" fontId="51" fillId="0" borderId="0" xfId="5" applyFont="1" applyFill="1" applyAlignment="1" applyProtection="1">
      <alignment vertical="center"/>
      <protection locked="0"/>
    </xf>
    <xf numFmtId="0" fontId="51" fillId="0" borderId="10" xfId="5" applyFont="1" applyFill="1" applyBorder="1" applyAlignment="1" applyProtection="1">
      <alignment horizontal="left" vertical="center" indent="1"/>
    </xf>
    <xf numFmtId="0" fontId="42" fillId="0" borderId="11" xfId="5" applyFont="1" applyFill="1" applyBorder="1" applyAlignment="1" applyProtection="1">
      <alignment horizontal="left" vertical="center" indent="1"/>
    </xf>
    <xf numFmtId="164" fontId="42" fillId="0" borderId="11" xfId="5" applyNumberFormat="1" applyFont="1" applyFill="1" applyBorder="1" applyAlignment="1" applyProtection="1">
      <alignment vertical="center"/>
    </xf>
    <xf numFmtId="164" fontId="42" fillId="0" borderId="9" xfId="5" applyNumberFormat="1" applyFont="1" applyFill="1" applyBorder="1" applyAlignment="1" applyProtection="1">
      <alignment vertical="center"/>
    </xf>
    <xf numFmtId="0" fontId="51" fillId="0" borderId="0" xfId="5" applyFont="1" applyFill="1" applyAlignment="1" applyProtection="1">
      <alignment vertical="center"/>
    </xf>
    <xf numFmtId="0" fontId="51" fillId="0" borderId="56" xfId="5" applyFont="1" applyFill="1" applyBorder="1" applyAlignment="1" applyProtection="1">
      <alignment horizontal="left" vertical="center" indent="1"/>
    </xf>
    <xf numFmtId="0" fontId="42" fillId="0" borderId="56" xfId="5" applyFont="1" applyFill="1" applyBorder="1" applyAlignment="1" applyProtection="1">
      <alignment horizontal="left" vertical="center" indent="1"/>
    </xf>
    <xf numFmtId="164" fontId="42" fillId="0" borderId="56" xfId="5" applyNumberFormat="1" applyFont="1" applyFill="1" applyBorder="1" applyAlignment="1" applyProtection="1">
      <alignment vertical="center"/>
    </xf>
    <xf numFmtId="0" fontId="51" fillId="0" borderId="0" xfId="5" applyFont="1" applyFill="1" applyBorder="1" applyAlignment="1" applyProtection="1">
      <alignment horizontal="left" vertical="center" indent="1"/>
    </xf>
    <xf numFmtId="0" fontId="42" fillId="0" borderId="0" xfId="5" applyFont="1" applyFill="1" applyBorder="1" applyAlignment="1" applyProtection="1">
      <alignment horizontal="left" vertical="center" indent="1"/>
    </xf>
    <xf numFmtId="164" fontId="42" fillId="0" borderId="0" xfId="5" applyNumberFormat="1" applyFont="1" applyFill="1" applyBorder="1" applyAlignment="1" applyProtection="1">
      <alignment vertical="center"/>
    </xf>
    <xf numFmtId="0" fontId="51" fillId="0" borderId="0" xfId="5" applyFont="1" applyFill="1" applyBorder="1" applyAlignment="1" applyProtection="1">
      <alignment vertical="center"/>
    </xf>
    <xf numFmtId="0" fontId="42" fillId="0" borderId="35" xfId="5" applyFont="1" applyFill="1" applyBorder="1" applyAlignment="1" applyProtection="1">
      <alignment horizontal="left" vertical="center" indent="1"/>
    </xf>
    <xf numFmtId="0" fontId="51" fillId="0" borderId="59" xfId="5" applyFont="1" applyFill="1" applyBorder="1" applyAlignment="1" applyProtection="1">
      <alignment horizontal="left" vertical="center" indent="1"/>
    </xf>
    <xf numFmtId="0" fontId="42" fillId="0" borderId="29" xfId="5" applyFont="1" applyFill="1" applyBorder="1" applyAlignment="1" applyProtection="1">
      <alignment horizontal="left" vertical="center" indent="1"/>
    </xf>
    <xf numFmtId="164" fontId="42" fillId="0" borderId="29" xfId="5" applyNumberFormat="1" applyFont="1" applyFill="1" applyBorder="1" applyAlignment="1" applyProtection="1">
      <alignment vertical="center"/>
    </xf>
    <xf numFmtId="0" fontId="32" fillId="0" borderId="9" xfId="4" applyFont="1" applyFill="1" applyBorder="1" applyAlignment="1" applyProtection="1">
      <alignment horizontal="center" vertical="center" wrapText="1"/>
    </xf>
    <xf numFmtId="0" fontId="0" fillId="0" borderId="0" xfId="4" applyFont="1" applyFill="1"/>
    <xf numFmtId="0" fontId="0" fillId="0" borderId="0" xfId="4" applyFont="1" applyFill="1" applyAlignment="1">
      <alignment horizontal="right" vertical="center" indent="1"/>
    </xf>
    <xf numFmtId="164" fontId="0" fillId="0" borderId="0" xfId="4" applyNumberFormat="1" applyFont="1" applyFill="1"/>
    <xf numFmtId="164" fontId="23" fillId="0" borderId="30" xfId="4" applyNumberFormat="1" applyFont="1" applyFill="1" applyBorder="1" applyAlignment="1" applyProtection="1">
      <alignment horizontal="left" vertical="center"/>
    </xf>
    <xf numFmtId="164" fontId="12" fillId="0" borderId="0" xfId="4" applyNumberFormat="1" applyFont="1" applyFill="1" applyBorder="1" applyAlignment="1" applyProtection="1">
      <alignment horizontal="center" vertical="center"/>
    </xf>
    <xf numFmtId="164" fontId="23" fillId="0" borderId="30" xfId="4" applyNumberFormat="1" applyFont="1" applyFill="1" applyBorder="1" applyAlignment="1" applyProtection="1">
      <alignment horizontal="left"/>
    </xf>
    <xf numFmtId="0" fontId="7" fillId="0" borderId="0" xfId="4" applyFont="1" applyFill="1" applyAlignment="1" applyProtection="1">
      <alignment horizontal="center"/>
    </xf>
    <xf numFmtId="164" fontId="32" fillId="0" borderId="60" xfId="0" applyNumberFormat="1" applyFont="1" applyFill="1" applyBorder="1" applyAlignment="1" applyProtection="1">
      <alignment horizontal="center" vertical="center" wrapText="1"/>
    </xf>
    <xf numFmtId="164" fontId="32" fillId="0" borderId="61" xfId="0" applyNumberFormat="1" applyFont="1" applyFill="1" applyBorder="1" applyAlignment="1" applyProtection="1">
      <alignment horizontal="center" vertical="center" wrapText="1"/>
    </xf>
    <xf numFmtId="164" fontId="38" fillId="0" borderId="56" xfId="0" applyNumberFormat="1" applyFont="1" applyFill="1" applyBorder="1" applyAlignment="1" applyProtection="1">
      <alignment horizontal="center" vertical="center" wrapText="1"/>
    </xf>
    <xf numFmtId="164" fontId="32" fillId="0" borderId="62" xfId="0" applyNumberFormat="1" applyFont="1" applyFill="1" applyBorder="1" applyAlignment="1" applyProtection="1">
      <alignment horizontal="center" vertical="center" wrapText="1"/>
    </xf>
    <xf numFmtId="164" fontId="32" fillId="0" borderId="63" xfId="0" applyNumberFormat="1" applyFont="1" applyFill="1" applyBorder="1" applyAlignment="1" applyProtection="1">
      <alignment horizontal="center" vertical="center" wrapText="1"/>
    </xf>
    <xf numFmtId="164" fontId="29" fillId="0" borderId="0" xfId="4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/>
    </xf>
    <xf numFmtId="0" fontId="14" fillId="0" borderId="3" xfId="4" applyFont="1" applyFill="1" applyBorder="1" applyAlignment="1">
      <alignment horizontal="center" vertical="center" wrapText="1"/>
    </xf>
    <xf numFmtId="0" fontId="14" fillId="0" borderId="21" xfId="4" applyFont="1" applyFill="1" applyBorder="1" applyAlignment="1">
      <alignment horizontal="center" vertical="center" wrapText="1"/>
    </xf>
    <xf numFmtId="0" fontId="14" fillId="0" borderId="15" xfId="4" applyFont="1" applyFill="1" applyBorder="1" applyAlignment="1">
      <alignment horizontal="center" vertical="center" wrapText="1"/>
    </xf>
    <xf numFmtId="0" fontId="14" fillId="0" borderId="33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34" xfId="4" applyFont="1" applyFill="1" applyBorder="1" applyAlignment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32" fillId="0" borderId="10" xfId="4" applyFont="1" applyFill="1" applyBorder="1" applyAlignment="1" applyProtection="1">
      <alignment horizontal="left"/>
    </xf>
    <xf numFmtId="0" fontId="32" fillId="0" borderId="11" xfId="4" applyFont="1" applyFill="1" applyBorder="1" applyAlignment="1" applyProtection="1">
      <alignment horizontal="left"/>
    </xf>
    <xf numFmtId="0" fontId="18" fillId="0" borderId="56" xfId="4" applyFont="1" applyFill="1" applyBorder="1" applyAlignment="1">
      <alignment horizontal="justify" vertical="center" wrapText="1"/>
    </xf>
    <xf numFmtId="3" fontId="7" fillId="0" borderId="0" xfId="0" applyNumberFormat="1" applyFont="1" applyFill="1" applyAlignment="1">
      <alignment horizontal="center" vertical="center" wrapText="1"/>
    </xf>
    <xf numFmtId="3" fontId="2" fillId="0" borderId="4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 applyProtection="1">
      <alignment horizontal="left"/>
    </xf>
    <xf numFmtId="0" fontId="35" fillId="0" borderId="0" xfId="0" applyFont="1" applyFill="1" applyBorder="1" applyAlignment="1" applyProtection="1">
      <alignment horizontal="right"/>
    </xf>
    <xf numFmtId="0" fontId="36" fillId="0" borderId="7" xfId="0" applyFont="1" applyFill="1" applyBorder="1" applyAlignment="1" applyProtection="1">
      <alignment horizontal="left" indent="1"/>
    </xf>
    <xf numFmtId="0" fontId="36" fillId="0" borderId="29" xfId="0" applyFont="1" applyFill="1" applyBorder="1" applyAlignment="1" applyProtection="1">
      <alignment horizontal="left" indent="1"/>
    </xf>
    <xf numFmtId="0" fontId="36" fillId="0" borderId="28" xfId="0" applyFont="1" applyFill="1" applyBorder="1" applyAlignment="1" applyProtection="1">
      <alignment horizontal="left" indent="1"/>
    </xf>
    <xf numFmtId="0" fontId="0" fillId="0" borderId="2" xfId="0" applyFont="1" applyFill="1" applyBorder="1" applyAlignment="1" applyProtection="1">
      <alignment horizontal="right" indent="1"/>
      <protection locked="0"/>
    </xf>
    <xf numFmtId="0" fontId="0" fillId="0" borderId="3" xfId="0" applyFont="1" applyFill="1" applyBorder="1" applyAlignment="1" applyProtection="1">
      <alignment horizontal="right" indent="1"/>
      <protection locked="0"/>
    </xf>
    <xf numFmtId="0" fontId="0" fillId="0" borderId="34" xfId="0" applyFont="1" applyFill="1" applyBorder="1" applyAlignment="1" applyProtection="1">
      <alignment horizontal="right" indent="1"/>
      <protection locked="0"/>
    </xf>
    <xf numFmtId="0" fontId="0" fillId="0" borderId="21" xfId="0" applyFont="1" applyFill="1" applyBorder="1" applyAlignment="1" applyProtection="1">
      <alignment horizontal="right" indent="1"/>
      <protection locked="0"/>
    </xf>
    <xf numFmtId="0" fontId="36" fillId="0" borderId="11" xfId="0" applyFont="1" applyFill="1" applyBorder="1" applyAlignment="1" applyProtection="1">
      <alignment horizontal="right" indent="1"/>
    </xf>
    <xf numFmtId="0" fontId="36" fillId="0" borderId="9" xfId="0" applyFont="1" applyFill="1" applyBorder="1" applyAlignment="1" applyProtection="1">
      <alignment horizontal="right" indent="1"/>
    </xf>
    <xf numFmtId="0" fontId="36" fillId="0" borderId="8" xfId="0" applyFont="1" applyFill="1" applyBorder="1" applyAlignment="1" applyProtection="1">
      <alignment horizontal="center"/>
    </xf>
    <xf numFmtId="0" fontId="36" fillId="0" borderId="32" xfId="0" applyFont="1" applyFill="1" applyBorder="1" applyAlignment="1" applyProtection="1">
      <alignment horizontal="center"/>
    </xf>
    <xf numFmtId="0" fontId="36" fillId="0" borderId="64" xfId="0" applyFont="1" applyFill="1" applyBorder="1" applyAlignment="1" applyProtection="1">
      <alignment horizontal="center"/>
    </xf>
    <xf numFmtId="0" fontId="36" fillId="0" borderId="56" xfId="0" applyFont="1" applyFill="1" applyBorder="1" applyAlignment="1" applyProtection="1">
      <alignment horizontal="center"/>
    </xf>
    <xf numFmtId="0" fontId="36" fillId="0" borderId="65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 indent="1"/>
      <protection locked="0"/>
    </xf>
    <xf numFmtId="0" fontId="0" fillId="0" borderId="66" xfId="0" applyFont="1" applyFill="1" applyBorder="1" applyAlignment="1" applyProtection="1">
      <alignment horizontal="left" indent="1"/>
      <protection locked="0"/>
    </xf>
    <xf numFmtId="0" fontId="0" fillId="0" borderId="67" xfId="0" applyFont="1" applyFill="1" applyBorder="1" applyAlignment="1" applyProtection="1">
      <alignment horizontal="left" indent="1"/>
      <protection locked="0"/>
    </xf>
    <xf numFmtId="0" fontId="0" fillId="0" borderId="12" xfId="0" applyFont="1" applyFill="1" applyBorder="1" applyAlignment="1" applyProtection="1">
      <alignment horizontal="left" indent="1"/>
      <protection locked="0"/>
    </xf>
    <xf numFmtId="0" fontId="0" fillId="0" borderId="13" xfId="0" applyFont="1" applyFill="1" applyBorder="1" applyAlignment="1" applyProtection="1">
      <alignment horizontal="left" indent="1"/>
      <protection locked="0"/>
    </xf>
    <xf numFmtId="0" fontId="0" fillId="0" borderId="58" xfId="0" applyFont="1" applyFill="1" applyBorder="1" applyAlignment="1" applyProtection="1">
      <alignment horizontal="left" inden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>
      <alignment horizontal="center" wrapText="1"/>
    </xf>
    <xf numFmtId="164" fontId="14" fillId="0" borderId="0" xfId="4" applyNumberFormat="1" applyFont="1" applyFill="1" applyBorder="1" applyAlignment="1" applyProtection="1">
      <alignment horizontal="center" vertical="center"/>
    </xf>
    <xf numFmtId="164" fontId="35" fillId="0" borderId="30" xfId="4" applyNumberFormat="1" applyFont="1" applyFill="1" applyBorder="1" applyAlignment="1" applyProtection="1">
      <alignment horizontal="left"/>
    </xf>
    <xf numFmtId="164" fontId="35" fillId="0" borderId="30" xfId="4" applyNumberFormat="1" applyFont="1" applyFill="1" applyBorder="1" applyAlignment="1" applyProtection="1">
      <alignment horizontal="left" vertical="center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7" xfId="0" applyNumberFormat="1" applyFont="1" applyFill="1" applyBorder="1" applyAlignment="1" applyProtection="1">
      <alignment horizontal="left" vertical="center" wrapText="1" indent="2"/>
    </xf>
    <xf numFmtId="164" fontId="32" fillId="0" borderId="27" xfId="0" applyNumberFormat="1" applyFont="1" applyFill="1" applyBorder="1" applyAlignment="1" applyProtection="1">
      <alignment horizontal="left" vertical="center" wrapText="1" indent="2"/>
    </xf>
    <xf numFmtId="164" fontId="32" fillId="0" borderId="60" xfId="0" applyNumberFormat="1" applyFont="1" applyFill="1" applyBorder="1" applyAlignment="1" applyProtection="1">
      <alignment horizontal="center" vertical="center"/>
    </xf>
    <xf numFmtId="164" fontId="32" fillId="0" borderId="61" xfId="0" applyNumberFormat="1" applyFont="1" applyFill="1" applyBorder="1" applyAlignment="1" applyProtection="1">
      <alignment horizontal="center" vertical="center"/>
    </xf>
    <xf numFmtId="164" fontId="32" fillId="0" borderId="1" xfId="0" applyNumberFormat="1" applyFont="1" applyFill="1" applyBorder="1" applyAlignment="1" applyProtection="1">
      <alignment horizontal="center" vertical="center"/>
    </xf>
    <xf numFmtId="164" fontId="32" fillId="0" borderId="66" xfId="0" applyNumberFormat="1" applyFont="1" applyFill="1" applyBorder="1" applyAlignment="1" applyProtection="1">
      <alignment horizontal="center" vertical="center"/>
    </xf>
    <xf numFmtId="164" fontId="32" fillId="0" borderId="41" xfId="0" applyNumberFormat="1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>
      <alignment horizontal="justify" vertical="center" wrapText="1"/>
    </xf>
    <xf numFmtId="0" fontId="42" fillId="0" borderId="0" xfId="0" applyFont="1" applyAlignment="1">
      <alignment horizontal="center" wrapText="1"/>
    </xf>
    <xf numFmtId="0" fontId="43" fillId="0" borderId="46" xfId="5" applyFont="1" applyFill="1" applyBorder="1" applyAlignment="1" applyProtection="1">
      <alignment horizontal="left" vertical="center" indent="1"/>
    </xf>
    <xf numFmtId="0" fontId="43" fillId="0" borderId="30" xfId="5" applyFont="1" applyFill="1" applyBorder="1" applyAlignment="1" applyProtection="1">
      <alignment horizontal="left" vertical="center" indent="1"/>
    </xf>
    <xf numFmtId="0" fontId="43" fillId="0" borderId="6" xfId="5" applyFont="1" applyFill="1" applyBorder="1" applyAlignment="1" applyProtection="1">
      <alignment horizontal="left" vertical="center" indent="1"/>
    </xf>
    <xf numFmtId="0" fontId="52" fillId="0" borderId="0" xfId="5" applyFont="1" applyFill="1" applyAlignment="1" applyProtection="1">
      <alignment horizontal="center"/>
      <protection locked="0"/>
    </xf>
    <xf numFmtId="0" fontId="42" fillId="0" borderId="0" xfId="5" applyFont="1" applyFill="1" applyAlignment="1" applyProtection="1">
      <alignment horizontal="center" wrapText="1"/>
    </xf>
    <xf numFmtId="0" fontId="42" fillId="0" borderId="0" xfId="5" applyFont="1" applyFill="1" applyAlignment="1" applyProtection="1">
      <alignment horizontal="center"/>
    </xf>
    <xf numFmtId="0" fontId="43" fillId="0" borderId="44" xfId="5" applyFont="1" applyFill="1" applyBorder="1" applyAlignment="1" applyProtection="1">
      <alignment horizontal="left" vertical="center" indent="1"/>
    </xf>
    <xf numFmtId="0" fontId="43" fillId="0" borderId="29" xfId="5" applyFont="1" applyFill="1" applyBorder="1" applyAlignment="1" applyProtection="1">
      <alignment horizontal="left" vertical="center" indent="1"/>
    </xf>
    <xf numFmtId="0" fontId="43" fillId="0" borderId="27" xfId="5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 applyProtection="1">
      <alignment horizontal="left" vertical="center" indent="2"/>
    </xf>
    <xf numFmtId="0" fontId="7" fillId="0" borderId="28" xfId="0" applyFont="1" applyBorder="1" applyAlignment="1" applyProtection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FFC000"/>
  </sheetPr>
  <dimension ref="A1:E163"/>
  <sheetViews>
    <sheetView view="pageLayout" topLeftCell="A92" zoomScaleNormal="98" zoomScaleSheetLayoutView="100" workbookViewId="0">
      <selection activeCell="H117" sqref="H117"/>
    </sheetView>
  </sheetViews>
  <sheetFormatPr defaultRowHeight="15.75"/>
  <cols>
    <col min="1" max="1" width="9.5" style="71" customWidth="1"/>
    <col min="2" max="2" width="71.6640625" style="71" customWidth="1"/>
    <col min="3" max="5" width="21.6640625" style="146" customWidth="1"/>
    <col min="6" max="16384" width="9.33203125" style="71"/>
  </cols>
  <sheetData>
    <row r="1" spans="1:5">
      <c r="B1" s="510" t="s">
        <v>690</v>
      </c>
    </row>
    <row r="2" spans="1:5">
      <c r="B2" s="510" t="s">
        <v>689</v>
      </c>
    </row>
    <row r="5" spans="1:5" ht="15.95" customHeight="1">
      <c r="A5" s="692" t="s">
        <v>13</v>
      </c>
      <c r="B5" s="692"/>
      <c r="C5" s="71"/>
      <c r="D5" s="71"/>
      <c r="E5" s="71"/>
    </row>
    <row r="6" spans="1:5" ht="15.95" customHeight="1" thickBot="1">
      <c r="A6" s="691" t="s">
        <v>144</v>
      </c>
      <c r="B6" s="691"/>
      <c r="C6" s="72" t="s">
        <v>589</v>
      </c>
      <c r="D6" s="72" t="s">
        <v>589</v>
      </c>
      <c r="E6" s="72" t="s">
        <v>589</v>
      </c>
    </row>
    <row r="7" spans="1:5" ht="38.1" customHeight="1" thickBot="1">
      <c r="A7" s="73" t="s">
        <v>66</v>
      </c>
      <c r="B7" s="74" t="s">
        <v>15</v>
      </c>
      <c r="C7" s="16" t="s">
        <v>688</v>
      </c>
      <c r="D7" s="16" t="s">
        <v>739</v>
      </c>
      <c r="E7" s="16" t="s">
        <v>744</v>
      </c>
    </row>
    <row r="8" spans="1:5" s="78" customFormat="1" ht="12" customHeight="1" thickBot="1">
      <c r="A8" s="75" t="s">
        <v>486</v>
      </c>
      <c r="B8" s="76" t="s">
        <v>487</v>
      </c>
      <c r="C8" s="77" t="s">
        <v>488</v>
      </c>
      <c r="D8" s="77" t="s">
        <v>488</v>
      </c>
      <c r="E8" s="77" t="s">
        <v>488</v>
      </c>
    </row>
    <row r="9" spans="1:5" s="82" customFormat="1" ht="12" customHeight="1" thickBot="1">
      <c r="A9" s="79" t="s">
        <v>16</v>
      </c>
      <c r="B9" s="80" t="s">
        <v>244</v>
      </c>
      <c r="C9" s="81">
        <f>+C10+C11+C12+C13+C14+C15</f>
        <v>218395679</v>
      </c>
      <c r="D9" s="81">
        <f>+D10+D11+D12+D13+D14+D15</f>
        <v>218917790</v>
      </c>
      <c r="E9" s="81">
        <f>+E10+E11+E12+E13+E14+E15</f>
        <v>217376765</v>
      </c>
    </row>
    <row r="10" spans="1:5" s="82" customFormat="1" ht="12" customHeight="1">
      <c r="A10" s="83" t="s">
        <v>95</v>
      </c>
      <c r="B10" s="84" t="s">
        <v>245</v>
      </c>
      <c r="C10" s="85">
        <v>117822978</v>
      </c>
      <c r="D10" s="85">
        <v>117822978</v>
      </c>
      <c r="E10" s="85">
        <v>117822978</v>
      </c>
    </row>
    <row r="11" spans="1:5" s="82" customFormat="1" ht="12" customHeight="1">
      <c r="A11" s="86" t="s">
        <v>96</v>
      </c>
      <c r="B11" s="87" t="s">
        <v>246</v>
      </c>
      <c r="C11" s="88">
        <v>56900500</v>
      </c>
      <c r="D11" s="88">
        <v>56900500</v>
      </c>
      <c r="E11" s="88">
        <v>54085700</v>
      </c>
    </row>
    <row r="12" spans="1:5" s="82" customFormat="1" ht="12" customHeight="1">
      <c r="A12" s="86" t="s">
        <v>97</v>
      </c>
      <c r="B12" s="87" t="s">
        <v>247</v>
      </c>
      <c r="C12" s="88">
        <v>40194081</v>
      </c>
      <c r="D12" s="88">
        <v>40194081</v>
      </c>
      <c r="E12" s="88">
        <v>40042081</v>
      </c>
    </row>
    <row r="13" spans="1:5" s="82" customFormat="1" ht="12" customHeight="1">
      <c r="A13" s="86" t="s">
        <v>98</v>
      </c>
      <c r="B13" s="87" t="s">
        <v>248</v>
      </c>
      <c r="C13" s="88">
        <v>3063720</v>
      </c>
      <c r="D13" s="88">
        <f>3063720+280587</f>
        <v>3344307</v>
      </c>
      <c r="E13" s="88">
        <v>3942952</v>
      </c>
    </row>
    <row r="14" spans="1:5" s="82" customFormat="1" ht="12" customHeight="1">
      <c r="A14" s="86" t="s">
        <v>141</v>
      </c>
      <c r="B14" s="89" t="s">
        <v>429</v>
      </c>
      <c r="C14" s="88">
        <v>414400</v>
      </c>
      <c r="D14" s="88">
        <f>414400+241524</f>
        <v>655924</v>
      </c>
      <c r="E14" s="88">
        <v>1483054</v>
      </c>
    </row>
    <row r="15" spans="1:5" s="82" customFormat="1" ht="12" customHeight="1" thickBot="1">
      <c r="A15" s="90" t="s">
        <v>99</v>
      </c>
      <c r="B15" s="91" t="s">
        <v>430</v>
      </c>
      <c r="C15" s="88"/>
      <c r="D15" s="88"/>
      <c r="E15" s="88"/>
    </row>
    <row r="16" spans="1:5" s="82" customFormat="1" ht="12" customHeight="1" thickBot="1">
      <c r="A16" s="79" t="s">
        <v>17</v>
      </c>
      <c r="B16" s="92" t="s">
        <v>249</v>
      </c>
      <c r="C16" s="81">
        <f>+C17+C18+C19+C20+C21</f>
        <v>75494632</v>
      </c>
      <c r="D16" s="81">
        <f>+D17+D18+D19+D20+D21</f>
        <v>78433035</v>
      </c>
      <c r="E16" s="81">
        <f>+E17+E18+E19+E20+E21</f>
        <v>79375025</v>
      </c>
    </row>
    <row r="17" spans="1:5" s="82" customFormat="1" ht="12" customHeight="1">
      <c r="A17" s="83" t="s">
        <v>101</v>
      </c>
      <c r="B17" s="84" t="s">
        <v>250</v>
      </c>
      <c r="C17" s="85"/>
      <c r="D17" s="85"/>
      <c r="E17" s="85"/>
    </row>
    <row r="18" spans="1:5" s="82" customFormat="1" ht="12" customHeight="1">
      <c r="A18" s="86" t="s">
        <v>102</v>
      </c>
      <c r="B18" s="87" t="s">
        <v>251</v>
      </c>
      <c r="C18" s="88"/>
      <c r="D18" s="88"/>
      <c r="E18" s="88"/>
    </row>
    <row r="19" spans="1:5" s="82" customFormat="1" ht="12" customHeight="1">
      <c r="A19" s="86" t="s">
        <v>103</v>
      </c>
      <c r="B19" s="87" t="s">
        <v>419</v>
      </c>
      <c r="C19" s="88"/>
      <c r="D19" s="88"/>
      <c r="E19" s="88"/>
    </row>
    <row r="20" spans="1:5" s="82" customFormat="1" ht="12" customHeight="1">
      <c r="A20" s="86" t="s">
        <v>104</v>
      </c>
      <c r="B20" s="87" t="s">
        <v>420</v>
      </c>
      <c r="C20" s="88"/>
      <c r="D20" s="88"/>
      <c r="E20" s="88"/>
    </row>
    <row r="21" spans="1:5" s="82" customFormat="1" ht="12" customHeight="1">
      <c r="A21" s="86" t="s">
        <v>105</v>
      </c>
      <c r="B21" s="87" t="s">
        <v>252</v>
      </c>
      <c r="C21" s="88">
        <f>73241871+1252761+1000000</f>
        <v>75494632</v>
      </c>
      <c r="D21" s="88">
        <f>74062703+1252761+1000000+78540+119640+1919391</f>
        <v>78433035</v>
      </c>
      <c r="E21" s="88">
        <f>79375025</f>
        <v>79375025</v>
      </c>
    </row>
    <row r="22" spans="1:5" s="82" customFormat="1" ht="12" customHeight="1" thickBot="1">
      <c r="A22" s="90" t="s">
        <v>114</v>
      </c>
      <c r="B22" s="91" t="s">
        <v>253</v>
      </c>
      <c r="C22" s="93"/>
      <c r="D22" s="93"/>
      <c r="E22" s="93"/>
    </row>
    <row r="23" spans="1:5" s="82" customFormat="1" ht="12" customHeight="1" thickBot="1">
      <c r="A23" s="79" t="s">
        <v>18</v>
      </c>
      <c r="B23" s="80" t="s">
        <v>254</v>
      </c>
      <c r="C23" s="81">
        <f>+C24+C25+C26+C27+C28</f>
        <v>55972518</v>
      </c>
      <c r="D23" s="81">
        <f>+D24+D25+D26+D27+D28</f>
        <v>55972518</v>
      </c>
      <c r="E23" s="81">
        <f>+E24+E25+E26+E27+E28</f>
        <v>63789960</v>
      </c>
    </row>
    <row r="24" spans="1:5" s="82" customFormat="1" ht="12" customHeight="1">
      <c r="A24" s="83" t="s">
        <v>84</v>
      </c>
      <c r="B24" s="84" t="s">
        <v>255</v>
      </c>
      <c r="C24" s="85"/>
      <c r="D24" s="85"/>
      <c r="E24" s="85"/>
    </row>
    <row r="25" spans="1:5" s="82" customFormat="1" ht="12" customHeight="1">
      <c r="A25" s="86" t="s">
        <v>85</v>
      </c>
      <c r="B25" s="87" t="s">
        <v>256</v>
      </c>
      <c r="C25" s="88"/>
      <c r="D25" s="88"/>
      <c r="E25" s="88"/>
    </row>
    <row r="26" spans="1:5" s="82" customFormat="1" ht="12" customHeight="1">
      <c r="A26" s="86" t="s">
        <v>86</v>
      </c>
      <c r="B26" s="87" t="s">
        <v>421</v>
      </c>
      <c r="C26" s="88"/>
      <c r="D26" s="88"/>
      <c r="E26" s="88"/>
    </row>
    <row r="27" spans="1:5" s="82" customFormat="1" ht="12" customHeight="1">
      <c r="A27" s="86" t="s">
        <v>87</v>
      </c>
      <c r="B27" s="87" t="s">
        <v>422</v>
      </c>
      <c r="C27" s="88"/>
      <c r="D27" s="88"/>
      <c r="E27" s="88"/>
    </row>
    <row r="28" spans="1:5" s="82" customFormat="1" ht="12" customHeight="1">
      <c r="A28" s="86" t="s">
        <v>162</v>
      </c>
      <c r="B28" s="87" t="s">
        <v>257</v>
      </c>
      <c r="C28" s="88">
        <v>55972518</v>
      </c>
      <c r="D28" s="88">
        <v>55972518</v>
      </c>
      <c r="E28" s="88">
        <f>63789960</f>
        <v>63789960</v>
      </c>
    </row>
    <row r="29" spans="1:5" s="82" customFormat="1" ht="12" customHeight="1" thickBot="1">
      <c r="A29" s="90" t="s">
        <v>163</v>
      </c>
      <c r="B29" s="94" t="s">
        <v>258</v>
      </c>
      <c r="C29" s="93"/>
      <c r="D29" s="93"/>
      <c r="E29" s="93"/>
    </row>
    <row r="30" spans="1:5" s="82" customFormat="1" ht="12" customHeight="1" thickBot="1">
      <c r="A30" s="79" t="s">
        <v>164</v>
      </c>
      <c r="B30" s="80" t="s">
        <v>259</v>
      </c>
      <c r="C30" s="95">
        <f>+C31+C35+C36+C37</f>
        <v>129930000</v>
      </c>
      <c r="D30" s="95">
        <f>+D31+D35+D36+D37</f>
        <v>129930000</v>
      </c>
      <c r="E30" s="95">
        <f>+E31+E35+E36+E37</f>
        <v>129935000</v>
      </c>
    </row>
    <row r="31" spans="1:5" s="82" customFormat="1" ht="12" customHeight="1">
      <c r="A31" s="83" t="s">
        <v>260</v>
      </c>
      <c r="B31" s="84" t="s">
        <v>436</v>
      </c>
      <c r="C31" s="96">
        <f>+C32+C33+C34</f>
        <v>94400000</v>
      </c>
      <c r="D31" s="96">
        <f>+D32+D33+D34</f>
        <v>94400000</v>
      </c>
      <c r="E31" s="96">
        <f>+E32+E33+E34</f>
        <v>94400000</v>
      </c>
    </row>
    <row r="32" spans="1:5" s="82" customFormat="1" ht="12" customHeight="1">
      <c r="A32" s="86" t="s">
        <v>261</v>
      </c>
      <c r="B32" s="87" t="s">
        <v>266</v>
      </c>
      <c r="C32" s="88">
        <v>56400000</v>
      </c>
      <c r="D32" s="88">
        <v>56400000</v>
      </c>
      <c r="E32" s="88">
        <v>56400000</v>
      </c>
    </row>
    <row r="33" spans="1:5" s="82" customFormat="1" ht="12" customHeight="1">
      <c r="A33" s="86" t="s">
        <v>262</v>
      </c>
      <c r="B33" s="87" t="s">
        <v>267</v>
      </c>
      <c r="C33" s="88"/>
      <c r="D33" s="88"/>
      <c r="E33" s="88"/>
    </row>
    <row r="34" spans="1:5" s="82" customFormat="1" ht="12" customHeight="1">
      <c r="A34" s="86" t="s">
        <v>434</v>
      </c>
      <c r="B34" s="97" t="s">
        <v>435</v>
      </c>
      <c r="C34" s="88">
        <v>38000000</v>
      </c>
      <c r="D34" s="88">
        <v>38000000</v>
      </c>
      <c r="E34" s="88">
        <v>38000000</v>
      </c>
    </row>
    <row r="35" spans="1:5" s="82" customFormat="1" ht="12" customHeight="1">
      <c r="A35" s="86" t="s">
        <v>263</v>
      </c>
      <c r="B35" s="87" t="s">
        <v>268</v>
      </c>
      <c r="C35" s="88">
        <v>7400000</v>
      </c>
      <c r="D35" s="88">
        <v>7400000</v>
      </c>
      <c r="E35" s="88">
        <v>7400000</v>
      </c>
    </row>
    <row r="36" spans="1:5" s="82" customFormat="1" ht="12" customHeight="1">
      <c r="A36" s="86" t="s">
        <v>264</v>
      </c>
      <c r="B36" s="87" t="s">
        <v>269</v>
      </c>
      <c r="C36" s="88">
        <v>27500000</v>
      </c>
      <c r="D36" s="88">
        <v>27500000</v>
      </c>
      <c r="E36" s="88">
        <v>27500000</v>
      </c>
    </row>
    <row r="37" spans="1:5" s="82" customFormat="1" ht="12" customHeight="1" thickBot="1">
      <c r="A37" s="90" t="s">
        <v>265</v>
      </c>
      <c r="B37" s="94" t="s">
        <v>270</v>
      </c>
      <c r="C37" s="93">
        <v>630000</v>
      </c>
      <c r="D37" s="93">
        <v>630000</v>
      </c>
      <c r="E37" s="93">
        <f>630000+5000</f>
        <v>635000</v>
      </c>
    </row>
    <row r="38" spans="1:5" s="82" customFormat="1" ht="12" customHeight="1" thickBot="1">
      <c r="A38" s="79" t="s">
        <v>20</v>
      </c>
      <c r="B38" s="80" t="s">
        <v>431</v>
      </c>
      <c r="C38" s="81">
        <f>SUM(C39:C49)</f>
        <v>144014787</v>
      </c>
      <c r="D38" s="81">
        <f>SUM(D39:D49)</f>
        <v>144014787</v>
      </c>
      <c r="E38" s="81">
        <f>SUM(E39:E49)</f>
        <v>143885521</v>
      </c>
    </row>
    <row r="39" spans="1:5" s="82" customFormat="1" ht="12" customHeight="1">
      <c r="A39" s="83" t="s">
        <v>88</v>
      </c>
      <c r="B39" s="84" t="s">
        <v>273</v>
      </c>
      <c r="C39" s="85"/>
      <c r="D39" s="85"/>
      <c r="E39" s="85"/>
    </row>
    <row r="40" spans="1:5" s="82" customFormat="1" ht="12" customHeight="1">
      <c r="A40" s="86" t="s">
        <v>89</v>
      </c>
      <c r="B40" s="87" t="s">
        <v>274</v>
      </c>
      <c r="C40" s="88">
        <f>94800709-79573589+1050000+2120000+79573589</f>
        <v>97970709</v>
      </c>
      <c r="D40" s="88">
        <f>94800709-79573589+1050000+2120000+79573589</f>
        <v>97970709</v>
      </c>
      <c r="E40" s="88">
        <f>11465754+86322995</f>
        <v>97788749</v>
      </c>
    </row>
    <row r="41" spans="1:5" s="82" customFormat="1" ht="12" customHeight="1">
      <c r="A41" s="86" t="s">
        <v>90</v>
      </c>
      <c r="B41" s="87" t="s">
        <v>275</v>
      </c>
      <c r="C41" s="88">
        <f>2400000+560000+400000</f>
        <v>3360000</v>
      </c>
      <c r="D41" s="88">
        <f>2400000+560000+400000</f>
        <v>3360000</v>
      </c>
      <c r="E41" s="88">
        <f>3360000</f>
        <v>3360000</v>
      </c>
    </row>
    <row r="42" spans="1:5" s="82" customFormat="1" ht="12" customHeight="1">
      <c r="A42" s="86" t="s">
        <v>166</v>
      </c>
      <c r="B42" s="87" t="s">
        <v>276</v>
      </c>
      <c r="C42" s="88"/>
      <c r="D42" s="88"/>
      <c r="E42" s="88"/>
    </row>
    <row r="43" spans="1:5" s="82" customFormat="1" ht="12" customHeight="1">
      <c r="A43" s="86" t="s">
        <v>167</v>
      </c>
      <c r="B43" s="87" t="s">
        <v>277</v>
      </c>
      <c r="C43" s="88">
        <v>1500000</v>
      </c>
      <c r="D43" s="88">
        <v>1500000</v>
      </c>
      <c r="E43" s="88">
        <f>1500000</f>
        <v>1500000</v>
      </c>
    </row>
    <row r="44" spans="1:5" s="82" customFormat="1" ht="12" customHeight="1">
      <c r="A44" s="86" t="s">
        <v>168</v>
      </c>
      <c r="B44" s="87" t="s">
        <v>278</v>
      </c>
      <c r="C44" s="88">
        <f>26748983-21484869+2282276+19202593</f>
        <v>26748983</v>
      </c>
      <c r="D44" s="88">
        <f>26748983-21484869+2282276+19202593</f>
        <v>26748983</v>
      </c>
      <c r="E44" s="88">
        <f>5674921+21024932</f>
        <v>26699853</v>
      </c>
    </row>
    <row r="45" spans="1:5" s="82" customFormat="1" ht="12" customHeight="1">
      <c r="A45" s="86" t="s">
        <v>169</v>
      </c>
      <c r="B45" s="87" t="s">
        <v>279</v>
      </c>
      <c r="C45" s="88">
        <v>14000000</v>
      </c>
      <c r="D45" s="88">
        <v>14000000</v>
      </c>
      <c r="E45" s="88">
        <f>14000000</f>
        <v>14000000</v>
      </c>
    </row>
    <row r="46" spans="1:5" s="82" customFormat="1" ht="12" customHeight="1">
      <c r="A46" s="86" t="s">
        <v>170</v>
      </c>
      <c r="B46" s="87" t="s">
        <v>280</v>
      </c>
      <c r="C46" s="88">
        <f>20000+140+100</f>
        <v>20240</v>
      </c>
      <c r="D46" s="88">
        <f>20000+140+100</f>
        <v>20240</v>
      </c>
      <c r="E46" s="88">
        <f>20240</f>
        <v>20240</v>
      </c>
    </row>
    <row r="47" spans="1:5" s="82" customFormat="1" ht="12" customHeight="1">
      <c r="A47" s="86" t="s">
        <v>271</v>
      </c>
      <c r="B47" s="87" t="s">
        <v>281</v>
      </c>
      <c r="C47" s="98"/>
      <c r="D47" s="98"/>
      <c r="E47" s="98"/>
    </row>
    <row r="48" spans="1:5" s="82" customFormat="1" ht="12" customHeight="1">
      <c r="A48" s="90" t="s">
        <v>272</v>
      </c>
      <c r="B48" s="94" t="s">
        <v>433</v>
      </c>
      <c r="C48" s="99"/>
      <c r="D48" s="99"/>
      <c r="E48" s="99"/>
    </row>
    <row r="49" spans="1:5" s="82" customFormat="1" ht="12" customHeight="1" thickBot="1">
      <c r="A49" s="90" t="s">
        <v>432</v>
      </c>
      <c r="B49" s="91" t="s">
        <v>282</v>
      </c>
      <c r="C49" s="99">
        <f>412855+1000+1000</f>
        <v>414855</v>
      </c>
      <c r="D49" s="99">
        <f>412855+1000+1000</f>
        <v>414855</v>
      </c>
      <c r="E49" s="99">
        <f>516679</f>
        <v>516679</v>
      </c>
    </row>
    <row r="50" spans="1:5" s="82" customFormat="1" ht="12" customHeight="1" thickBot="1">
      <c r="A50" s="79" t="s">
        <v>21</v>
      </c>
      <c r="B50" s="80" t="s">
        <v>283</v>
      </c>
      <c r="C50" s="81">
        <f>SUM(C51:C55)</f>
        <v>0</v>
      </c>
      <c r="D50" s="81">
        <f>SUM(D51:D55)</f>
        <v>0</v>
      </c>
      <c r="E50" s="81">
        <f>SUM(E51:E55)</f>
        <v>0</v>
      </c>
    </row>
    <row r="51" spans="1:5" s="82" customFormat="1" ht="12" customHeight="1">
      <c r="A51" s="83" t="s">
        <v>91</v>
      </c>
      <c r="B51" s="84" t="s">
        <v>287</v>
      </c>
      <c r="C51" s="100"/>
      <c r="D51" s="100"/>
      <c r="E51" s="100"/>
    </row>
    <row r="52" spans="1:5" s="82" customFormat="1" ht="12" customHeight="1">
      <c r="A52" s="86" t="s">
        <v>92</v>
      </c>
      <c r="B52" s="87" t="s">
        <v>288</v>
      </c>
      <c r="C52" s="98"/>
      <c r="D52" s="98"/>
      <c r="E52" s="98"/>
    </row>
    <row r="53" spans="1:5" s="82" customFormat="1" ht="12" customHeight="1">
      <c r="A53" s="86" t="s">
        <v>284</v>
      </c>
      <c r="B53" s="87" t="s">
        <v>289</v>
      </c>
      <c r="C53" s="98"/>
      <c r="D53" s="98"/>
      <c r="E53" s="98"/>
    </row>
    <row r="54" spans="1:5" s="82" customFormat="1" ht="12" customHeight="1">
      <c r="A54" s="86" t="s">
        <v>285</v>
      </c>
      <c r="B54" s="87" t="s">
        <v>290</v>
      </c>
      <c r="C54" s="98"/>
      <c r="D54" s="98"/>
      <c r="E54" s="98"/>
    </row>
    <row r="55" spans="1:5" s="82" customFormat="1" ht="12" customHeight="1" thickBot="1">
      <c r="A55" s="90" t="s">
        <v>286</v>
      </c>
      <c r="B55" s="91" t="s">
        <v>291</v>
      </c>
      <c r="C55" s="99"/>
      <c r="D55" s="99"/>
      <c r="E55" s="99"/>
    </row>
    <row r="56" spans="1:5" s="82" customFormat="1" ht="12" customHeight="1" thickBot="1">
      <c r="A56" s="79" t="s">
        <v>171</v>
      </c>
      <c r="B56" s="80" t="s">
        <v>292</v>
      </c>
      <c r="C56" s="81">
        <f>SUM(C57:C59)</f>
        <v>0</v>
      </c>
      <c r="D56" s="81">
        <f>SUM(D57:D59)</f>
        <v>0</v>
      </c>
      <c r="E56" s="81">
        <f>SUM(E57:E59)</f>
        <v>0</v>
      </c>
    </row>
    <row r="57" spans="1:5" s="82" customFormat="1" ht="12" customHeight="1">
      <c r="A57" s="83" t="s">
        <v>93</v>
      </c>
      <c r="B57" s="84" t="s">
        <v>293</v>
      </c>
      <c r="C57" s="85"/>
      <c r="D57" s="85"/>
      <c r="E57" s="85"/>
    </row>
    <row r="58" spans="1:5" s="82" customFormat="1" ht="12" customHeight="1">
      <c r="A58" s="86" t="s">
        <v>94</v>
      </c>
      <c r="B58" s="87" t="s">
        <v>423</v>
      </c>
      <c r="C58" s="88"/>
      <c r="D58" s="88"/>
      <c r="E58" s="88"/>
    </row>
    <row r="59" spans="1:5" s="82" customFormat="1" ht="12" customHeight="1">
      <c r="A59" s="86" t="s">
        <v>296</v>
      </c>
      <c r="B59" s="87" t="s">
        <v>294</v>
      </c>
      <c r="C59" s="88"/>
      <c r="D59" s="88"/>
      <c r="E59" s="88"/>
    </row>
    <row r="60" spans="1:5" s="82" customFormat="1" ht="12" customHeight="1" thickBot="1">
      <c r="A60" s="90" t="s">
        <v>297</v>
      </c>
      <c r="B60" s="91" t="s">
        <v>295</v>
      </c>
      <c r="C60" s="93"/>
      <c r="D60" s="93"/>
      <c r="E60" s="93"/>
    </row>
    <row r="61" spans="1:5" s="82" customFormat="1" ht="12" customHeight="1" thickBot="1">
      <c r="A61" s="79" t="s">
        <v>23</v>
      </c>
      <c r="B61" s="92" t="s">
        <v>298</v>
      </c>
      <c r="C61" s="81">
        <f>SUM(C62:C64)</f>
        <v>120000</v>
      </c>
      <c r="D61" s="81">
        <f>SUM(D62:D64)</f>
        <v>120000</v>
      </c>
      <c r="E61" s="81">
        <f>SUM(E62:E64)</f>
        <v>120000</v>
      </c>
    </row>
    <row r="62" spans="1:5" s="82" customFormat="1" ht="12" customHeight="1">
      <c r="A62" s="83" t="s">
        <v>172</v>
      </c>
      <c r="B62" s="84" t="s">
        <v>300</v>
      </c>
      <c r="C62" s="98"/>
      <c r="D62" s="98"/>
      <c r="E62" s="98"/>
    </row>
    <row r="63" spans="1:5" s="82" customFormat="1" ht="12" customHeight="1">
      <c r="A63" s="86" t="s">
        <v>173</v>
      </c>
      <c r="B63" s="87" t="s">
        <v>424</v>
      </c>
      <c r="C63" s="98">
        <v>120000</v>
      </c>
      <c r="D63" s="98">
        <v>120000</v>
      </c>
      <c r="E63" s="98">
        <f>120000</f>
        <v>120000</v>
      </c>
    </row>
    <row r="64" spans="1:5" s="82" customFormat="1" ht="12" customHeight="1">
      <c r="A64" s="86" t="s">
        <v>221</v>
      </c>
      <c r="B64" s="87" t="s">
        <v>301</v>
      </c>
      <c r="C64" s="98"/>
      <c r="D64" s="98"/>
      <c r="E64" s="98"/>
    </row>
    <row r="65" spans="1:5" s="82" customFormat="1" ht="12" customHeight="1" thickBot="1">
      <c r="A65" s="90" t="s">
        <v>299</v>
      </c>
      <c r="B65" s="91" t="s">
        <v>302</v>
      </c>
      <c r="C65" s="98"/>
      <c r="D65" s="98"/>
      <c r="E65" s="98"/>
    </row>
    <row r="66" spans="1:5" s="82" customFormat="1" ht="12" customHeight="1" thickBot="1">
      <c r="A66" s="101" t="s">
        <v>475</v>
      </c>
      <c r="B66" s="80" t="s">
        <v>303</v>
      </c>
      <c r="C66" s="95">
        <f>+C9+C16+C23+C30+C38+C50+C56+C61</f>
        <v>623927616</v>
      </c>
      <c r="D66" s="95">
        <f>+D9+D16+D23+D30+D38+D50+D56+D61</f>
        <v>627388130</v>
      </c>
      <c r="E66" s="95">
        <f>+E9+E16+E23+E30+E38+E50+E56+E61</f>
        <v>634482271</v>
      </c>
    </row>
    <row r="67" spans="1:5" s="82" customFormat="1" ht="12" customHeight="1" thickBot="1">
      <c r="A67" s="102" t="s">
        <v>304</v>
      </c>
      <c r="B67" s="92" t="s">
        <v>305</v>
      </c>
      <c r="C67" s="81">
        <f>SUM(C68:C70)</f>
        <v>0</v>
      </c>
      <c r="D67" s="81">
        <f>SUM(D68:D70)</f>
        <v>0</v>
      </c>
      <c r="E67" s="81">
        <f>SUM(E68:E70)</f>
        <v>0</v>
      </c>
    </row>
    <row r="68" spans="1:5" s="82" customFormat="1" ht="12" customHeight="1">
      <c r="A68" s="83" t="s">
        <v>336</v>
      </c>
      <c r="B68" s="84" t="s">
        <v>306</v>
      </c>
      <c r="C68" s="98"/>
      <c r="D68" s="98"/>
      <c r="E68" s="98"/>
    </row>
    <row r="69" spans="1:5" s="82" customFormat="1" ht="12" customHeight="1">
      <c r="A69" s="86" t="s">
        <v>345</v>
      </c>
      <c r="B69" s="87" t="s">
        <v>307</v>
      </c>
      <c r="C69" s="98"/>
      <c r="D69" s="98"/>
      <c r="E69" s="98"/>
    </row>
    <row r="70" spans="1:5" s="82" customFormat="1" ht="12" customHeight="1" thickBot="1">
      <c r="A70" s="90" t="s">
        <v>346</v>
      </c>
      <c r="B70" s="103" t="s">
        <v>460</v>
      </c>
      <c r="C70" s="98"/>
      <c r="D70" s="98"/>
      <c r="E70" s="98"/>
    </row>
    <row r="71" spans="1:5" s="82" customFormat="1" ht="12" customHeight="1" thickBot="1">
      <c r="A71" s="102" t="s">
        <v>309</v>
      </c>
      <c r="B71" s="92" t="s">
        <v>310</v>
      </c>
      <c r="C71" s="81">
        <f>SUM(C72:C75)</f>
        <v>0</v>
      </c>
      <c r="D71" s="81">
        <f>SUM(D72:D75)</f>
        <v>0</v>
      </c>
      <c r="E71" s="81">
        <f>SUM(E72:E75)</f>
        <v>0</v>
      </c>
    </row>
    <row r="72" spans="1:5" s="82" customFormat="1" ht="12" customHeight="1">
      <c r="A72" s="83" t="s">
        <v>142</v>
      </c>
      <c r="B72" s="84" t="s">
        <v>311</v>
      </c>
      <c r="C72" s="98"/>
      <c r="D72" s="98"/>
      <c r="E72" s="98"/>
    </row>
    <row r="73" spans="1:5" s="82" customFormat="1" ht="12" customHeight="1">
      <c r="A73" s="86" t="s">
        <v>143</v>
      </c>
      <c r="B73" s="87" t="s">
        <v>312</v>
      </c>
      <c r="C73" s="98"/>
      <c r="D73" s="98"/>
      <c r="E73" s="98"/>
    </row>
    <row r="74" spans="1:5" s="82" customFormat="1" ht="12" customHeight="1">
      <c r="A74" s="86" t="s">
        <v>337</v>
      </c>
      <c r="B74" s="87" t="s">
        <v>313</v>
      </c>
      <c r="C74" s="98"/>
      <c r="D74" s="98"/>
      <c r="E74" s="98"/>
    </row>
    <row r="75" spans="1:5" s="82" customFormat="1" ht="12" customHeight="1" thickBot="1">
      <c r="A75" s="90" t="s">
        <v>338</v>
      </c>
      <c r="B75" s="91" t="s">
        <v>314</v>
      </c>
      <c r="C75" s="98"/>
      <c r="D75" s="98"/>
      <c r="E75" s="98"/>
    </row>
    <row r="76" spans="1:5" s="82" customFormat="1" ht="12" customHeight="1" thickBot="1">
      <c r="A76" s="102" t="s">
        <v>315</v>
      </c>
      <c r="B76" s="92" t="s">
        <v>316</v>
      </c>
      <c r="C76" s="81">
        <f>SUM(C77:C78)</f>
        <v>609665168</v>
      </c>
      <c r="D76" s="81">
        <f>SUM(D77:D78)</f>
        <v>609665168</v>
      </c>
      <c r="E76" s="81">
        <f>SUM(E77:E78)</f>
        <v>610260913</v>
      </c>
    </row>
    <row r="77" spans="1:5" s="82" customFormat="1" ht="12" customHeight="1">
      <c r="A77" s="83" t="s">
        <v>339</v>
      </c>
      <c r="B77" s="84" t="s">
        <v>317</v>
      </c>
      <c r="C77" s="98">
        <f>606054429+3610739</f>
        <v>609665168</v>
      </c>
      <c r="D77" s="98">
        <f>606054429+3610739</f>
        <v>609665168</v>
      </c>
      <c r="E77" s="98">
        <f>610260913</f>
        <v>610260913</v>
      </c>
    </row>
    <row r="78" spans="1:5" s="82" customFormat="1" ht="12" customHeight="1" thickBot="1">
      <c r="A78" s="90" t="s">
        <v>340</v>
      </c>
      <c r="B78" s="91" t="s">
        <v>318</v>
      </c>
      <c r="C78" s="98"/>
      <c r="D78" s="98"/>
      <c r="E78" s="98"/>
    </row>
    <row r="79" spans="1:5" s="82" customFormat="1" ht="12" customHeight="1" thickBot="1">
      <c r="A79" s="102" t="s">
        <v>319</v>
      </c>
      <c r="B79" s="92" t="s">
        <v>320</v>
      </c>
      <c r="C79" s="81">
        <f>SUM(C80:C82)</f>
        <v>0</v>
      </c>
      <c r="D79" s="81">
        <f>SUM(D80:D82)</f>
        <v>72564</v>
      </c>
      <c r="E79" s="81">
        <f>SUM(E80:E82)</f>
        <v>72564</v>
      </c>
    </row>
    <row r="80" spans="1:5" s="82" customFormat="1" ht="12" customHeight="1">
      <c r="A80" s="83" t="s">
        <v>341</v>
      </c>
      <c r="B80" s="84" t="s">
        <v>321</v>
      </c>
      <c r="C80" s="98"/>
      <c r="D80" s="98">
        <v>72564</v>
      </c>
      <c r="E80" s="98">
        <f>72564</f>
        <v>72564</v>
      </c>
    </row>
    <row r="81" spans="1:5" s="82" customFormat="1" ht="12" customHeight="1">
      <c r="A81" s="86" t="s">
        <v>342</v>
      </c>
      <c r="B81" s="87" t="s">
        <v>322</v>
      </c>
      <c r="C81" s="98"/>
      <c r="D81" s="98"/>
      <c r="E81" s="98"/>
    </row>
    <row r="82" spans="1:5" s="82" customFormat="1" ht="12" customHeight="1" thickBot="1">
      <c r="A82" s="90" t="s">
        <v>343</v>
      </c>
      <c r="B82" s="91" t="s">
        <v>323</v>
      </c>
      <c r="C82" s="98"/>
      <c r="D82" s="98"/>
      <c r="E82" s="98"/>
    </row>
    <row r="83" spans="1:5" s="82" customFormat="1" ht="12" customHeight="1" thickBot="1">
      <c r="A83" s="102" t="s">
        <v>324</v>
      </c>
      <c r="B83" s="92" t="s">
        <v>344</v>
      </c>
      <c r="C83" s="81">
        <f>SUM(C84:C87)</f>
        <v>0</v>
      </c>
      <c r="D83" s="81">
        <f>SUM(D84:D87)</f>
        <v>0</v>
      </c>
      <c r="E83" s="81">
        <f>SUM(E84:E87)</f>
        <v>0</v>
      </c>
    </row>
    <row r="84" spans="1:5" s="82" customFormat="1" ht="12" customHeight="1">
      <c r="A84" s="104" t="s">
        <v>325</v>
      </c>
      <c r="B84" s="84" t="s">
        <v>326</v>
      </c>
      <c r="C84" s="98"/>
      <c r="D84" s="98"/>
      <c r="E84" s="98"/>
    </row>
    <row r="85" spans="1:5" s="82" customFormat="1" ht="12" customHeight="1">
      <c r="A85" s="105" t="s">
        <v>327</v>
      </c>
      <c r="B85" s="87" t="s">
        <v>328</v>
      </c>
      <c r="C85" s="98"/>
      <c r="D85" s="98"/>
      <c r="E85" s="98"/>
    </row>
    <row r="86" spans="1:5" s="82" customFormat="1" ht="12" customHeight="1">
      <c r="A86" s="105" t="s">
        <v>329</v>
      </c>
      <c r="B86" s="87" t="s">
        <v>330</v>
      </c>
      <c r="C86" s="98"/>
      <c r="D86" s="98"/>
      <c r="E86" s="98"/>
    </row>
    <row r="87" spans="1:5" s="82" customFormat="1" ht="12" customHeight="1" thickBot="1">
      <c r="A87" s="106" t="s">
        <v>331</v>
      </c>
      <c r="B87" s="91" t="s">
        <v>332</v>
      </c>
      <c r="C87" s="98"/>
      <c r="D87" s="98"/>
      <c r="E87" s="98"/>
    </row>
    <row r="88" spans="1:5" s="82" customFormat="1" ht="12" customHeight="1" thickBot="1">
      <c r="A88" s="102" t="s">
        <v>333</v>
      </c>
      <c r="B88" s="92" t="s">
        <v>474</v>
      </c>
      <c r="C88" s="107"/>
      <c r="D88" s="107"/>
      <c r="E88" s="107"/>
    </row>
    <row r="89" spans="1:5" s="82" customFormat="1" ht="13.5" customHeight="1" thickBot="1">
      <c r="A89" s="102" t="s">
        <v>335</v>
      </c>
      <c r="B89" s="92" t="s">
        <v>334</v>
      </c>
      <c r="C89" s="107"/>
      <c r="D89" s="107"/>
      <c r="E89" s="107"/>
    </row>
    <row r="90" spans="1:5" s="82" customFormat="1" ht="15.75" customHeight="1" thickBot="1">
      <c r="A90" s="102" t="s">
        <v>347</v>
      </c>
      <c r="B90" s="108" t="s">
        <v>477</v>
      </c>
      <c r="C90" s="95">
        <f>+C67+C71+C76+C79+C83+C89+C88</f>
        <v>609665168</v>
      </c>
      <c r="D90" s="95">
        <f>+D67+D71+D76+D79+D83+D89+D88</f>
        <v>609737732</v>
      </c>
      <c r="E90" s="95">
        <f>+E67+E71+E76+E79+E83+E89+E88</f>
        <v>610333477</v>
      </c>
    </row>
    <row r="91" spans="1:5" s="82" customFormat="1" ht="16.5" customHeight="1" thickBot="1">
      <c r="A91" s="109" t="s">
        <v>476</v>
      </c>
      <c r="B91" s="110" t="s">
        <v>478</v>
      </c>
      <c r="C91" s="95">
        <f>+C66+C90</f>
        <v>1233592784</v>
      </c>
      <c r="D91" s="95">
        <f>+D66+D90</f>
        <v>1237125862</v>
      </c>
      <c r="E91" s="95">
        <f>+E66+E90</f>
        <v>1244815748</v>
      </c>
    </row>
    <row r="92" spans="1:5" s="82" customFormat="1" ht="83.25" customHeight="1">
      <c r="A92" s="111"/>
      <c r="B92" s="112"/>
      <c r="C92" s="113"/>
      <c r="D92" s="113"/>
      <c r="E92" s="113"/>
    </row>
    <row r="93" spans="1:5" ht="16.5" customHeight="1">
      <c r="A93" s="692" t="s">
        <v>44</v>
      </c>
      <c r="B93" s="692"/>
      <c r="C93" s="71"/>
      <c r="D93" s="71"/>
      <c r="E93" s="71"/>
    </row>
    <row r="94" spans="1:5" s="115" customFormat="1" ht="16.5" customHeight="1" thickBot="1">
      <c r="A94" s="693" t="s">
        <v>145</v>
      </c>
      <c r="B94" s="693"/>
      <c r="C94" s="114"/>
      <c r="D94" s="114"/>
      <c r="E94" s="114"/>
    </row>
    <row r="95" spans="1:5" ht="38.1" customHeight="1" thickBot="1">
      <c r="A95" s="73" t="s">
        <v>66</v>
      </c>
      <c r="B95" s="74" t="s">
        <v>45</v>
      </c>
      <c r="C95" s="155" t="s">
        <v>688</v>
      </c>
      <c r="D95" s="16" t="s">
        <v>739</v>
      </c>
      <c r="E95" s="16" t="s">
        <v>744</v>
      </c>
    </row>
    <row r="96" spans="1:5" s="78" customFormat="1" ht="12" customHeight="1" thickBot="1">
      <c r="A96" s="116" t="s">
        <v>486</v>
      </c>
      <c r="B96" s="117" t="s">
        <v>487</v>
      </c>
      <c r="C96" s="118" t="s">
        <v>488</v>
      </c>
      <c r="D96" s="118" t="s">
        <v>488</v>
      </c>
      <c r="E96" s="118" t="s">
        <v>488</v>
      </c>
    </row>
    <row r="97" spans="1:5" ht="12" customHeight="1" thickBot="1">
      <c r="A97" s="119" t="s">
        <v>16</v>
      </c>
      <c r="B97" s="120" t="s">
        <v>654</v>
      </c>
      <c r="C97" s="121">
        <f>C98+C99+C100+C101+C102+C115</f>
        <v>709179027</v>
      </c>
      <c r="D97" s="121">
        <f>D98+D99+D100+D101+D102+D115</f>
        <v>713376141</v>
      </c>
      <c r="E97" s="121">
        <f>E98+E99+E100+E101+E102+E115</f>
        <v>681572897</v>
      </c>
    </row>
    <row r="98" spans="1:5" ht="12" customHeight="1">
      <c r="A98" s="122" t="s">
        <v>95</v>
      </c>
      <c r="B98" s="29" t="s">
        <v>46</v>
      </c>
      <c r="C98" s="123">
        <f>76128455-13518800+78769100+14125510+13518800</f>
        <v>169023065</v>
      </c>
      <c r="D98" s="123">
        <f>76780695-13518800+78769100+14125510+13518800</f>
        <v>169675305</v>
      </c>
      <c r="E98" s="123">
        <f>156799933+12993800</f>
        <v>169793733</v>
      </c>
    </row>
    <row r="99" spans="1:5" ht="12" customHeight="1">
      <c r="A99" s="86" t="s">
        <v>96</v>
      </c>
      <c r="B99" s="32" t="s">
        <v>174</v>
      </c>
      <c r="C99" s="88">
        <f>16384694-2792432+16172510+3315011+2792432</f>
        <v>35872215</v>
      </c>
      <c r="D99" s="88">
        <f>16448286-2792432+16172510+3315011+2792432</f>
        <v>35935807</v>
      </c>
      <c r="E99" s="88">
        <f>33303046+2690057</f>
        <v>35993103</v>
      </c>
    </row>
    <row r="100" spans="1:5" ht="12" customHeight="1">
      <c r="A100" s="86" t="s">
        <v>97</v>
      </c>
      <c r="B100" s="32" t="s">
        <v>133</v>
      </c>
      <c r="C100" s="93">
        <f>213143994-60620950+28418129+27475210+60620950</f>
        <v>269037333</v>
      </c>
      <c r="D100" s="93">
        <f>213143994-60620950+28418129+27475210+60620950+635000+101600</f>
        <v>269773933</v>
      </c>
      <c r="E100" s="93">
        <f>235270839+68820070</f>
        <v>304090909</v>
      </c>
    </row>
    <row r="101" spans="1:5" ht="12" customHeight="1">
      <c r="A101" s="86" t="s">
        <v>98</v>
      </c>
      <c r="B101" s="124" t="s">
        <v>175</v>
      </c>
      <c r="C101" s="93">
        <f>9710000</f>
        <v>9710000</v>
      </c>
      <c r="D101" s="93">
        <f>9710000</f>
        <v>9710000</v>
      </c>
      <c r="E101" s="93">
        <f>9710000</f>
        <v>9710000</v>
      </c>
    </row>
    <row r="102" spans="1:5" ht="12" customHeight="1">
      <c r="A102" s="86" t="s">
        <v>109</v>
      </c>
      <c r="B102" s="125" t="s">
        <v>176</v>
      </c>
      <c r="C102" s="93">
        <f>C103+C104+C105+C106+C107+C108+C109+C110+C111+C112+C113+C114</f>
        <v>151918362</v>
      </c>
      <c r="D102" s="93">
        <f>D103+D104+D105+D106+D107+D108+D109+D110+D111+D112+D113+D114</f>
        <v>155906226</v>
      </c>
      <c r="E102" s="93">
        <f>E103+E104+E105+E106+E107+E108+E109+E110+E111+E112+E113+E114</f>
        <v>156786215</v>
      </c>
    </row>
    <row r="103" spans="1:5" ht="12" customHeight="1">
      <c r="A103" s="86" t="s">
        <v>99</v>
      </c>
      <c r="B103" s="32" t="s">
        <v>441</v>
      </c>
      <c r="C103" s="93"/>
      <c r="D103" s="93"/>
      <c r="E103" s="93"/>
    </row>
    <row r="104" spans="1:5" ht="12" customHeight="1">
      <c r="A104" s="86" t="s">
        <v>100</v>
      </c>
      <c r="B104" s="126" t="s">
        <v>440</v>
      </c>
      <c r="C104" s="93"/>
      <c r="D104" s="93"/>
      <c r="E104" s="93"/>
    </row>
    <row r="105" spans="1:5" ht="12" customHeight="1">
      <c r="A105" s="86" t="s">
        <v>110</v>
      </c>
      <c r="B105" s="126" t="s">
        <v>439</v>
      </c>
      <c r="C105" s="93">
        <f>272642</f>
        <v>272642</v>
      </c>
      <c r="D105" s="93">
        <f>272642</f>
        <v>272642</v>
      </c>
      <c r="E105" s="93">
        <f>272642</f>
        <v>272642</v>
      </c>
    </row>
    <row r="106" spans="1:5" ht="12" customHeight="1">
      <c r="A106" s="86" t="s">
        <v>111</v>
      </c>
      <c r="B106" s="127" t="s">
        <v>350</v>
      </c>
      <c r="C106" s="93"/>
      <c r="D106" s="93"/>
      <c r="E106" s="93"/>
    </row>
    <row r="107" spans="1:5" ht="12" customHeight="1">
      <c r="A107" s="86" t="s">
        <v>112</v>
      </c>
      <c r="B107" s="128" t="s">
        <v>351</v>
      </c>
      <c r="C107" s="93"/>
      <c r="D107" s="93"/>
      <c r="E107" s="93"/>
    </row>
    <row r="108" spans="1:5" ht="12" customHeight="1">
      <c r="A108" s="86" t="s">
        <v>113</v>
      </c>
      <c r="B108" s="128" t="s">
        <v>352</v>
      </c>
      <c r="C108" s="93"/>
      <c r="D108" s="93"/>
      <c r="E108" s="93"/>
    </row>
    <row r="109" spans="1:5" ht="12" customHeight="1">
      <c r="A109" s="86" t="s">
        <v>115</v>
      </c>
      <c r="B109" s="127" t="s">
        <v>353</v>
      </c>
      <c r="C109" s="93">
        <f>112674020</f>
        <v>112674020</v>
      </c>
      <c r="D109" s="93">
        <f>112674020+3987864</f>
        <v>116661884</v>
      </c>
      <c r="E109" s="93">
        <f>117511873</f>
        <v>117511873</v>
      </c>
    </row>
    <row r="110" spans="1:5" ht="12" customHeight="1">
      <c r="A110" s="86" t="s">
        <v>177</v>
      </c>
      <c r="B110" s="127" t="s">
        <v>354</v>
      </c>
      <c r="C110" s="93"/>
      <c r="D110" s="93"/>
      <c r="E110" s="93"/>
    </row>
    <row r="111" spans="1:5" ht="12" customHeight="1">
      <c r="A111" s="86" t="s">
        <v>348</v>
      </c>
      <c r="B111" s="128" t="s">
        <v>355</v>
      </c>
      <c r="C111" s="93"/>
      <c r="D111" s="93"/>
      <c r="E111" s="93"/>
    </row>
    <row r="112" spans="1:5" ht="12" customHeight="1">
      <c r="A112" s="129" t="s">
        <v>349</v>
      </c>
      <c r="B112" s="126" t="s">
        <v>356</v>
      </c>
      <c r="C112" s="93"/>
      <c r="D112" s="93"/>
      <c r="E112" s="93"/>
    </row>
    <row r="113" spans="1:5" ht="12" customHeight="1">
      <c r="A113" s="86" t="s">
        <v>437</v>
      </c>
      <c r="B113" s="126" t="s">
        <v>357</v>
      </c>
      <c r="C113" s="93"/>
      <c r="D113" s="93"/>
      <c r="E113" s="93"/>
    </row>
    <row r="114" spans="1:5" ht="12" customHeight="1">
      <c r="A114" s="90" t="s">
        <v>438</v>
      </c>
      <c r="B114" s="126" t="s">
        <v>358</v>
      </c>
      <c r="C114" s="93">
        <f>38971700</f>
        <v>38971700</v>
      </c>
      <c r="D114" s="93">
        <f>38971700</f>
        <v>38971700</v>
      </c>
      <c r="E114" s="93">
        <f>39001700</f>
        <v>39001700</v>
      </c>
    </row>
    <row r="115" spans="1:5" ht="12" customHeight="1">
      <c r="A115" s="86" t="s">
        <v>442</v>
      </c>
      <c r="B115" s="124" t="s">
        <v>47</v>
      </c>
      <c r="C115" s="88">
        <f>C116+C117</f>
        <v>73618052</v>
      </c>
      <c r="D115" s="88">
        <f>D116+D117</f>
        <v>72374870</v>
      </c>
      <c r="E115" s="88">
        <v>5198937</v>
      </c>
    </row>
    <row r="116" spans="1:5" ht="12" customHeight="1">
      <c r="A116" s="86" t="s">
        <v>443</v>
      </c>
      <c r="B116" s="32" t="s">
        <v>445</v>
      </c>
      <c r="C116" s="88">
        <v>44412474</v>
      </c>
      <c r="D116" s="88">
        <f>44517474+78540+119640+280587+241524+1919391-3987864</f>
        <v>43169292</v>
      </c>
      <c r="E116" s="88">
        <f>5228937</f>
        <v>5228937</v>
      </c>
    </row>
    <row r="117" spans="1:5" ht="12" customHeight="1" thickBot="1">
      <c r="A117" s="130" t="s">
        <v>444</v>
      </c>
      <c r="B117" s="131" t="s">
        <v>446</v>
      </c>
      <c r="C117" s="132">
        <v>29205578</v>
      </c>
      <c r="D117" s="132">
        <v>29205578</v>
      </c>
      <c r="E117" s="132">
        <f>39791746</f>
        <v>39791746</v>
      </c>
    </row>
    <row r="118" spans="1:5" ht="12" customHeight="1" thickBot="1">
      <c r="A118" s="133" t="s">
        <v>17</v>
      </c>
      <c r="B118" s="134" t="s">
        <v>655</v>
      </c>
      <c r="C118" s="135">
        <f>+C119+C121+C123</f>
        <v>516453179</v>
      </c>
      <c r="D118" s="135">
        <f>+D119+D121+D123</f>
        <v>515716579</v>
      </c>
      <c r="E118" s="135">
        <f>+E119+E121+E123</f>
        <v>515417963</v>
      </c>
    </row>
    <row r="119" spans="1:5" ht="12" customHeight="1">
      <c r="A119" s="83" t="s">
        <v>101</v>
      </c>
      <c r="B119" s="32" t="s">
        <v>219</v>
      </c>
      <c r="C119" s="85">
        <f>369875414-15494000+751000+2876220+15494000</f>
        <v>373502634</v>
      </c>
      <c r="D119" s="85">
        <f>369875414-15494000+751000+2876220+15494000-635000-101600</f>
        <v>372766034</v>
      </c>
      <c r="E119" s="85">
        <f>344953569+16417800</f>
        <v>361371369</v>
      </c>
    </row>
    <row r="120" spans="1:5" ht="12" customHeight="1">
      <c r="A120" s="83" t="s">
        <v>102</v>
      </c>
      <c r="B120" s="136" t="s">
        <v>362</v>
      </c>
      <c r="C120" s="85"/>
      <c r="D120" s="85"/>
      <c r="E120" s="85"/>
    </row>
    <row r="121" spans="1:5" ht="12" customHeight="1">
      <c r="A121" s="83" t="s">
        <v>103</v>
      </c>
      <c r="B121" s="136" t="s">
        <v>178</v>
      </c>
      <c r="C121" s="88">
        <f>142950545-6350000+6350000</f>
        <v>142950545</v>
      </c>
      <c r="D121" s="88">
        <f>142950545-6350000+6350000</f>
        <v>142950545</v>
      </c>
      <c r="E121" s="88">
        <f>147620394+6426200</f>
        <v>154046594</v>
      </c>
    </row>
    <row r="122" spans="1:5" ht="12" customHeight="1">
      <c r="A122" s="83" t="s">
        <v>104</v>
      </c>
      <c r="B122" s="136" t="s">
        <v>363</v>
      </c>
      <c r="C122" s="137"/>
      <c r="D122" s="137"/>
      <c r="E122" s="137"/>
    </row>
    <row r="123" spans="1:5" ht="12" customHeight="1">
      <c r="A123" s="83" t="s">
        <v>105</v>
      </c>
      <c r="B123" s="91" t="s">
        <v>222</v>
      </c>
      <c r="C123" s="137">
        <f>C124+C125+C126+C127+C128+C129+C130+C131</f>
        <v>0</v>
      </c>
      <c r="D123" s="137">
        <f>D124+D125+D126+D127+D128+D129+D130+D131</f>
        <v>0</v>
      </c>
      <c r="E123" s="137">
        <f>E124+E125+E126+E127+E128+E129+E130+E131</f>
        <v>0</v>
      </c>
    </row>
    <row r="124" spans="1:5" ht="12" customHeight="1">
      <c r="A124" s="83" t="s">
        <v>114</v>
      </c>
      <c r="B124" s="89" t="s">
        <v>425</v>
      </c>
      <c r="C124" s="137"/>
      <c r="D124" s="137"/>
      <c r="E124" s="137"/>
    </row>
    <row r="125" spans="1:5" ht="12" customHeight="1">
      <c r="A125" s="83" t="s">
        <v>116</v>
      </c>
      <c r="B125" s="138" t="s">
        <v>368</v>
      </c>
      <c r="C125" s="137"/>
      <c r="D125" s="137"/>
      <c r="E125" s="137"/>
    </row>
    <row r="126" spans="1:5">
      <c r="A126" s="83" t="s">
        <v>179</v>
      </c>
      <c r="B126" s="128" t="s">
        <v>352</v>
      </c>
      <c r="C126" s="137"/>
      <c r="D126" s="137"/>
      <c r="E126" s="137"/>
    </row>
    <row r="127" spans="1:5" ht="12" customHeight="1">
      <c r="A127" s="83" t="s">
        <v>180</v>
      </c>
      <c r="B127" s="128" t="s">
        <v>367</v>
      </c>
      <c r="C127" s="137"/>
      <c r="D127" s="137"/>
      <c r="E127" s="137"/>
    </row>
    <row r="128" spans="1:5" ht="12" customHeight="1">
      <c r="A128" s="83" t="s">
        <v>181</v>
      </c>
      <c r="B128" s="128" t="s">
        <v>366</v>
      </c>
      <c r="C128" s="137"/>
      <c r="D128" s="137"/>
      <c r="E128" s="137"/>
    </row>
    <row r="129" spans="1:5" ht="12" customHeight="1">
      <c r="A129" s="83" t="s">
        <v>359</v>
      </c>
      <c r="B129" s="128" t="s">
        <v>355</v>
      </c>
      <c r="C129" s="137"/>
      <c r="D129" s="137"/>
      <c r="E129" s="137"/>
    </row>
    <row r="130" spans="1:5" ht="12" customHeight="1">
      <c r="A130" s="83" t="s">
        <v>360</v>
      </c>
      <c r="B130" s="128" t="s">
        <v>365</v>
      </c>
      <c r="C130" s="137"/>
      <c r="D130" s="137"/>
      <c r="E130" s="137"/>
    </row>
    <row r="131" spans="1:5" ht="16.5" thickBot="1">
      <c r="A131" s="129" t="s">
        <v>361</v>
      </c>
      <c r="B131" s="128" t="s">
        <v>364</v>
      </c>
      <c r="C131" s="139"/>
      <c r="D131" s="139"/>
      <c r="E131" s="139"/>
    </row>
    <row r="132" spans="1:5" ht="12" customHeight="1" thickBot="1">
      <c r="A132" s="79" t="s">
        <v>18</v>
      </c>
      <c r="B132" s="40" t="s">
        <v>447</v>
      </c>
      <c r="C132" s="81">
        <f>+C97+C118</f>
        <v>1225632206</v>
      </c>
      <c r="D132" s="81">
        <f>+D97+D118</f>
        <v>1229092720</v>
      </c>
      <c r="E132" s="81">
        <f>+E97+E118</f>
        <v>1196990860</v>
      </c>
    </row>
    <row r="133" spans="1:5" ht="12" customHeight="1" thickBot="1">
      <c r="A133" s="79" t="s">
        <v>19</v>
      </c>
      <c r="B133" s="40" t="s">
        <v>448</v>
      </c>
      <c r="C133" s="81">
        <f>+C134+C135+C136</f>
        <v>0</v>
      </c>
      <c r="D133" s="81">
        <f>+D134+D135+D136</f>
        <v>0</v>
      </c>
      <c r="E133" s="81">
        <f>+E134+E135+E136</f>
        <v>0</v>
      </c>
    </row>
    <row r="134" spans="1:5" ht="12" customHeight="1">
      <c r="A134" s="83" t="s">
        <v>260</v>
      </c>
      <c r="B134" s="136" t="s">
        <v>455</v>
      </c>
      <c r="C134" s="137"/>
      <c r="D134" s="137"/>
      <c r="E134" s="137"/>
    </row>
    <row r="135" spans="1:5" ht="12" customHeight="1">
      <c r="A135" s="83" t="s">
        <v>263</v>
      </c>
      <c r="B135" s="136" t="s">
        <v>456</v>
      </c>
      <c r="C135" s="137"/>
      <c r="D135" s="137"/>
      <c r="E135" s="137"/>
    </row>
    <row r="136" spans="1:5" ht="12" customHeight="1" thickBot="1">
      <c r="A136" s="129" t="s">
        <v>264</v>
      </c>
      <c r="B136" s="136" t="s">
        <v>457</v>
      </c>
      <c r="C136" s="137"/>
      <c r="D136" s="137"/>
      <c r="E136" s="137"/>
    </row>
    <row r="137" spans="1:5" ht="12" customHeight="1" thickBot="1">
      <c r="A137" s="79" t="s">
        <v>20</v>
      </c>
      <c r="B137" s="40" t="s">
        <v>449</v>
      </c>
      <c r="C137" s="81">
        <f>SUM(C138:C143)</f>
        <v>0</v>
      </c>
      <c r="D137" s="81">
        <f>SUM(D138:D143)</f>
        <v>0</v>
      </c>
      <c r="E137" s="81">
        <f>SUM(E138:E143)</f>
        <v>0</v>
      </c>
    </row>
    <row r="138" spans="1:5" ht="12" customHeight="1">
      <c r="A138" s="83" t="s">
        <v>88</v>
      </c>
      <c r="B138" s="38" t="s">
        <v>458</v>
      </c>
      <c r="C138" s="137"/>
      <c r="D138" s="137"/>
      <c r="E138" s="137"/>
    </row>
    <row r="139" spans="1:5" ht="12" customHeight="1">
      <c r="A139" s="83" t="s">
        <v>89</v>
      </c>
      <c r="B139" s="38" t="s">
        <v>450</v>
      </c>
      <c r="C139" s="137"/>
      <c r="D139" s="137"/>
      <c r="E139" s="137"/>
    </row>
    <row r="140" spans="1:5" ht="12" customHeight="1">
      <c r="A140" s="83" t="s">
        <v>90</v>
      </c>
      <c r="B140" s="38" t="s">
        <v>451</v>
      </c>
      <c r="C140" s="137"/>
      <c r="D140" s="137"/>
      <c r="E140" s="137"/>
    </row>
    <row r="141" spans="1:5" ht="12" customHeight="1">
      <c r="A141" s="83" t="s">
        <v>166</v>
      </c>
      <c r="B141" s="38" t="s">
        <v>452</v>
      </c>
      <c r="C141" s="137"/>
      <c r="D141" s="137"/>
      <c r="E141" s="137"/>
    </row>
    <row r="142" spans="1:5" ht="12" customHeight="1">
      <c r="A142" s="83" t="s">
        <v>167</v>
      </c>
      <c r="B142" s="38" t="s">
        <v>453</v>
      </c>
      <c r="C142" s="137"/>
      <c r="D142" s="137"/>
      <c r="E142" s="137"/>
    </row>
    <row r="143" spans="1:5" ht="12" customHeight="1" thickBot="1">
      <c r="A143" s="129" t="s">
        <v>168</v>
      </c>
      <c r="B143" s="38" t="s">
        <v>454</v>
      </c>
      <c r="C143" s="137"/>
      <c r="D143" s="137"/>
      <c r="E143" s="137"/>
    </row>
    <row r="144" spans="1:5" ht="12" customHeight="1" thickBot="1">
      <c r="A144" s="79" t="s">
        <v>21</v>
      </c>
      <c r="B144" s="40" t="s">
        <v>462</v>
      </c>
      <c r="C144" s="95">
        <f>+C145+C146+C147+C148</f>
        <v>7960578</v>
      </c>
      <c r="D144" s="95">
        <f>+D145+D146+D147+D148</f>
        <v>8033142</v>
      </c>
      <c r="E144" s="95">
        <f>+E145+E146+E147+E148</f>
        <v>8033142</v>
      </c>
    </row>
    <row r="145" spans="1:5" ht="12" customHeight="1">
      <c r="A145" s="83" t="s">
        <v>91</v>
      </c>
      <c r="B145" s="38" t="s">
        <v>369</v>
      </c>
      <c r="C145" s="137"/>
      <c r="D145" s="137"/>
      <c r="E145" s="137"/>
    </row>
    <row r="146" spans="1:5" ht="12" customHeight="1">
      <c r="A146" s="83" t="s">
        <v>92</v>
      </c>
      <c r="B146" s="38" t="s">
        <v>370</v>
      </c>
      <c r="C146" s="137">
        <f>7960578</f>
        <v>7960578</v>
      </c>
      <c r="D146" s="137">
        <f>7960578+72564</f>
        <v>8033142</v>
      </c>
      <c r="E146" s="137">
        <f>8033142</f>
        <v>8033142</v>
      </c>
    </row>
    <row r="147" spans="1:5" ht="12" customHeight="1">
      <c r="A147" s="83" t="s">
        <v>284</v>
      </c>
      <c r="B147" s="38" t="s">
        <v>463</v>
      </c>
      <c r="C147" s="137"/>
      <c r="D147" s="137"/>
      <c r="E147" s="137"/>
    </row>
    <row r="148" spans="1:5" ht="12" customHeight="1" thickBot="1">
      <c r="A148" s="129" t="s">
        <v>285</v>
      </c>
      <c r="B148" s="34" t="s">
        <v>389</v>
      </c>
      <c r="C148" s="137"/>
      <c r="D148" s="137"/>
      <c r="E148" s="137"/>
    </row>
    <row r="149" spans="1:5" ht="12" customHeight="1" thickBot="1">
      <c r="A149" s="79" t="s">
        <v>22</v>
      </c>
      <c r="B149" s="40" t="s">
        <v>464</v>
      </c>
      <c r="C149" s="140">
        <f>SUM(C150:C154)</f>
        <v>0</v>
      </c>
      <c r="D149" s="140">
        <f>SUM(D150:D154)</f>
        <v>0</v>
      </c>
      <c r="E149" s="140">
        <f>SUM(E150:E154)</f>
        <v>0</v>
      </c>
    </row>
    <row r="150" spans="1:5" ht="12" customHeight="1">
      <c r="A150" s="83" t="s">
        <v>93</v>
      </c>
      <c r="B150" s="38" t="s">
        <v>459</v>
      </c>
      <c r="C150" s="137"/>
      <c r="D150" s="137"/>
      <c r="E150" s="137"/>
    </row>
    <row r="151" spans="1:5" ht="12" customHeight="1">
      <c r="A151" s="83" t="s">
        <v>94</v>
      </c>
      <c r="B151" s="38" t="s">
        <v>466</v>
      </c>
      <c r="C151" s="137"/>
      <c r="D151" s="137"/>
      <c r="E151" s="137"/>
    </row>
    <row r="152" spans="1:5" ht="12" customHeight="1">
      <c r="A152" s="83" t="s">
        <v>296</v>
      </c>
      <c r="B152" s="38" t="s">
        <v>461</v>
      </c>
      <c r="C152" s="137"/>
      <c r="D152" s="137"/>
      <c r="E152" s="137"/>
    </row>
    <row r="153" spans="1:5" ht="12" customHeight="1">
      <c r="A153" s="83" t="s">
        <v>297</v>
      </c>
      <c r="B153" s="38" t="s">
        <v>467</v>
      </c>
      <c r="C153" s="137"/>
      <c r="D153" s="137"/>
      <c r="E153" s="137"/>
    </row>
    <row r="154" spans="1:5" ht="12" customHeight="1" thickBot="1">
      <c r="A154" s="83" t="s">
        <v>465</v>
      </c>
      <c r="B154" s="38" t="s">
        <v>468</v>
      </c>
      <c r="C154" s="137"/>
      <c r="D154" s="137"/>
      <c r="E154" s="137"/>
    </row>
    <row r="155" spans="1:5" ht="12" customHeight="1" thickBot="1">
      <c r="A155" s="79" t="s">
        <v>23</v>
      </c>
      <c r="B155" s="40" t="s">
        <v>469</v>
      </c>
      <c r="C155" s="141"/>
      <c r="D155" s="141"/>
      <c r="E155" s="141"/>
    </row>
    <row r="156" spans="1:5" ht="12" customHeight="1" thickBot="1">
      <c r="A156" s="79" t="s">
        <v>24</v>
      </c>
      <c r="B156" s="40" t="s">
        <v>544</v>
      </c>
      <c r="C156" s="141"/>
      <c r="D156" s="141"/>
      <c r="E156" s="141"/>
    </row>
    <row r="157" spans="1:5" ht="15" customHeight="1" thickBot="1">
      <c r="A157" s="79" t="s">
        <v>25</v>
      </c>
      <c r="B157" s="40" t="s">
        <v>472</v>
      </c>
      <c r="C157" s="142">
        <f>+C133+C137+C144+C149+C155+C156</f>
        <v>7960578</v>
      </c>
      <c r="D157" s="142">
        <f>+D133+D137+D144+D149+D155+D156</f>
        <v>8033142</v>
      </c>
      <c r="E157" s="142">
        <f>+E133+E137+E144+E149+E155+E156</f>
        <v>8033142</v>
      </c>
    </row>
    <row r="158" spans="1:5" s="82" customFormat="1" ht="12.95" customHeight="1" thickBot="1">
      <c r="A158" s="144" t="s">
        <v>26</v>
      </c>
      <c r="B158" s="145" t="s">
        <v>471</v>
      </c>
      <c r="C158" s="142">
        <f>+C132+C157</f>
        <v>1233592784</v>
      </c>
      <c r="D158" s="142">
        <f>+D132+D157</f>
        <v>1237125862</v>
      </c>
      <c r="E158" s="142">
        <f>+E132+E157</f>
        <v>1205024002</v>
      </c>
    </row>
    <row r="159" spans="1:5" ht="7.5" customHeight="1"/>
    <row r="160" spans="1:5">
      <c r="A160" s="167" t="s">
        <v>371</v>
      </c>
      <c r="B160" s="167"/>
      <c r="C160" s="71"/>
      <c r="D160" s="71"/>
      <c r="E160" s="71"/>
    </row>
    <row r="161" spans="1:5" ht="15" customHeight="1" thickBot="1">
      <c r="A161" s="691" t="s">
        <v>146</v>
      </c>
      <c r="B161" s="691"/>
      <c r="C161" s="72" t="s">
        <v>606</v>
      </c>
      <c r="D161" s="72" t="s">
        <v>606</v>
      </c>
      <c r="E161" s="72" t="s">
        <v>606</v>
      </c>
    </row>
    <row r="162" spans="1:5" ht="30.75" customHeight="1" thickBot="1">
      <c r="A162" s="79">
        <v>1</v>
      </c>
      <c r="B162" s="147" t="s">
        <v>473</v>
      </c>
      <c r="C162" s="81">
        <f>+C66-C132</f>
        <v>-601704590</v>
      </c>
      <c r="D162" s="81">
        <f>+D66-D132</f>
        <v>-601704590</v>
      </c>
      <c r="E162" s="81">
        <f>+E66-E132</f>
        <v>-562508589</v>
      </c>
    </row>
    <row r="163" spans="1:5" ht="34.5" customHeight="1" thickBot="1">
      <c r="A163" s="79" t="s">
        <v>17</v>
      </c>
      <c r="B163" s="147" t="s">
        <v>479</v>
      </c>
      <c r="C163" s="81">
        <f>+C90-C157</f>
        <v>601704590</v>
      </c>
      <c r="D163" s="81">
        <f>+D90-D157</f>
        <v>601704590</v>
      </c>
      <c r="E163" s="81">
        <f>+E90-E157</f>
        <v>602300335</v>
      </c>
    </row>
  </sheetData>
  <mergeCells count="5">
    <mergeCell ref="A161:B161"/>
    <mergeCell ref="A93:B93"/>
    <mergeCell ref="A5:B5"/>
    <mergeCell ref="A6:B6"/>
    <mergeCell ref="A94:B94"/>
  </mergeCells>
  <phoneticPr fontId="0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6" fitToHeight="2" orientation="portrait" r:id="rId1"/>
  <headerFooter alignWithMargins="0">
    <oddHeader>&amp;R&amp;"Times New Roman CE,Félkövér dőlt"&amp;11 1.1. melléklet a 13/2018. (VI.25.) önkormányzati rendelethez</oddHeader>
    <oddFooter>&amp;P. oldal, összesen: &amp;N</oddFooter>
  </headerFooter>
  <rowBreaks count="3" manualBreakCount="3">
    <brk id="49" max="4" man="1"/>
    <brk id="91" max="4" man="1"/>
    <brk id="13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FFFF00"/>
  </sheetPr>
  <dimension ref="A1:P72"/>
  <sheetViews>
    <sheetView topLeftCell="C1" zoomScaleNormal="100" workbookViewId="0">
      <selection activeCell="F1" sqref="F1:N1"/>
    </sheetView>
  </sheetViews>
  <sheetFormatPr defaultRowHeight="15.75"/>
  <cols>
    <col min="1" max="1" width="72.6640625" style="277" customWidth="1"/>
    <col min="2" max="2" width="30.1640625" style="277" bestFit="1" customWidth="1"/>
    <col min="3" max="3" width="13.83203125" style="258" bestFit="1" customWidth="1"/>
    <col min="4" max="4" width="22.6640625" style="258" bestFit="1" customWidth="1"/>
    <col min="5" max="5" width="14.5" style="258" bestFit="1" customWidth="1"/>
    <col min="6" max="8" width="20.83203125" style="258" bestFit="1" customWidth="1"/>
    <col min="9" max="9" width="15.1640625" style="260" bestFit="1" customWidth="1"/>
    <col min="10" max="10" width="2.83203125" style="258" bestFit="1" customWidth="1"/>
    <col min="11" max="11" width="15.6640625" style="276" bestFit="1" customWidth="1"/>
    <col min="12" max="12" width="12.5" style="258" bestFit="1" customWidth="1"/>
    <col min="13" max="13" width="11.33203125" style="258" bestFit="1" customWidth="1"/>
    <col min="14" max="14" width="13.83203125" style="258" bestFit="1" customWidth="1"/>
    <col min="15" max="15" width="11.33203125" style="260" bestFit="1" customWidth="1"/>
    <col min="16" max="16" width="2.1640625" style="258" bestFit="1" customWidth="1"/>
    <col min="17" max="17" width="12.83203125" style="258" customWidth="1"/>
    <col min="18" max="18" width="13.83203125" style="258" customWidth="1"/>
    <col min="19" max="16384" width="9.33203125" style="258"/>
  </cols>
  <sheetData>
    <row r="1" spans="1:15" ht="19.5" customHeight="1">
      <c r="A1" s="277" t="s">
        <v>539</v>
      </c>
      <c r="F1" s="714" t="s">
        <v>760</v>
      </c>
      <c r="G1" s="714"/>
      <c r="H1" s="714"/>
      <c r="I1" s="714"/>
      <c r="J1" s="714"/>
      <c r="K1" s="714"/>
      <c r="L1" s="714"/>
      <c r="M1" s="714"/>
      <c r="N1" s="714"/>
    </row>
    <row r="5" spans="1:15" ht="25.5" customHeight="1">
      <c r="A5" s="712" t="s">
        <v>0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</row>
    <row r="6" spans="1:15" ht="22.5" customHeight="1" thickBot="1">
      <c r="A6" s="259"/>
      <c r="B6" s="259"/>
      <c r="C6" s="260"/>
      <c r="D6" s="260"/>
      <c r="E6" s="260"/>
      <c r="F6" s="260"/>
      <c r="G6" s="260"/>
      <c r="H6" s="260"/>
      <c r="I6" s="261" t="s">
        <v>589</v>
      </c>
      <c r="J6" s="260"/>
      <c r="K6" s="262" t="s">
        <v>589</v>
      </c>
      <c r="L6" s="260"/>
      <c r="M6" s="260"/>
      <c r="N6" s="260"/>
      <c r="O6" s="261"/>
    </row>
    <row r="7" spans="1:15" s="257" customFormat="1" ht="44.25" customHeight="1" thickBot="1">
      <c r="A7" s="263" t="s">
        <v>61</v>
      </c>
      <c r="B7" s="264" t="s">
        <v>642</v>
      </c>
      <c r="C7" s="265" t="s">
        <v>62</v>
      </c>
      <c r="D7" s="265" t="s">
        <v>63</v>
      </c>
      <c r="E7" s="265" t="s">
        <v>699</v>
      </c>
      <c r="F7" s="265" t="s">
        <v>688</v>
      </c>
      <c r="G7" s="265" t="s">
        <v>739</v>
      </c>
      <c r="H7" s="265" t="s">
        <v>744</v>
      </c>
      <c r="I7" s="266" t="s">
        <v>700</v>
      </c>
      <c r="J7" s="267"/>
      <c r="K7" s="267" t="s">
        <v>634</v>
      </c>
      <c r="L7" s="268" t="s">
        <v>635</v>
      </c>
      <c r="M7" s="268" t="s">
        <v>636</v>
      </c>
      <c r="N7" s="269" t="s">
        <v>633</v>
      </c>
      <c r="O7" s="266" t="s">
        <v>676</v>
      </c>
    </row>
    <row r="8" spans="1:15" s="260" customFormat="1" ht="12" customHeight="1" thickBot="1">
      <c r="A8" s="270" t="s">
        <v>486</v>
      </c>
      <c r="B8" s="271"/>
      <c r="C8" s="272" t="s">
        <v>487</v>
      </c>
      <c r="D8" s="272" t="s">
        <v>488</v>
      </c>
      <c r="E8" s="272" t="s">
        <v>490</v>
      </c>
      <c r="F8" s="272" t="s">
        <v>489</v>
      </c>
      <c r="G8" s="272" t="s">
        <v>489</v>
      </c>
      <c r="H8" s="272" t="s">
        <v>489</v>
      </c>
      <c r="I8" s="273" t="s">
        <v>492</v>
      </c>
      <c r="J8" s="274"/>
      <c r="K8" s="274"/>
      <c r="L8" s="275"/>
      <c r="M8" s="275"/>
      <c r="N8" s="272"/>
      <c r="O8" s="273"/>
    </row>
    <row r="9" spans="1:15" ht="24.75" customHeight="1">
      <c r="A9" s="605" t="s">
        <v>685</v>
      </c>
      <c r="B9" s="606" t="s">
        <v>684</v>
      </c>
      <c r="C9" s="607">
        <f>393701*1.27</f>
        <v>500000.27</v>
      </c>
      <c r="D9" s="608" t="s">
        <v>721</v>
      </c>
      <c r="E9" s="607"/>
      <c r="F9" s="607">
        <f>393701*1.27</f>
        <v>500000.27</v>
      </c>
      <c r="G9" s="607">
        <f>393701*1.27</f>
        <v>500000.27</v>
      </c>
      <c r="H9" s="607">
        <f>393701*1.27</f>
        <v>500000.27</v>
      </c>
      <c r="I9" s="609"/>
      <c r="J9" s="610"/>
      <c r="K9" s="611">
        <f>L9+M9+N9</f>
        <v>500000.27</v>
      </c>
      <c r="L9" s="610">
        <f>393701*1.27</f>
        <v>500000.27</v>
      </c>
      <c r="M9" s="610"/>
      <c r="N9" s="607"/>
      <c r="O9" s="612"/>
    </row>
    <row r="10" spans="1:15" ht="24.75" customHeight="1">
      <c r="A10" s="605" t="s">
        <v>618</v>
      </c>
      <c r="B10" s="606" t="s">
        <v>643</v>
      </c>
      <c r="C10" s="607">
        <f>2500000</f>
        <v>2500000</v>
      </c>
      <c r="D10" s="608" t="s">
        <v>723</v>
      </c>
      <c r="E10" s="607"/>
      <c r="F10" s="607">
        <f>2500000</f>
        <v>2500000</v>
      </c>
      <c r="G10" s="607">
        <f>2500000</f>
        <v>2500000</v>
      </c>
      <c r="H10" s="607">
        <f>2500000</f>
        <v>2500000</v>
      </c>
      <c r="I10" s="612"/>
      <c r="J10" s="610"/>
      <c r="K10" s="611">
        <f>L10+M10+N10</f>
        <v>2500000</v>
      </c>
      <c r="L10" s="610"/>
      <c r="M10" s="610"/>
      <c r="N10" s="607">
        <f>2500000</f>
        <v>2500000</v>
      </c>
      <c r="O10" s="612"/>
    </row>
    <row r="11" spans="1:15" ht="24.75" customHeight="1">
      <c r="A11" s="605" t="s">
        <v>754</v>
      </c>
      <c r="B11" s="606" t="s">
        <v>644</v>
      </c>
      <c r="C11" s="607">
        <f>50000*1.27</f>
        <v>63500</v>
      </c>
      <c r="D11" s="608"/>
      <c r="E11" s="607"/>
      <c r="F11" s="607"/>
      <c r="G11" s="607"/>
      <c r="H11" s="607">
        <f>50000*1.27</f>
        <v>63500</v>
      </c>
      <c r="I11" s="609"/>
      <c r="J11" s="610"/>
      <c r="K11" s="611">
        <f>L11+M11+N11</f>
        <v>63500</v>
      </c>
      <c r="L11" s="607">
        <f>50000*1.27</f>
        <v>63500</v>
      </c>
      <c r="M11" s="610"/>
      <c r="N11" s="607"/>
      <c r="O11" s="609"/>
    </row>
    <row r="12" spans="1:15" s="616" customFormat="1" ht="24.75" customHeight="1">
      <c r="A12" s="613" t="s">
        <v>626</v>
      </c>
      <c r="B12" s="614"/>
      <c r="C12" s="615">
        <f>SUM(C9:C11)</f>
        <v>3063500.27</v>
      </c>
      <c r="D12" s="615"/>
      <c r="E12" s="615"/>
      <c r="F12" s="615">
        <f t="shared" ref="F12:O12" si="0">SUM(F9:F11)</f>
        <v>3000000.27</v>
      </c>
      <c r="G12" s="615">
        <f t="shared" si="0"/>
        <v>3000000.27</v>
      </c>
      <c r="H12" s="615">
        <f t="shared" si="0"/>
        <v>3063500.27</v>
      </c>
      <c r="I12" s="615"/>
      <c r="J12" s="615"/>
      <c r="K12" s="615">
        <f t="shared" si="0"/>
        <v>3063500.27</v>
      </c>
      <c r="L12" s="615">
        <f t="shared" si="0"/>
        <v>563500.27</v>
      </c>
      <c r="M12" s="615">
        <f t="shared" si="0"/>
        <v>0</v>
      </c>
      <c r="N12" s="615">
        <f t="shared" si="0"/>
        <v>2500000</v>
      </c>
      <c r="O12" s="615">
        <f t="shared" si="0"/>
        <v>0</v>
      </c>
    </row>
    <row r="13" spans="1:15" s="616" customFormat="1" ht="24.75" customHeight="1">
      <c r="A13" s="613"/>
      <c r="B13" s="614"/>
      <c r="C13" s="615"/>
      <c r="D13" s="617"/>
      <c r="E13" s="615"/>
      <c r="F13" s="615"/>
      <c r="G13" s="615"/>
      <c r="H13" s="615"/>
      <c r="I13" s="618"/>
      <c r="J13" s="619"/>
      <c r="K13" s="619"/>
      <c r="L13" s="619"/>
      <c r="M13" s="619"/>
      <c r="N13" s="615"/>
      <c r="O13" s="618"/>
    </row>
    <row r="14" spans="1:15" ht="31.5">
      <c r="A14" s="605" t="s">
        <v>619</v>
      </c>
      <c r="B14" s="606" t="s">
        <v>641</v>
      </c>
      <c r="C14" s="607">
        <f>(1847314*1.27)-(1101894+297511)-(745420+201264)</f>
        <v>-0.21999999973922968</v>
      </c>
      <c r="D14" s="608" t="s">
        <v>721</v>
      </c>
      <c r="E14" s="607"/>
      <c r="F14" s="607">
        <f>1847314*1.27</f>
        <v>2346088.7800000003</v>
      </c>
      <c r="G14" s="607">
        <f>1847314*1.27</f>
        <v>2346088.7800000003</v>
      </c>
      <c r="H14" s="607">
        <f>(1847314*1.27)-(1101894+297511)-(745420+201264)</f>
        <v>-0.21999999973922968</v>
      </c>
      <c r="I14" s="612"/>
      <c r="J14" s="610"/>
      <c r="K14" s="611">
        <f t="shared" ref="K14:K26" si="1">L14+M14+N14</f>
        <v>0</v>
      </c>
      <c r="L14" s="610"/>
      <c r="M14" s="607"/>
      <c r="N14" s="607"/>
      <c r="O14" s="612"/>
    </row>
    <row r="15" spans="1:15" ht="31.5">
      <c r="A15" s="605" t="s">
        <v>724</v>
      </c>
      <c r="B15" s="606" t="s">
        <v>725</v>
      </c>
      <c r="C15" s="607">
        <f>600000*1.27</f>
        <v>762000</v>
      </c>
      <c r="D15" s="608" t="s">
        <v>721</v>
      </c>
      <c r="E15" s="607"/>
      <c r="F15" s="607">
        <f>600000*1.27</f>
        <v>762000</v>
      </c>
      <c r="G15" s="607">
        <f>600000*1.27</f>
        <v>762000</v>
      </c>
      <c r="H15" s="607">
        <f>600000*1.27</f>
        <v>762000</v>
      </c>
      <c r="I15" s="612"/>
      <c r="J15" s="610"/>
      <c r="K15" s="611">
        <f t="shared" si="1"/>
        <v>762000</v>
      </c>
      <c r="L15" s="610">
        <f>600000*1.27</f>
        <v>762000</v>
      </c>
      <c r="M15" s="610"/>
      <c r="N15" s="607"/>
      <c r="O15" s="612"/>
    </row>
    <row r="16" spans="1:15">
      <c r="A16" s="605" t="s">
        <v>726</v>
      </c>
      <c r="B16" s="606" t="s">
        <v>645</v>
      </c>
      <c r="C16" s="607">
        <f>400000*1.27</f>
        <v>508000</v>
      </c>
      <c r="D16" s="608" t="s">
        <v>721</v>
      </c>
      <c r="E16" s="607"/>
      <c r="F16" s="607">
        <f>400000*1.27</f>
        <v>508000</v>
      </c>
      <c r="G16" s="607">
        <f>400000*1.27</f>
        <v>508000</v>
      </c>
      <c r="H16" s="607">
        <f>400000*1.27</f>
        <v>508000</v>
      </c>
      <c r="I16" s="612"/>
      <c r="J16" s="610"/>
      <c r="K16" s="611">
        <f t="shared" si="1"/>
        <v>508000</v>
      </c>
      <c r="L16" s="607">
        <f>400000*1.27</f>
        <v>508000</v>
      </c>
      <c r="M16" s="610"/>
      <c r="N16" s="607"/>
      <c r="O16" s="612"/>
    </row>
    <row r="17" spans="1:16">
      <c r="A17" s="605" t="s">
        <v>631</v>
      </c>
      <c r="B17" s="606" t="s">
        <v>645</v>
      </c>
      <c r="C17" s="607">
        <f>640000*1.27</f>
        <v>812800</v>
      </c>
      <c r="D17" s="608" t="s">
        <v>721</v>
      </c>
      <c r="E17" s="607"/>
      <c r="F17" s="607">
        <f>640000*1.27</f>
        <v>812800</v>
      </c>
      <c r="G17" s="607">
        <f>640000*1.27</f>
        <v>812800</v>
      </c>
      <c r="H17" s="607">
        <f>640000*1.27</f>
        <v>812800</v>
      </c>
      <c r="I17" s="612"/>
      <c r="J17" s="610"/>
      <c r="K17" s="611">
        <f t="shared" si="1"/>
        <v>812800</v>
      </c>
      <c r="L17" s="607">
        <f>640000*1.27</f>
        <v>812800</v>
      </c>
      <c r="M17" s="610"/>
      <c r="N17" s="607"/>
      <c r="O17" s="612"/>
    </row>
    <row r="18" spans="1:16" ht="31.5">
      <c r="A18" s="605" t="s">
        <v>727</v>
      </c>
      <c r="B18" s="606" t="s">
        <v>643</v>
      </c>
      <c r="C18" s="607">
        <f>(300180*1.27)+(500000*1.27)-(500000*1.27)</f>
        <v>381228.6</v>
      </c>
      <c r="D18" s="608" t="s">
        <v>721</v>
      </c>
      <c r="E18" s="607"/>
      <c r="F18" s="607">
        <f>(300180*1.27)+(500000*1.27)</f>
        <v>1016228.6</v>
      </c>
      <c r="G18" s="607">
        <f>(300180*1.27)+(500000*1.27)-(500000*1.27)</f>
        <v>381228.6</v>
      </c>
      <c r="H18" s="607">
        <f>(300180*1.27)+(500000*1.27)-(500000*1.27)</f>
        <v>381228.6</v>
      </c>
      <c r="I18" s="612"/>
      <c r="J18" s="610"/>
      <c r="K18" s="611">
        <f t="shared" si="1"/>
        <v>381228.6</v>
      </c>
      <c r="L18" s="607">
        <f>(300180*1.27)+(500000*1.27)-(500000*1.27)</f>
        <v>381228.6</v>
      </c>
      <c r="M18" s="610"/>
      <c r="N18" s="607"/>
      <c r="O18" s="612"/>
    </row>
    <row r="19" spans="1:16" ht="31.5">
      <c r="A19" s="605" t="s">
        <v>728</v>
      </c>
      <c r="B19" s="606" t="s">
        <v>643</v>
      </c>
      <c r="C19" s="607">
        <f>80000*1.27-80000*1.27</f>
        <v>0</v>
      </c>
      <c r="D19" s="608" t="s">
        <v>721</v>
      </c>
      <c r="E19" s="607"/>
      <c r="F19" s="607">
        <f>80000*1.27</f>
        <v>101600</v>
      </c>
      <c r="G19" s="607">
        <f>80000*1.27-80000*1.27</f>
        <v>0</v>
      </c>
      <c r="H19" s="607">
        <f>80000*1.27-80000*1.27</f>
        <v>0</v>
      </c>
      <c r="I19" s="612"/>
      <c r="J19" s="610"/>
      <c r="K19" s="611">
        <f t="shared" si="1"/>
        <v>0</v>
      </c>
      <c r="L19" s="607">
        <f>80000*1.27-80000*1.27</f>
        <v>0</v>
      </c>
      <c r="M19" s="610"/>
      <c r="N19" s="607"/>
      <c r="O19" s="612"/>
    </row>
    <row r="20" spans="1:16" ht="31.5">
      <c r="A20" s="605" t="s">
        <v>729</v>
      </c>
      <c r="B20" s="606" t="s">
        <v>643</v>
      </c>
      <c r="C20" s="607">
        <f>2890000*1.27</f>
        <v>3670300</v>
      </c>
      <c r="D20" s="608" t="s">
        <v>721</v>
      </c>
      <c r="E20" s="607"/>
      <c r="F20" s="607">
        <f>2890000*1.27</f>
        <v>3670300</v>
      </c>
      <c r="G20" s="607">
        <f>2890000*1.27</f>
        <v>3670300</v>
      </c>
      <c r="H20" s="607">
        <f>2890000*1.27</f>
        <v>3670300</v>
      </c>
      <c r="I20" s="612"/>
      <c r="J20" s="610"/>
      <c r="K20" s="611">
        <f t="shared" si="1"/>
        <v>3670300</v>
      </c>
      <c r="L20" s="607">
        <f>2890000*1.27</f>
        <v>3670300</v>
      </c>
      <c r="M20" s="610"/>
      <c r="N20" s="610"/>
      <c r="O20" s="612"/>
    </row>
    <row r="21" spans="1:16" ht="31.5">
      <c r="A21" s="605" t="s">
        <v>664</v>
      </c>
      <c r="B21" s="606" t="s">
        <v>643</v>
      </c>
      <c r="C21" s="607">
        <f>43986063*1.27</f>
        <v>55862300.009999998</v>
      </c>
      <c r="D21" s="608" t="s">
        <v>672</v>
      </c>
      <c r="E21" s="607"/>
      <c r="F21" s="607">
        <f>43986063*1.27</f>
        <v>55862300.009999998</v>
      </c>
      <c r="G21" s="607">
        <f>43986063*1.27</f>
        <v>55862300.009999998</v>
      </c>
      <c r="H21" s="607">
        <f>43986063*1.27</f>
        <v>55862300.009999998</v>
      </c>
      <c r="I21" s="609"/>
      <c r="J21" s="610"/>
      <c r="K21" s="611">
        <f>L21+M21+N21</f>
        <v>55862300.009999998</v>
      </c>
      <c r="L21" s="610"/>
      <c r="M21" s="610"/>
      <c r="N21" s="607">
        <f>43986063*1.27</f>
        <v>55862300.009999998</v>
      </c>
      <c r="O21" s="612"/>
    </row>
    <row r="22" spans="1:16" ht="47.25">
      <c r="A22" s="605" t="s">
        <v>667</v>
      </c>
      <c r="B22" s="606" t="s">
        <v>643</v>
      </c>
      <c r="C22" s="607">
        <f>124260246*1.27-3</f>
        <v>157810509.42000002</v>
      </c>
      <c r="D22" s="608" t="s">
        <v>671</v>
      </c>
      <c r="E22" s="607"/>
      <c r="F22" s="607">
        <f>124260246*1.27-4</f>
        <v>157810508.42000002</v>
      </c>
      <c r="G22" s="607">
        <f>124260246*1.27-4</f>
        <v>157810508.42000002</v>
      </c>
      <c r="H22" s="607">
        <f>124260246*1.27-3</f>
        <v>157810509.42000002</v>
      </c>
      <c r="I22" s="609"/>
      <c r="J22" s="610"/>
      <c r="K22" s="611">
        <f>L22+M22+N22</f>
        <v>157810509.42000002</v>
      </c>
      <c r="L22" s="610">
        <f>4602231*0.27-3</f>
        <v>1242599.3700000001</v>
      </c>
      <c r="M22" s="610"/>
      <c r="N22" s="607">
        <f>124260246*1.27-(4602231*0.27)</f>
        <v>156567910.05000001</v>
      </c>
      <c r="O22" s="612"/>
      <c r="P22" s="713" t="s">
        <v>682</v>
      </c>
    </row>
    <row r="23" spans="1:16" ht="31.5">
      <c r="A23" s="605" t="s">
        <v>681</v>
      </c>
      <c r="B23" s="606" t="s">
        <v>643</v>
      </c>
      <c r="C23" s="607">
        <f>5097769*1.27</f>
        <v>6474166.6299999999</v>
      </c>
      <c r="D23" s="608" t="s">
        <v>721</v>
      </c>
      <c r="E23" s="607"/>
      <c r="F23" s="607">
        <f>5097769*1.27</f>
        <v>6474166.6299999999</v>
      </c>
      <c r="G23" s="607">
        <f>5097769*1.27</f>
        <v>6474166.6299999999</v>
      </c>
      <c r="H23" s="607">
        <f>5097769*1.27</f>
        <v>6474166.6299999999</v>
      </c>
      <c r="I23" s="609"/>
      <c r="J23" s="610"/>
      <c r="K23" s="611">
        <f>L23+M23+N23</f>
        <v>6474166.6299999999</v>
      </c>
      <c r="L23" s="607"/>
      <c r="M23" s="610"/>
      <c r="N23" s="607">
        <f>5097769*1.27</f>
        <v>6474166.6299999999</v>
      </c>
      <c r="O23" s="612"/>
      <c r="P23" s="713"/>
    </row>
    <row r="24" spans="1:16" ht="31.5">
      <c r="A24" s="605" t="s">
        <v>668</v>
      </c>
      <c r="B24" s="606" t="s">
        <v>643</v>
      </c>
      <c r="C24" s="607">
        <f>51370638*1.27-(650000*0.27)-13694572</f>
        <v>51370638.259999998</v>
      </c>
      <c r="D24" s="608" t="s">
        <v>670</v>
      </c>
      <c r="E24" s="607"/>
      <c r="F24" s="607">
        <f>51370638*1.27-(650000*0.27)</f>
        <v>65065210.259999998</v>
      </c>
      <c r="G24" s="607">
        <f>51370638*1.27-(650000*0.27)</f>
        <v>65065210.259999998</v>
      </c>
      <c r="H24" s="607">
        <f>51370638*1.27-(650000*0.27)-13694572</f>
        <v>51370638.259999998</v>
      </c>
      <c r="I24" s="609"/>
      <c r="J24" s="610"/>
      <c r="K24" s="611">
        <f>L24+M24+N24</f>
        <v>51370638.259999998</v>
      </c>
      <c r="L24" s="610"/>
      <c r="M24" s="610"/>
      <c r="N24" s="607">
        <f>51370638*1.27-(650000*0.27)-13694572</f>
        <v>51370638.259999998</v>
      </c>
      <c r="O24" s="612"/>
    </row>
    <row r="25" spans="1:16" ht="24.75" customHeight="1">
      <c r="A25" s="605" t="s">
        <v>731</v>
      </c>
      <c r="B25" s="606" t="s">
        <v>644</v>
      </c>
      <c r="C25" s="607">
        <f>8000000*1.27</f>
        <v>10160000</v>
      </c>
      <c r="D25" s="608" t="s">
        <v>721</v>
      </c>
      <c r="E25" s="607"/>
      <c r="F25" s="607">
        <f>8000000*1.27</f>
        <v>10160000</v>
      </c>
      <c r="G25" s="607">
        <f>8000000*1.27</f>
        <v>10160000</v>
      </c>
      <c r="H25" s="607">
        <f>8000000*1.27</f>
        <v>10160000</v>
      </c>
      <c r="I25" s="612"/>
      <c r="J25" s="610"/>
      <c r="K25" s="611">
        <f t="shared" si="1"/>
        <v>10160000</v>
      </c>
      <c r="L25" s="607">
        <f>8000000*1.27</f>
        <v>10160000</v>
      </c>
      <c r="M25" s="610"/>
      <c r="N25" s="607"/>
      <c r="O25" s="612"/>
    </row>
    <row r="26" spans="1:16" ht="24.75" customHeight="1">
      <c r="A26" s="605" t="s">
        <v>732</v>
      </c>
      <c r="B26" s="606" t="s">
        <v>663</v>
      </c>
      <c r="C26" s="607">
        <f>154744*1.27</f>
        <v>196524.88</v>
      </c>
      <c r="D26" s="608" t="s">
        <v>721</v>
      </c>
      <c r="E26" s="607"/>
      <c r="F26" s="607">
        <f>154744*1.27</f>
        <v>196524.88</v>
      </c>
      <c r="G26" s="607">
        <f>154744*1.27</f>
        <v>196524.88</v>
      </c>
      <c r="H26" s="607">
        <f>154744*1.27</f>
        <v>196524.88</v>
      </c>
      <c r="I26" s="609"/>
      <c r="J26" s="610"/>
      <c r="K26" s="611">
        <f t="shared" si="1"/>
        <v>196524.88</v>
      </c>
      <c r="L26" s="607"/>
      <c r="M26" s="610"/>
      <c r="N26" s="607">
        <f>F26</f>
        <v>196524.88</v>
      </c>
      <c r="O26" s="612"/>
    </row>
    <row r="27" spans="1:16" ht="24.75" customHeight="1">
      <c r="A27" s="605" t="s">
        <v>599</v>
      </c>
      <c r="B27" s="606" t="s">
        <v>640</v>
      </c>
      <c r="C27" s="607">
        <f>1500000*1.27-(1500000*1.27)</f>
        <v>0</v>
      </c>
      <c r="D27" s="608" t="s">
        <v>721</v>
      </c>
      <c r="E27" s="607"/>
      <c r="F27" s="607">
        <f>1500000*1.27</f>
        <v>1905000</v>
      </c>
      <c r="G27" s="607">
        <f>1500000*1.27</f>
        <v>1905000</v>
      </c>
      <c r="H27" s="607">
        <f>1500000*1.27-(1500000*1.27)</f>
        <v>0</v>
      </c>
      <c r="I27" s="612"/>
      <c r="J27" s="610"/>
      <c r="K27" s="611">
        <f>L27+M27+N27</f>
        <v>0</v>
      </c>
      <c r="L27" s="607">
        <f>1500000*1.27-(1500000*1.27)</f>
        <v>0</v>
      </c>
      <c r="M27" s="610"/>
      <c r="N27" s="607"/>
      <c r="O27" s="612"/>
    </row>
    <row r="28" spans="1:16" ht="24.75" customHeight="1">
      <c r="A28" s="605" t="s">
        <v>734</v>
      </c>
      <c r="B28" s="606" t="s">
        <v>640</v>
      </c>
      <c r="C28" s="607">
        <f>(1156290*1.27)+(1500000+405000)+(71083+19192)</f>
        <v>3463763.3</v>
      </c>
      <c r="D28" s="608" t="s">
        <v>721</v>
      </c>
      <c r="E28" s="607"/>
      <c r="F28" s="607">
        <f>1156290*1.27</f>
        <v>1468488.3</v>
      </c>
      <c r="G28" s="607">
        <f>1156290*1.27</f>
        <v>1468488.3</v>
      </c>
      <c r="H28" s="607">
        <f>(1156290*1.27)+(1500000*1.27)+(71083+19192)</f>
        <v>3463763.3</v>
      </c>
      <c r="I28" s="612"/>
      <c r="J28" s="610"/>
      <c r="K28" s="611">
        <f>L28+M28+N28</f>
        <v>3463763.3</v>
      </c>
      <c r="L28" s="610">
        <f>(1500000*1.27)+(71083+19192)</f>
        <v>1995275</v>
      </c>
      <c r="M28" s="610"/>
      <c r="N28" s="607">
        <f>1156290*1.27</f>
        <v>1468488.3</v>
      </c>
      <c r="O28" s="612"/>
    </row>
    <row r="29" spans="1:16" ht="24.75" customHeight="1">
      <c r="A29" s="605" t="s">
        <v>752</v>
      </c>
      <c r="B29" s="606" t="s">
        <v>641</v>
      </c>
      <c r="C29" s="607">
        <f>7285216+1911775-1911775</f>
        <v>7285216</v>
      </c>
      <c r="D29" s="608" t="s">
        <v>721</v>
      </c>
      <c r="E29" s="607"/>
      <c r="F29" s="607"/>
      <c r="G29" s="607"/>
      <c r="H29" s="607">
        <f>7285216+1911775-1911775</f>
        <v>7285216</v>
      </c>
      <c r="I29" s="609"/>
      <c r="J29" s="610"/>
      <c r="K29" s="611">
        <f>L29+M29+N29</f>
        <v>7285216</v>
      </c>
      <c r="L29" s="610">
        <f>9196991-7817442-286766</f>
        <v>1092783</v>
      </c>
      <c r="M29" s="610"/>
      <c r="N29" s="607">
        <f>7817442-1625009</f>
        <v>6192433</v>
      </c>
      <c r="O29" s="612"/>
    </row>
    <row r="30" spans="1:16" ht="24.75" customHeight="1">
      <c r="A30" s="605" t="s">
        <v>753</v>
      </c>
      <c r="B30" s="606" t="s">
        <v>641</v>
      </c>
      <c r="C30" s="607">
        <f>5338196+1441313-1441313</f>
        <v>5338196</v>
      </c>
      <c r="D30" s="608" t="s">
        <v>721</v>
      </c>
      <c r="E30" s="607"/>
      <c r="F30" s="607"/>
      <c r="G30" s="607"/>
      <c r="H30" s="607">
        <f>5338196+1441313-1441313</f>
        <v>5338196</v>
      </c>
      <c r="I30" s="609"/>
      <c r="J30" s="610"/>
      <c r="K30" s="611">
        <f>L30+M30+N30</f>
        <v>5338196</v>
      </c>
      <c r="L30" s="607">
        <f>5338196+1441313-1441313</f>
        <v>5338196</v>
      </c>
      <c r="M30" s="610"/>
      <c r="N30" s="607"/>
      <c r="O30" s="612"/>
    </row>
    <row r="31" spans="1:16" s="616" customFormat="1" ht="24.75" customHeight="1">
      <c r="A31" s="613" t="s">
        <v>627</v>
      </c>
      <c r="B31" s="614"/>
      <c r="C31" s="615">
        <f>SUM(C14:C30)</f>
        <v>304095642.88</v>
      </c>
      <c r="D31" s="615"/>
      <c r="E31" s="615"/>
      <c r="F31" s="615">
        <f t="shared" ref="F31:N31" si="2">SUM(F14:F30)</f>
        <v>308159215.88</v>
      </c>
      <c r="G31" s="615">
        <f t="shared" si="2"/>
        <v>307422615.88</v>
      </c>
      <c r="H31" s="615">
        <f t="shared" si="2"/>
        <v>304095642.88</v>
      </c>
      <c r="I31" s="615"/>
      <c r="J31" s="615"/>
      <c r="K31" s="615">
        <f t="shared" si="2"/>
        <v>304095643.10000002</v>
      </c>
      <c r="L31" s="615">
        <f t="shared" si="2"/>
        <v>25963181.969999999</v>
      </c>
      <c r="M31" s="615">
        <f t="shared" si="2"/>
        <v>0</v>
      </c>
      <c r="N31" s="615">
        <f t="shared" si="2"/>
        <v>278132461.13</v>
      </c>
      <c r="O31" s="618"/>
    </row>
    <row r="32" spans="1:16" ht="24.75" customHeight="1">
      <c r="A32" s="605"/>
      <c r="B32" s="606"/>
      <c r="C32" s="607"/>
      <c r="D32" s="608"/>
      <c r="E32" s="607"/>
      <c r="F32" s="607"/>
      <c r="G32" s="607"/>
      <c r="H32" s="607"/>
      <c r="I32" s="612"/>
      <c r="J32" s="610"/>
      <c r="K32" s="611"/>
      <c r="L32" s="610"/>
      <c r="M32" s="610"/>
      <c r="N32" s="607"/>
      <c r="O32" s="612"/>
    </row>
    <row r="33" spans="1:15" ht="24.75" customHeight="1">
      <c r="A33" s="605" t="s">
        <v>616</v>
      </c>
      <c r="B33" s="606" t="s">
        <v>646</v>
      </c>
      <c r="C33" s="607">
        <f>400000*1.27</f>
        <v>508000</v>
      </c>
      <c r="D33" s="608" t="s">
        <v>721</v>
      </c>
      <c r="E33" s="607"/>
      <c r="F33" s="607">
        <f>400000*1.27</f>
        <v>508000</v>
      </c>
      <c r="G33" s="607">
        <f>400000*1.27</f>
        <v>508000</v>
      </c>
      <c r="H33" s="607">
        <f>400000*1.27</f>
        <v>508000</v>
      </c>
      <c r="I33" s="612"/>
      <c r="J33" s="610"/>
      <c r="K33" s="611">
        <f>L33+M33+N33</f>
        <v>508000</v>
      </c>
      <c r="L33" s="607">
        <f>400000*1.27</f>
        <v>508000</v>
      </c>
      <c r="M33" s="610"/>
      <c r="N33" s="607"/>
      <c r="O33" s="612"/>
    </row>
    <row r="34" spans="1:15" ht="24.75" customHeight="1">
      <c r="A34" s="605" t="s">
        <v>622</v>
      </c>
      <c r="B34" s="606" t="s">
        <v>647</v>
      </c>
      <c r="C34" s="607">
        <f>50000*1.27</f>
        <v>63500</v>
      </c>
      <c r="D34" s="608" t="s">
        <v>721</v>
      </c>
      <c r="E34" s="607"/>
      <c r="F34" s="607">
        <f>50000*1.27</f>
        <v>63500</v>
      </c>
      <c r="G34" s="607">
        <f>50000*1.27</f>
        <v>63500</v>
      </c>
      <c r="H34" s="607">
        <f>50000*1.27</f>
        <v>63500</v>
      </c>
      <c r="I34" s="612"/>
      <c r="J34" s="610"/>
      <c r="K34" s="611">
        <f>L34+M34+N34</f>
        <v>63500</v>
      </c>
      <c r="L34" s="607">
        <f>50000*1.27</f>
        <v>63500</v>
      </c>
      <c r="M34" s="610"/>
      <c r="N34" s="607"/>
      <c r="O34" s="612"/>
    </row>
    <row r="35" spans="1:15" s="616" customFormat="1" ht="24.75" customHeight="1">
      <c r="A35" s="613" t="s">
        <v>628</v>
      </c>
      <c r="B35" s="614"/>
      <c r="C35" s="615">
        <f t="shared" ref="C35:H35" si="3">SUM(C33:C34)</f>
        <v>571500</v>
      </c>
      <c r="D35" s="615">
        <f t="shared" si="3"/>
        <v>0</v>
      </c>
      <c r="E35" s="615">
        <f t="shared" si="3"/>
        <v>0</v>
      </c>
      <c r="F35" s="615">
        <f t="shared" si="3"/>
        <v>571500</v>
      </c>
      <c r="G35" s="615">
        <f t="shared" si="3"/>
        <v>571500</v>
      </c>
      <c r="H35" s="615">
        <f t="shared" si="3"/>
        <v>571500</v>
      </c>
      <c r="I35" s="615"/>
      <c r="J35" s="615"/>
      <c r="K35" s="615">
        <f>SUM(K33:K34)</f>
        <v>571500</v>
      </c>
      <c r="L35" s="615">
        <f>SUM(L33:L34)</f>
        <v>571500</v>
      </c>
      <c r="M35" s="615">
        <f>SUM(M33:M34)</f>
        <v>0</v>
      </c>
      <c r="N35" s="615">
        <f>SUM(N33:N34)</f>
        <v>0</v>
      </c>
      <c r="O35" s="618"/>
    </row>
    <row r="36" spans="1:15" ht="24.75" customHeight="1">
      <c r="A36" s="605"/>
      <c r="B36" s="606"/>
      <c r="C36" s="607"/>
      <c r="D36" s="608"/>
      <c r="E36" s="607"/>
      <c r="F36" s="607"/>
      <c r="G36" s="607"/>
      <c r="H36" s="607"/>
      <c r="I36" s="612"/>
      <c r="J36" s="610"/>
      <c r="K36" s="611"/>
      <c r="L36" s="610"/>
      <c r="M36" s="610"/>
      <c r="N36" s="607"/>
      <c r="O36" s="612"/>
    </row>
    <row r="37" spans="1:15" ht="35.25" customHeight="1">
      <c r="A37" s="605" t="s">
        <v>632</v>
      </c>
      <c r="B37" s="606" t="s">
        <v>648</v>
      </c>
      <c r="C37" s="607">
        <f>(2162371*1.27)-(2162371+583840)</f>
        <v>0.16999999992549419</v>
      </c>
      <c r="D37" s="608" t="s">
        <v>721</v>
      </c>
      <c r="E37" s="607"/>
      <c r="F37" s="607">
        <f>2162371*1.27</f>
        <v>2746211.17</v>
      </c>
      <c r="G37" s="607">
        <f>2162371*1.27</f>
        <v>2746211.17</v>
      </c>
      <c r="H37" s="607">
        <f>(2162371*1.27)-(2162371+583840)</f>
        <v>0.16999999992549419</v>
      </c>
      <c r="I37" s="612"/>
      <c r="J37" s="610"/>
      <c r="K37" s="611">
        <f>L37+M37+N37</f>
        <v>0.16999999992549419</v>
      </c>
      <c r="L37" s="610"/>
      <c r="M37" s="610">
        <f>(2162371*1.27)-(2162371+583840)</f>
        <v>0.16999999992549419</v>
      </c>
      <c r="N37" s="607"/>
      <c r="O37" s="612"/>
    </row>
    <row r="38" spans="1:15" ht="24.75" customHeight="1">
      <c r="A38" s="605" t="s">
        <v>617</v>
      </c>
      <c r="B38" s="606" t="s">
        <v>649</v>
      </c>
      <c r="C38" s="607">
        <f>250000*1.27</f>
        <v>317500</v>
      </c>
      <c r="D38" s="608" t="s">
        <v>721</v>
      </c>
      <c r="E38" s="607"/>
      <c r="F38" s="607">
        <f>250000*1.27</f>
        <v>317500</v>
      </c>
      <c r="G38" s="607">
        <f>250000*1.27</f>
        <v>317500</v>
      </c>
      <c r="H38" s="607">
        <f>250000*1.27</f>
        <v>317500</v>
      </c>
      <c r="I38" s="612"/>
      <c r="J38" s="610"/>
      <c r="K38" s="611">
        <f t="shared" ref="K38:K53" si="4">L38+M38+N38</f>
        <v>317500</v>
      </c>
      <c r="L38" s="610">
        <f>250000*1.27</f>
        <v>317500</v>
      </c>
      <c r="M38" s="610"/>
      <c r="N38" s="607"/>
      <c r="O38" s="612"/>
    </row>
    <row r="39" spans="1:15" ht="24.75" customHeight="1">
      <c r="A39" s="605" t="s">
        <v>615</v>
      </c>
      <c r="B39" s="606" t="s">
        <v>646</v>
      </c>
      <c r="C39" s="607">
        <f>300000*1.27</f>
        <v>381000</v>
      </c>
      <c r="D39" s="608" t="s">
        <v>721</v>
      </c>
      <c r="E39" s="607"/>
      <c r="F39" s="607">
        <f>300000*1.27</f>
        <v>381000</v>
      </c>
      <c r="G39" s="607">
        <f>300000*1.27</f>
        <v>381000</v>
      </c>
      <c r="H39" s="607">
        <f>300000*1.27</f>
        <v>381000</v>
      </c>
      <c r="I39" s="612"/>
      <c r="J39" s="610"/>
      <c r="K39" s="611">
        <f t="shared" si="4"/>
        <v>381000</v>
      </c>
      <c r="L39" s="607">
        <f>300000*1.27</f>
        <v>381000</v>
      </c>
      <c r="M39" s="610"/>
      <c r="N39" s="607"/>
      <c r="O39" s="612"/>
    </row>
    <row r="40" spans="1:15" ht="24.75" customHeight="1">
      <c r="A40" s="605" t="s">
        <v>620</v>
      </c>
      <c r="B40" s="606" t="s">
        <v>643</v>
      </c>
      <c r="C40" s="607">
        <f>1200000*1.27</f>
        <v>1524000</v>
      </c>
      <c r="D40" s="608" t="s">
        <v>721</v>
      </c>
      <c r="E40" s="607"/>
      <c r="F40" s="607">
        <f>1200000*1.27</f>
        <v>1524000</v>
      </c>
      <c r="G40" s="607">
        <f>1200000*1.27</f>
        <v>1524000</v>
      </c>
      <c r="H40" s="607">
        <f>1200000*1.27</f>
        <v>1524000</v>
      </c>
      <c r="I40" s="607"/>
      <c r="J40" s="610"/>
      <c r="K40" s="611">
        <f t="shared" si="4"/>
        <v>1524000</v>
      </c>
      <c r="L40" s="607">
        <f>1200000*1.27</f>
        <v>1524000</v>
      </c>
      <c r="M40" s="610"/>
      <c r="N40" s="607"/>
      <c r="O40" s="612"/>
    </row>
    <row r="41" spans="1:15" ht="24.75" customHeight="1">
      <c r="A41" s="605" t="s">
        <v>730</v>
      </c>
      <c r="B41" s="606" t="s">
        <v>643</v>
      </c>
      <c r="C41" s="607">
        <f>100000*1.27</f>
        <v>127000</v>
      </c>
      <c r="D41" s="608" t="s">
        <v>721</v>
      </c>
      <c r="E41" s="607"/>
      <c r="F41" s="607">
        <f>100000*1.27</f>
        <v>127000</v>
      </c>
      <c r="G41" s="607">
        <f>100000*1.27</f>
        <v>127000</v>
      </c>
      <c r="H41" s="607">
        <f>100000*1.27</f>
        <v>127000</v>
      </c>
      <c r="I41" s="607"/>
      <c r="J41" s="610"/>
      <c r="K41" s="611">
        <f t="shared" si="4"/>
        <v>127000</v>
      </c>
      <c r="L41" s="607">
        <f>100000*1.27</f>
        <v>127000</v>
      </c>
      <c r="M41" s="610"/>
      <c r="N41" s="607"/>
      <c r="O41" s="612"/>
    </row>
    <row r="42" spans="1:15" ht="30.95" customHeight="1">
      <c r="A42" s="605" t="s">
        <v>665</v>
      </c>
      <c r="B42" s="606" t="s">
        <v>643</v>
      </c>
      <c r="C42" s="607">
        <f>2198240*1.27</f>
        <v>2791764.8</v>
      </c>
      <c r="D42" s="608" t="s">
        <v>672</v>
      </c>
      <c r="E42" s="607"/>
      <c r="F42" s="607">
        <f>2198240*1.27</f>
        <v>2791764.8</v>
      </c>
      <c r="G42" s="607">
        <f>2198240*1.27</f>
        <v>2791764.8</v>
      </c>
      <c r="H42" s="607">
        <f>2198240*1.27</f>
        <v>2791764.8</v>
      </c>
      <c r="I42" s="607"/>
      <c r="J42" s="610"/>
      <c r="K42" s="611">
        <f>L42+M42+N42</f>
        <v>2791764.8</v>
      </c>
      <c r="L42" s="610"/>
      <c r="M42" s="610"/>
      <c r="N42" s="607">
        <f>2198240*1.27</f>
        <v>2791764.8</v>
      </c>
      <c r="O42" s="612"/>
    </row>
    <row r="43" spans="1:15" ht="32.450000000000003" customHeight="1">
      <c r="A43" s="605" t="s">
        <v>666</v>
      </c>
      <c r="B43" s="606" t="s">
        <v>643</v>
      </c>
      <c r="C43" s="607">
        <f>28990434*1.27</f>
        <v>36817851.18</v>
      </c>
      <c r="D43" s="608" t="s">
        <v>671</v>
      </c>
      <c r="E43" s="607"/>
      <c r="F43" s="607">
        <f>28990434*1.27</f>
        <v>36817851.18</v>
      </c>
      <c r="G43" s="607">
        <f>28990434*1.27</f>
        <v>36817851.18</v>
      </c>
      <c r="H43" s="607">
        <f>28990434*1.27</f>
        <v>36817851.18</v>
      </c>
      <c r="I43" s="607"/>
      <c r="J43" s="610"/>
      <c r="K43" s="611">
        <f>L43+M43+N43</f>
        <v>36817851.18</v>
      </c>
      <c r="L43" s="610"/>
      <c r="M43" s="610"/>
      <c r="N43" s="607">
        <f>28990434*1.27</f>
        <v>36817851.18</v>
      </c>
      <c r="O43" s="612"/>
    </row>
    <row r="44" spans="1:15" ht="24.75" customHeight="1">
      <c r="A44" s="605" t="s">
        <v>669</v>
      </c>
      <c r="B44" s="606" t="s">
        <v>643</v>
      </c>
      <c r="C44" s="607">
        <f>102201+25299</f>
        <v>127500</v>
      </c>
      <c r="D44" s="608" t="s">
        <v>721</v>
      </c>
      <c r="E44" s="607"/>
      <c r="F44" s="607">
        <f>102201+25299</f>
        <v>127500</v>
      </c>
      <c r="G44" s="607">
        <f>102201+25299</f>
        <v>127500</v>
      </c>
      <c r="H44" s="607">
        <f>102201+25299</f>
        <v>127500</v>
      </c>
      <c r="I44" s="607"/>
      <c r="J44" s="610"/>
      <c r="K44" s="611">
        <f>L44+M44+N44</f>
        <v>127500</v>
      </c>
      <c r="L44" s="610"/>
      <c r="M44" s="610"/>
      <c r="N44" s="607">
        <f>102201+25299</f>
        <v>127500</v>
      </c>
      <c r="O44" s="612"/>
    </row>
    <row r="45" spans="1:15" ht="24.75" customHeight="1">
      <c r="A45" s="605" t="s">
        <v>680</v>
      </c>
      <c r="B45" s="606" t="s">
        <v>643</v>
      </c>
      <c r="C45" s="607">
        <f>5170295*1.27-5170295*1.27</f>
        <v>0</v>
      </c>
      <c r="D45" s="608" t="s">
        <v>721</v>
      </c>
      <c r="E45" s="607"/>
      <c r="F45" s="607">
        <f>5170295*1.27</f>
        <v>6566274.6500000004</v>
      </c>
      <c r="G45" s="607">
        <f>5170295*1.27</f>
        <v>6566274.6500000004</v>
      </c>
      <c r="H45" s="607">
        <f>5170295*1.27-5170295*1.27</f>
        <v>0</v>
      </c>
      <c r="I45" s="607"/>
      <c r="J45" s="610"/>
      <c r="K45" s="611">
        <f>L45+M45+N45</f>
        <v>0</v>
      </c>
      <c r="L45" s="610"/>
      <c r="M45" s="610"/>
      <c r="N45" s="607">
        <f>5170295*1.27-5170295*1.27</f>
        <v>0</v>
      </c>
      <c r="O45" s="612"/>
    </row>
    <row r="46" spans="1:15" ht="24.75" customHeight="1">
      <c r="A46" s="605" t="s">
        <v>621</v>
      </c>
      <c r="B46" s="606" t="s">
        <v>650</v>
      </c>
      <c r="C46" s="607">
        <f>100000*1.27</f>
        <v>127000</v>
      </c>
      <c r="D46" s="608" t="s">
        <v>721</v>
      </c>
      <c r="E46" s="607"/>
      <c r="F46" s="607">
        <f>100000*1.27</f>
        <v>127000</v>
      </c>
      <c r="G46" s="607">
        <f>100000*1.27</f>
        <v>127000</v>
      </c>
      <c r="H46" s="607">
        <f>100000*1.27</f>
        <v>127000</v>
      </c>
      <c r="I46" s="612"/>
      <c r="J46" s="610"/>
      <c r="K46" s="611">
        <f t="shared" si="4"/>
        <v>127000</v>
      </c>
      <c r="L46" s="607">
        <f>100000*1.27</f>
        <v>127000</v>
      </c>
      <c r="M46" s="610"/>
      <c r="N46" s="607"/>
      <c r="O46" s="612"/>
    </row>
    <row r="47" spans="1:15" ht="24.75" customHeight="1">
      <c r="A47" s="605" t="s">
        <v>652</v>
      </c>
      <c r="B47" s="606" t="s">
        <v>647</v>
      </c>
      <c r="C47" s="607">
        <f>300000*1.27</f>
        <v>381000</v>
      </c>
      <c r="D47" s="608" t="s">
        <v>721</v>
      </c>
      <c r="E47" s="607"/>
      <c r="F47" s="607">
        <f>300000*1.27</f>
        <v>381000</v>
      </c>
      <c r="G47" s="607">
        <f>300000*1.27</f>
        <v>381000</v>
      </c>
      <c r="H47" s="607">
        <f>300000*1.27</f>
        <v>381000</v>
      </c>
      <c r="I47" s="612"/>
      <c r="J47" s="610"/>
      <c r="K47" s="611">
        <f t="shared" si="4"/>
        <v>381000</v>
      </c>
      <c r="L47" s="607">
        <f>300000*1.27</f>
        <v>381000</v>
      </c>
      <c r="M47" s="610"/>
      <c r="N47" s="607"/>
      <c r="O47" s="612"/>
    </row>
    <row r="48" spans="1:15" ht="24.75" customHeight="1">
      <c r="A48" s="605" t="s">
        <v>623</v>
      </c>
      <c r="B48" s="606" t="s">
        <v>651</v>
      </c>
      <c r="C48" s="607">
        <f>220000*1.27</f>
        <v>279400</v>
      </c>
      <c r="D48" s="608" t="s">
        <v>721</v>
      </c>
      <c r="E48" s="607"/>
      <c r="F48" s="607">
        <f>220000*1.27</f>
        <v>279400</v>
      </c>
      <c r="G48" s="607">
        <f>220000*1.27</f>
        <v>279400</v>
      </c>
      <c r="H48" s="607">
        <f>220000*1.27</f>
        <v>279400</v>
      </c>
      <c r="I48" s="612"/>
      <c r="J48" s="610"/>
      <c r="K48" s="611">
        <f t="shared" si="4"/>
        <v>279400</v>
      </c>
      <c r="L48" s="607">
        <f>220000*1.27</f>
        <v>279400</v>
      </c>
      <c r="M48" s="610"/>
      <c r="N48" s="607"/>
      <c r="O48" s="612"/>
    </row>
    <row r="49" spans="1:15" ht="24.75" customHeight="1">
      <c r="A49" s="605" t="s">
        <v>624</v>
      </c>
      <c r="B49" s="606" t="s">
        <v>644</v>
      </c>
      <c r="C49" s="607">
        <f>200000*1.27</f>
        <v>254000</v>
      </c>
      <c r="D49" s="608" t="s">
        <v>721</v>
      </c>
      <c r="E49" s="607"/>
      <c r="F49" s="607">
        <f>200000*1.27</f>
        <v>254000</v>
      </c>
      <c r="G49" s="607">
        <f>200000*1.27</f>
        <v>254000</v>
      </c>
      <c r="H49" s="607">
        <f>200000*1.27</f>
        <v>254000</v>
      </c>
      <c r="I49" s="612"/>
      <c r="J49" s="610"/>
      <c r="K49" s="611">
        <f t="shared" si="4"/>
        <v>254000</v>
      </c>
      <c r="L49" s="607">
        <f>200000*1.27</f>
        <v>254000</v>
      </c>
      <c r="M49" s="610"/>
      <c r="N49" s="607"/>
      <c r="O49" s="612"/>
    </row>
    <row r="50" spans="1:15" ht="24.75" customHeight="1">
      <c r="A50" s="605" t="s">
        <v>625</v>
      </c>
      <c r="B50" s="606" t="s">
        <v>644</v>
      </c>
      <c r="C50" s="607">
        <f>4000000*1.27-(50000*1.27)</f>
        <v>5016500</v>
      </c>
      <c r="D50" s="608" t="s">
        <v>721</v>
      </c>
      <c r="E50" s="607"/>
      <c r="F50" s="607">
        <f>4000000*1.27</f>
        <v>5080000</v>
      </c>
      <c r="G50" s="607">
        <f>4000000*1.27</f>
        <v>5080000</v>
      </c>
      <c r="H50" s="607">
        <f>4000000*1.27-(50000*1.27)</f>
        <v>5016500</v>
      </c>
      <c r="I50" s="612"/>
      <c r="J50" s="610"/>
      <c r="K50" s="611">
        <f t="shared" si="4"/>
        <v>5016500</v>
      </c>
      <c r="L50" s="607">
        <f>4000000*1.27-(50000*1.27)</f>
        <v>5016500</v>
      </c>
      <c r="M50" s="610"/>
      <c r="N50" s="607"/>
      <c r="O50" s="612"/>
    </row>
    <row r="51" spans="1:15" ht="24.75" customHeight="1">
      <c r="A51" s="605" t="s">
        <v>733</v>
      </c>
      <c r="B51" s="606" t="s">
        <v>663</v>
      </c>
      <c r="C51" s="607">
        <f>1293*1.27</f>
        <v>1642.1100000000001</v>
      </c>
      <c r="D51" s="608" t="s">
        <v>670</v>
      </c>
      <c r="E51" s="607"/>
      <c r="F51" s="607">
        <f>1293*1.27</f>
        <v>1642.1100000000001</v>
      </c>
      <c r="G51" s="607">
        <f>1293*1.27</f>
        <v>1642.1100000000001</v>
      </c>
      <c r="H51" s="607">
        <f>1293*1.27</f>
        <v>1642.1100000000001</v>
      </c>
      <c r="I51" s="609"/>
      <c r="J51" s="610"/>
      <c r="K51" s="611">
        <f t="shared" si="4"/>
        <v>1642.1100000000001</v>
      </c>
      <c r="L51" s="610"/>
      <c r="M51" s="610"/>
      <c r="N51" s="607">
        <f>F51</f>
        <v>1642.1100000000001</v>
      </c>
      <c r="O51" s="612"/>
    </row>
    <row r="52" spans="1:15" ht="24.75" customHeight="1">
      <c r="A52" s="605" t="s">
        <v>735</v>
      </c>
      <c r="B52" s="606" t="s">
        <v>640</v>
      </c>
      <c r="C52" s="607">
        <f>490200*1.27-(71083+19192)</f>
        <v>532279</v>
      </c>
      <c r="D52" s="608" t="s">
        <v>721</v>
      </c>
      <c r="E52" s="607"/>
      <c r="F52" s="607">
        <f>490200*1.27</f>
        <v>622554</v>
      </c>
      <c r="G52" s="607">
        <f>490200*1.27</f>
        <v>622554</v>
      </c>
      <c r="H52" s="607">
        <f>490200*1.27-(71083+19192)</f>
        <v>532279</v>
      </c>
      <c r="I52" s="609"/>
      <c r="J52" s="610"/>
      <c r="K52" s="611">
        <f t="shared" si="4"/>
        <v>532279</v>
      </c>
      <c r="L52" s="607">
        <f>490200*1.27-(71083+19192)</f>
        <v>532279</v>
      </c>
      <c r="M52" s="610"/>
      <c r="N52" s="607"/>
      <c r="O52" s="612"/>
    </row>
    <row r="53" spans="1:15" ht="24.75" customHeight="1">
      <c r="A53" s="605" t="s">
        <v>750</v>
      </c>
      <c r="B53" s="606" t="s">
        <v>644</v>
      </c>
      <c r="C53" s="607">
        <f>1000000-76200</f>
        <v>923800</v>
      </c>
      <c r="D53" s="608" t="s">
        <v>721</v>
      </c>
      <c r="E53" s="607"/>
      <c r="F53" s="607"/>
      <c r="G53" s="607"/>
      <c r="H53" s="607">
        <f>1000000-76200</f>
        <v>923800</v>
      </c>
      <c r="I53" s="609"/>
      <c r="J53" s="610"/>
      <c r="K53" s="611">
        <f t="shared" si="4"/>
        <v>923800</v>
      </c>
      <c r="L53" s="607">
        <f>1000000-76200</f>
        <v>923800</v>
      </c>
      <c r="M53" s="610"/>
      <c r="N53" s="607"/>
      <c r="O53" s="609"/>
    </row>
    <row r="54" spans="1:15" s="616" customFormat="1" ht="24.75" customHeight="1">
      <c r="A54" s="613" t="s">
        <v>629</v>
      </c>
      <c r="B54" s="614"/>
      <c r="C54" s="615">
        <f>SUM(C37:C53)</f>
        <v>49602237.259999998</v>
      </c>
      <c r="D54" s="615">
        <f t="shared" ref="D54:O54" si="5">SUM(D37:D53)</f>
        <v>0</v>
      </c>
      <c r="E54" s="615">
        <f t="shared" si="5"/>
        <v>0</v>
      </c>
      <c r="F54" s="615">
        <f t="shared" si="5"/>
        <v>58144697.909999996</v>
      </c>
      <c r="G54" s="615">
        <f t="shared" si="5"/>
        <v>58144697.909999996</v>
      </c>
      <c r="H54" s="615">
        <f t="shared" si="5"/>
        <v>49602237.259999998</v>
      </c>
      <c r="I54" s="615">
        <f t="shared" si="5"/>
        <v>0</v>
      </c>
      <c r="J54" s="615"/>
      <c r="K54" s="615">
        <f t="shared" si="5"/>
        <v>49602237.259999998</v>
      </c>
      <c r="L54" s="615">
        <f t="shared" si="5"/>
        <v>9863479</v>
      </c>
      <c r="M54" s="615">
        <f t="shared" si="5"/>
        <v>0.16999999992549419</v>
      </c>
      <c r="N54" s="615">
        <f t="shared" si="5"/>
        <v>39738758.089999996</v>
      </c>
      <c r="O54" s="615">
        <f t="shared" si="5"/>
        <v>0</v>
      </c>
    </row>
    <row r="55" spans="1:15" ht="15.95" customHeight="1">
      <c r="A55" s="605"/>
      <c r="B55" s="606"/>
      <c r="C55" s="607"/>
      <c r="D55" s="608"/>
      <c r="E55" s="607"/>
      <c r="F55" s="607"/>
      <c r="G55" s="607"/>
      <c r="H55" s="607"/>
      <c r="I55" s="612"/>
      <c r="J55" s="610"/>
      <c r="K55" s="611"/>
      <c r="L55" s="610"/>
      <c r="M55" s="610"/>
      <c r="N55" s="607"/>
      <c r="O55" s="612"/>
    </row>
    <row r="56" spans="1:15" ht="15.95" customHeight="1">
      <c r="A56" s="605"/>
      <c r="B56" s="606"/>
      <c r="C56" s="607"/>
      <c r="D56" s="608"/>
      <c r="E56" s="607"/>
      <c r="F56" s="607"/>
      <c r="G56" s="607"/>
      <c r="H56" s="607"/>
      <c r="I56" s="612"/>
      <c r="J56" s="610"/>
      <c r="K56" s="611">
        <f>L56+M56+N56</f>
        <v>0</v>
      </c>
      <c r="L56" s="610"/>
      <c r="M56" s="610"/>
      <c r="N56" s="607"/>
      <c r="O56" s="612"/>
    </row>
    <row r="57" spans="1:15" s="616" customFormat="1" ht="15.95" customHeight="1">
      <c r="A57" s="613" t="s">
        <v>659</v>
      </c>
      <c r="B57" s="614"/>
      <c r="C57" s="615">
        <f>SUM(C56)</f>
        <v>0</v>
      </c>
      <c r="D57" s="615"/>
      <c r="E57" s="615">
        <f t="shared" ref="E57:M57" si="6">SUM(E56)</f>
        <v>0</v>
      </c>
      <c r="F57" s="615">
        <f>SUM(F56)</f>
        <v>0</v>
      </c>
      <c r="G57" s="615">
        <f>SUM(G56)</f>
        <v>0</v>
      </c>
      <c r="H57" s="615">
        <f>SUM(H56)</f>
        <v>0</v>
      </c>
      <c r="I57" s="615">
        <f t="shared" si="6"/>
        <v>0</v>
      </c>
      <c r="J57" s="615"/>
      <c r="K57" s="615">
        <f t="shared" si="6"/>
        <v>0</v>
      </c>
      <c r="L57" s="615">
        <f t="shared" si="6"/>
        <v>0</v>
      </c>
      <c r="M57" s="615">
        <f t="shared" si="6"/>
        <v>0</v>
      </c>
      <c r="N57" s="615">
        <f>SUM(N56)</f>
        <v>0</v>
      </c>
      <c r="O57" s="618"/>
    </row>
    <row r="58" spans="1:15" ht="15.95" customHeight="1">
      <c r="A58" s="605"/>
      <c r="B58" s="606"/>
      <c r="C58" s="607"/>
      <c r="D58" s="608"/>
      <c r="E58" s="607"/>
      <c r="F58" s="607"/>
      <c r="G58" s="607"/>
      <c r="H58" s="607"/>
      <c r="I58" s="612"/>
      <c r="J58" s="610"/>
      <c r="K58" s="611"/>
      <c r="L58" s="610"/>
      <c r="M58" s="610"/>
      <c r="N58" s="607"/>
      <c r="O58" s="612"/>
    </row>
    <row r="59" spans="1:15" ht="15.95" customHeight="1">
      <c r="A59" s="605"/>
      <c r="B59" s="606"/>
      <c r="C59" s="607"/>
      <c r="D59" s="608"/>
      <c r="E59" s="607"/>
      <c r="F59" s="607"/>
      <c r="G59" s="607"/>
      <c r="H59" s="607"/>
      <c r="I59" s="612"/>
      <c r="J59" s="610"/>
      <c r="K59" s="611"/>
      <c r="L59" s="610"/>
      <c r="M59" s="610"/>
      <c r="N59" s="607"/>
      <c r="O59" s="612"/>
    </row>
    <row r="60" spans="1:15" ht="15.95" customHeight="1">
      <c r="A60" s="605"/>
      <c r="B60" s="606"/>
      <c r="C60" s="607"/>
      <c r="D60" s="608"/>
      <c r="E60" s="607"/>
      <c r="F60" s="607"/>
      <c r="G60" s="607"/>
      <c r="H60" s="607"/>
      <c r="I60" s="612"/>
      <c r="J60" s="610"/>
      <c r="K60" s="611"/>
      <c r="L60" s="610"/>
      <c r="M60" s="610"/>
      <c r="N60" s="607"/>
      <c r="O60" s="612"/>
    </row>
    <row r="61" spans="1:15" ht="15.95" customHeight="1">
      <c r="A61" s="605"/>
      <c r="B61" s="606"/>
      <c r="C61" s="607"/>
      <c r="D61" s="608"/>
      <c r="E61" s="607"/>
      <c r="F61" s="607"/>
      <c r="G61" s="607"/>
      <c r="H61" s="607"/>
      <c r="I61" s="612"/>
      <c r="J61" s="610"/>
      <c r="K61" s="611"/>
      <c r="L61" s="610"/>
      <c r="M61" s="610"/>
      <c r="N61" s="607"/>
      <c r="O61" s="612"/>
    </row>
    <row r="62" spans="1:15" ht="15.95" customHeight="1" thickBot="1">
      <c r="A62" s="605"/>
      <c r="B62" s="606"/>
      <c r="C62" s="607"/>
      <c r="D62" s="608"/>
      <c r="E62" s="607"/>
      <c r="F62" s="607"/>
      <c r="G62" s="607"/>
      <c r="H62" s="607"/>
      <c r="I62" s="612"/>
      <c r="J62" s="610"/>
      <c r="K62" s="611"/>
      <c r="L62" s="610"/>
      <c r="M62" s="610"/>
      <c r="N62" s="607"/>
      <c r="O62" s="612"/>
    </row>
    <row r="63" spans="1:15" s="276" customFormat="1" ht="18" customHeight="1" thickBot="1">
      <c r="A63" s="620" t="s">
        <v>630</v>
      </c>
      <c r="B63" s="621"/>
      <c r="C63" s="622">
        <f>C12+C31+C35+C54+C57</f>
        <v>357332880.40999997</v>
      </c>
      <c r="D63" s="622"/>
      <c r="E63" s="622">
        <f t="shared" ref="E63:O63" si="7">E12+E31+E35+E54+E57</f>
        <v>0</v>
      </c>
      <c r="F63" s="622">
        <f t="shared" si="7"/>
        <v>369875414.05999994</v>
      </c>
      <c r="G63" s="622">
        <f t="shared" si="7"/>
        <v>369138814.05999994</v>
      </c>
      <c r="H63" s="622">
        <f t="shared" si="7"/>
        <v>357332880.40999997</v>
      </c>
      <c r="I63" s="622">
        <f t="shared" si="7"/>
        <v>0</v>
      </c>
      <c r="J63" s="622">
        <f t="shared" si="7"/>
        <v>0</v>
      </c>
      <c r="K63" s="622">
        <f>K12+K31+K35+K54+K57-1</f>
        <v>357332879.63</v>
      </c>
      <c r="L63" s="622">
        <f t="shared" si="7"/>
        <v>36961661.239999995</v>
      </c>
      <c r="M63" s="622">
        <f t="shared" si="7"/>
        <v>0.16999999992549419</v>
      </c>
      <c r="N63" s="622">
        <f t="shared" si="7"/>
        <v>320371219.21999997</v>
      </c>
      <c r="O63" s="622">
        <f t="shared" si="7"/>
        <v>0</v>
      </c>
    </row>
    <row r="68" spans="1:1" ht="110.25">
      <c r="A68" s="503" t="s">
        <v>683</v>
      </c>
    </row>
    <row r="72" spans="1:1">
      <c r="A72" s="503"/>
    </row>
  </sheetData>
  <mergeCells count="3">
    <mergeCell ref="A5:O5"/>
    <mergeCell ref="P22:P23"/>
    <mergeCell ref="F1:N1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53" orientation="landscape" horizontalDpi="300" verticalDpi="300" r:id="rId1"/>
  <headerFooter alignWithMargins="0">
    <oddFooter>&amp;P. oldal, összesen: &amp;N</oddFooter>
  </headerFooter>
  <rowBreaks count="1" manualBreakCount="1">
    <brk id="31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FFFF00"/>
  </sheetPr>
  <dimension ref="A1:O27"/>
  <sheetViews>
    <sheetView view="pageLayout" topLeftCell="C1" zoomScaleNormal="100" workbookViewId="0">
      <selection activeCell="K20" sqref="K20"/>
    </sheetView>
  </sheetViews>
  <sheetFormatPr defaultRowHeight="12.75"/>
  <cols>
    <col min="1" max="1" width="60" style="507" bestFit="1" customWidth="1"/>
    <col min="2" max="2" width="19.33203125" style="507" bestFit="1" customWidth="1"/>
    <col min="3" max="3" width="14.33203125" style="506" bestFit="1" customWidth="1"/>
    <col min="4" max="5" width="13" style="506" bestFit="1" customWidth="1"/>
    <col min="6" max="8" width="12.1640625" style="506" customWidth="1"/>
    <col min="9" max="9" width="11.1640625" style="506" bestFit="1" customWidth="1"/>
    <col min="10" max="10" width="14.6640625" style="506" customWidth="1"/>
    <col min="11" max="11" width="14" style="318" bestFit="1" customWidth="1"/>
    <col min="12" max="12" width="12.1640625" style="506" bestFit="1" customWidth="1"/>
    <col min="13" max="13" width="11" style="506" bestFit="1" customWidth="1"/>
    <col min="14" max="14" width="12.1640625" style="506" bestFit="1" customWidth="1"/>
    <col min="15" max="15" width="12.83203125" style="506" customWidth="1"/>
    <col min="16" max="16384" width="9.33203125" style="506"/>
  </cols>
  <sheetData>
    <row r="1" spans="1:15" ht="24.75" customHeight="1">
      <c r="A1" s="715" t="s">
        <v>1</v>
      </c>
      <c r="B1" s="715"/>
      <c r="C1" s="715"/>
      <c r="D1" s="715"/>
      <c r="E1" s="715"/>
      <c r="F1" s="715"/>
      <c r="G1" s="715"/>
      <c r="H1" s="715"/>
      <c r="I1" s="715"/>
      <c r="K1" s="506"/>
    </row>
    <row r="2" spans="1:15" ht="23.25" customHeight="1" thickBot="1">
      <c r="A2" s="299"/>
      <c r="B2" s="299"/>
      <c r="C2" s="300"/>
      <c r="D2" s="300"/>
      <c r="E2" s="300"/>
      <c r="F2" s="300"/>
      <c r="G2" s="300"/>
      <c r="H2" s="300"/>
      <c r="I2" s="301" t="s">
        <v>589</v>
      </c>
      <c r="J2" s="300"/>
      <c r="K2" s="302" t="s">
        <v>589</v>
      </c>
      <c r="L2" s="300"/>
      <c r="M2" s="300"/>
      <c r="N2" s="300"/>
    </row>
    <row r="3" spans="1:15" s="298" customFormat="1" ht="48.75" customHeight="1" thickBot="1">
      <c r="A3" s="303" t="s">
        <v>64</v>
      </c>
      <c r="B3" s="304" t="s">
        <v>639</v>
      </c>
      <c r="C3" s="305" t="s">
        <v>62</v>
      </c>
      <c r="D3" s="305" t="s">
        <v>63</v>
      </c>
      <c r="E3" s="305" t="s">
        <v>699</v>
      </c>
      <c r="F3" s="305" t="s">
        <v>688</v>
      </c>
      <c r="G3" s="305" t="s">
        <v>739</v>
      </c>
      <c r="H3" s="305" t="s">
        <v>744</v>
      </c>
      <c r="I3" s="306" t="s">
        <v>700</v>
      </c>
      <c r="J3" s="307"/>
      <c r="K3" s="307" t="s">
        <v>637</v>
      </c>
      <c r="L3" s="308" t="s">
        <v>635</v>
      </c>
      <c r="M3" s="308" t="s">
        <v>636</v>
      </c>
      <c r="N3" s="309" t="s">
        <v>633</v>
      </c>
    </row>
    <row r="4" spans="1:15" s="300" customFormat="1" ht="15" customHeight="1" thickBot="1">
      <c r="A4" s="310" t="s">
        <v>486</v>
      </c>
      <c r="B4" s="311"/>
      <c r="C4" s="312" t="s">
        <v>487</v>
      </c>
      <c r="D4" s="312" t="s">
        <v>488</v>
      </c>
      <c r="E4" s="312" t="s">
        <v>490</v>
      </c>
      <c r="F4" s="312" t="s">
        <v>489</v>
      </c>
      <c r="G4" s="312" t="s">
        <v>489</v>
      </c>
      <c r="H4" s="312" t="s">
        <v>489</v>
      </c>
      <c r="I4" s="313" t="s">
        <v>491</v>
      </c>
      <c r="J4" s="314"/>
      <c r="K4" s="314"/>
      <c r="L4" s="315"/>
      <c r="M4" s="315"/>
      <c r="N4" s="312"/>
    </row>
    <row r="5" spans="1:15" s="591" customFormat="1" ht="15.95" customHeight="1">
      <c r="A5" s="584" t="s">
        <v>678</v>
      </c>
      <c r="B5" s="585" t="s">
        <v>640</v>
      </c>
      <c r="C5" s="586">
        <v>508000</v>
      </c>
      <c r="D5" s="587" t="s">
        <v>721</v>
      </c>
      <c r="E5" s="586"/>
      <c r="F5" s="586">
        <f>400000*1.27</f>
        <v>508000</v>
      </c>
      <c r="G5" s="586">
        <f>400000*1.27</f>
        <v>508000</v>
      </c>
      <c r="H5" s="586">
        <f>400000*1.27</f>
        <v>508000</v>
      </c>
      <c r="I5" s="588"/>
      <c r="J5" s="589"/>
      <c r="K5" s="586">
        <f>L5+M5+N5</f>
        <v>508000</v>
      </c>
      <c r="L5" s="589"/>
      <c r="M5" s="589"/>
      <c r="N5" s="586">
        <f>400000*1.27</f>
        <v>508000</v>
      </c>
      <c r="O5" s="506"/>
    </row>
    <row r="6" spans="1:15" s="591" customFormat="1" ht="15.95" customHeight="1">
      <c r="A6" s="584" t="s">
        <v>718</v>
      </c>
      <c r="B6" s="585" t="s">
        <v>641</v>
      </c>
      <c r="C6" s="586">
        <f>43455312+5717922-9032376</f>
        <v>40140858</v>
      </c>
      <c r="D6" s="587" t="s">
        <v>719</v>
      </c>
      <c r="E6" s="586"/>
      <c r="F6" s="586">
        <f>(34056781+160000)*1.27</f>
        <v>43455311.869999997</v>
      </c>
      <c r="G6" s="586">
        <f>(34056781+160000)*1.27</f>
        <v>43455311.869999997</v>
      </c>
      <c r="H6" s="586">
        <f>(34056781+160000)*1.27+5717922-9032376</f>
        <v>40140857.869999997</v>
      </c>
      <c r="I6" s="588"/>
      <c r="J6" s="589"/>
      <c r="K6" s="586">
        <f>L6+M6+N6</f>
        <v>40140858.140000001</v>
      </c>
      <c r="L6" s="589">
        <f>(160000*1.27)+(4502301*1.27)</f>
        <v>5921122.2700000005</v>
      </c>
      <c r="M6" s="589"/>
      <c r="N6" s="586">
        <f>34056781*1.27-9032376</f>
        <v>34219735.869999997</v>
      </c>
      <c r="O6" s="506"/>
    </row>
    <row r="7" spans="1:15" s="591" customFormat="1" ht="15.95" customHeight="1">
      <c r="A7" s="584" t="s">
        <v>610</v>
      </c>
      <c r="B7" s="585" t="s">
        <v>641</v>
      </c>
      <c r="C7" s="586"/>
      <c r="D7" s="586"/>
      <c r="E7" s="586"/>
      <c r="F7" s="586"/>
      <c r="G7" s="586"/>
      <c r="H7" s="586"/>
      <c r="I7" s="588"/>
      <c r="J7" s="589"/>
      <c r="K7" s="586">
        <f t="shared" ref="K7:K14" si="0">L7+M7+N7</f>
        <v>0</v>
      </c>
      <c r="L7" s="589"/>
      <c r="M7" s="589"/>
      <c r="N7" s="586"/>
      <c r="O7" s="506"/>
    </row>
    <row r="8" spans="1:15" ht="26.25" customHeight="1">
      <c r="A8" s="592" t="s">
        <v>611</v>
      </c>
      <c r="B8" s="593" t="s">
        <v>641</v>
      </c>
      <c r="C8" s="594">
        <v>21966857</v>
      </c>
      <c r="D8" s="316" t="s">
        <v>721</v>
      </c>
      <c r="E8" s="594"/>
      <c r="F8" s="594">
        <f>17296738*1.27</f>
        <v>21966857.260000002</v>
      </c>
      <c r="G8" s="594">
        <f>17296738*1.27</f>
        <v>21966857.260000002</v>
      </c>
      <c r="H8" s="594">
        <f>17296738*1.27</f>
        <v>21966857.260000002</v>
      </c>
      <c r="I8" s="590"/>
      <c r="J8" s="595"/>
      <c r="K8" s="586">
        <f t="shared" si="0"/>
        <v>21966857.260000002</v>
      </c>
      <c r="L8" s="595"/>
      <c r="M8" s="595"/>
      <c r="N8" s="594">
        <f>17296738*1.27</f>
        <v>21966857.260000002</v>
      </c>
      <c r="O8" s="596"/>
    </row>
    <row r="9" spans="1:15" ht="15.95" customHeight="1">
      <c r="A9" s="592" t="s">
        <v>612</v>
      </c>
      <c r="B9" s="593" t="s">
        <v>641</v>
      </c>
      <c r="C9" s="594"/>
      <c r="D9" s="316" t="s">
        <v>721</v>
      </c>
      <c r="E9" s="594"/>
      <c r="F9" s="594"/>
      <c r="G9" s="594"/>
      <c r="H9" s="594"/>
      <c r="I9" s="590"/>
      <c r="J9" s="595"/>
      <c r="K9" s="586">
        <f t="shared" si="0"/>
        <v>0</v>
      </c>
      <c r="L9" s="595"/>
      <c r="M9" s="595"/>
      <c r="N9" s="594"/>
      <c r="O9" s="596"/>
    </row>
    <row r="10" spans="1:15" ht="15.95" customHeight="1">
      <c r="A10" s="592" t="s">
        <v>613</v>
      </c>
      <c r="B10" s="593" t="s">
        <v>641</v>
      </c>
      <c r="C10" s="594">
        <v>6166114</v>
      </c>
      <c r="D10" s="316" t="s">
        <v>721</v>
      </c>
      <c r="E10" s="594"/>
      <c r="F10" s="594">
        <f>4855208*1.27</f>
        <v>6166114.1600000001</v>
      </c>
      <c r="G10" s="594">
        <f>4855208*1.27</f>
        <v>6166114.1600000001</v>
      </c>
      <c r="H10" s="594">
        <f>4855208*1.27</f>
        <v>6166114.1600000001</v>
      </c>
      <c r="I10" s="590"/>
      <c r="J10" s="589"/>
      <c r="K10" s="586">
        <f t="shared" si="0"/>
        <v>6166114.1600000001</v>
      </c>
      <c r="L10" s="589"/>
      <c r="M10" s="589"/>
      <c r="N10" s="594">
        <f>4855208*1.27</f>
        <v>6166114.1600000001</v>
      </c>
    </row>
    <row r="11" spans="1:15" ht="20.25" customHeight="1">
      <c r="A11" s="592" t="s">
        <v>614</v>
      </c>
      <c r="B11" s="593" t="s">
        <v>641</v>
      </c>
      <c r="C11" s="594">
        <v>7296814</v>
      </c>
      <c r="D11" s="316" t="s">
        <v>721</v>
      </c>
      <c r="E11" s="594"/>
      <c r="F11" s="594">
        <f>5745523*1.27</f>
        <v>7296814.21</v>
      </c>
      <c r="G11" s="594">
        <f>5745523*1.27</f>
        <v>7296814.21</v>
      </c>
      <c r="H11" s="594">
        <f>5745523*1.27</f>
        <v>7296814.21</v>
      </c>
      <c r="I11" s="590"/>
      <c r="J11" s="589"/>
      <c r="K11" s="586">
        <f t="shared" si="0"/>
        <v>7296814.21</v>
      </c>
      <c r="L11" s="589"/>
      <c r="M11" s="589"/>
      <c r="N11" s="594">
        <f>5745523*1.27</f>
        <v>7296814.21</v>
      </c>
    </row>
    <row r="12" spans="1:15" s="591" customFormat="1" ht="15.95" customHeight="1">
      <c r="A12" s="584" t="s">
        <v>679</v>
      </c>
      <c r="B12" s="585" t="s">
        <v>658</v>
      </c>
      <c r="C12" s="586">
        <f>57114272+13737230</f>
        <v>70851502</v>
      </c>
      <c r="D12" s="587" t="s">
        <v>721</v>
      </c>
      <c r="E12" s="586"/>
      <c r="F12" s="586">
        <f>44971868*1.27</f>
        <v>57114272.359999999</v>
      </c>
      <c r="G12" s="586">
        <f>44971868*1.27</f>
        <v>57114272.359999999</v>
      </c>
      <c r="H12" s="586">
        <f>44971868*1.27+13737230</f>
        <v>70851502.359999999</v>
      </c>
      <c r="I12" s="588"/>
      <c r="J12" s="597"/>
      <c r="K12" s="586">
        <f t="shared" si="0"/>
        <v>70851502.359999999</v>
      </c>
      <c r="L12" s="597">
        <f>H12-48360255</f>
        <v>22491247.359999999</v>
      </c>
      <c r="M12" s="597"/>
      <c r="N12" s="586">
        <v>48360255</v>
      </c>
    </row>
    <row r="13" spans="1:15" s="591" customFormat="1" ht="15.95" customHeight="1">
      <c r="A13" s="584" t="s">
        <v>722</v>
      </c>
      <c r="B13" s="585" t="s">
        <v>663</v>
      </c>
      <c r="C13" s="586">
        <v>93175</v>
      </c>
      <c r="D13" s="587" t="s">
        <v>721</v>
      </c>
      <c r="E13" s="586"/>
      <c r="F13" s="586">
        <f>73366*1.27</f>
        <v>93174.82</v>
      </c>
      <c r="G13" s="586">
        <f>73366*1.27</f>
        <v>93174.82</v>
      </c>
      <c r="H13" s="586">
        <f>73366*1.27</f>
        <v>93174.82</v>
      </c>
      <c r="I13" s="588"/>
      <c r="J13" s="597"/>
      <c r="K13" s="586">
        <f t="shared" si="0"/>
        <v>93174.82</v>
      </c>
      <c r="L13" s="597"/>
      <c r="M13" s="597"/>
      <c r="N13" s="586">
        <f>73366*1.27</f>
        <v>93174.82</v>
      </c>
    </row>
    <row r="14" spans="1:15" s="591" customFormat="1" ht="15.95" customHeight="1">
      <c r="A14" s="584" t="s">
        <v>720</v>
      </c>
      <c r="B14" s="585" t="s">
        <v>644</v>
      </c>
      <c r="C14" s="586">
        <f>6350000-76200</f>
        <v>6273800</v>
      </c>
      <c r="D14" s="587" t="s">
        <v>721</v>
      </c>
      <c r="E14" s="586"/>
      <c r="F14" s="586">
        <f>5000000*1.27</f>
        <v>6350000</v>
      </c>
      <c r="G14" s="586">
        <f>5000000*1.27</f>
        <v>6350000</v>
      </c>
      <c r="H14" s="586">
        <f>5000000*1.27</f>
        <v>6350000</v>
      </c>
      <c r="I14" s="588"/>
      <c r="J14" s="597"/>
      <c r="K14" s="586">
        <f t="shared" si="0"/>
        <v>6350000</v>
      </c>
      <c r="L14" s="597">
        <f>(5000000*1.27)</f>
        <v>6350000</v>
      </c>
      <c r="M14" s="597"/>
      <c r="N14" s="586"/>
    </row>
    <row r="15" spans="1:15" s="591" customFormat="1" ht="15.95" customHeight="1">
      <c r="A15" s="584" t="s">
        <v>751</v>
      </c>
      <c r="B15" s="585" t="s">
        <v>644</v>
      </c>
      <c r="C15" s="586">
        <v>76200</v>
      </c>
      <c r="D15" s="587" t="s">
        <v>721</v>
      </c>
      <c r="E15" s="586"/>
      <c r="F15" s="586"/>
      <c r="G15" s="586"/>
      <c r="H15" s="586">
        <f>60000*1.27</f>
        <v>76200</v>
      </c>
      <c r="I15" s="588"/>
      <c r="J15" s="597"/>
      <c r="K15" s="586">
        <f>L15+M15+N15</f>
        <v>76200</v>
      </c>
      <c r="L15" s="597">
        <f>60000*1.27</f>
        <v>76200</v>
      </c>
      <c r="M15" s="597"/>
      <c r="N15" s="586"/>
    </row>
    <row r="16" spans="1:15" s="591" customFormat="1" ht="15.95" customHeight="1">
      <c r="A16" s="584" t="s">
        <v>755</v>
      </c>
      <c r="B16" s="585" t="s">
        <v>641</v>
      </c>
      <c r="C16" s="586">
        <f>470136+126937</f>
        <v>597073</v>
      </c>
      <c r="D16" s="587" t="s">
        <v>721</v>
      </c>
      <c r="E16" s="586"/>
      <c r="F16" s="586"/>
      <c r="G16" s="586"/>
      <c r="H16" s="586">
        <f>470136+126937</f>
        <v>597073</v>
      </c>
      <c r="I16" s="588"/>
      <c r="J16" s="597"/>
      <c r="K16" s="586">
        <f>L16+M16+N16</f>
        <v>597073</v>
      </c>
      <c r="L16" s="586">
        <f>470136+126937</f>
        <v>597073</v>
      </c>
      <c r="M16" s="597"/>
      <c r="N16" s="586"/>
    </row>
    <row r="17" spans="1:15" ht="15.95" customHeight="1">
      <c r="A17" s="592"/>
      <c r="B17" s="593"/>
      <c r="C17" s="594"/>
      <c r="D17" s="316"/>
      <c r="E17" s="594"/>
      <c r="F17" s="594"/>
      <c r="G17" s="594"/>
      <c r="H17" s="594"/>
      <c r="I17" s="590"/>
      <c r="J17" s="589"/>
      <c r="K17" s="594"/>
      <c r="L17" s="589"/>
      <c r="M17" s="589"/>
      <c r="N17" s="594"/>
    </row>
    <row r="18" spans="1:15" ht="15.95" customHeight="1">
      <c r="A18" s="592"/>
      <c r="B18" s="593"/>
      <c r="C18" s="594"/>
      <c r="D18" s="316"/>
      <c r="E18" s="594"/>
      <c r="F18" s="594"/>
      <c r="G18" s="594"/>
      <c r="H18" s="594"/>
      <c r="I18" s="590"/>
      <c r="J18" s="589"/>
      <c r="K18" s="594"/>
      <c r="L18" s="589"/>
      <c r="M18" s="589"/>
      <c r="N18" s="594"/>
    </row>
    <row r="19" spans="1:15" ht="15.95" customHeight="1">
      <c r="A19" s="592"/>
      <c r="B19" s="593"/>
      <c r="C19" s="594"/>
      <c r="D19" s="316"/>
      <c r="E19" s="594"/>
      <c r="F19" s="594"/>
      <c r="G19" s="594"/>
      <c r="H19" s="594"/>
      <c r="I19" s="590"/>
      <c r="J19" s="589"/>
      <c r="K19" s="594"/>
      <c r="L19" s="589"/>
      <c r="M19" s="589"/>
      <c r="N19" s="594"/>
    </row>
    <row r="20" spans="1:15" ht="15.95" customHeight="1">
      <c r="A20" s="592"/>
      <c r="B20" s="593"/>
      <c r="C20" s="594"/>
      <c r="D20" s="316"/>
      <c r="E20" s="594"/>
      <c r="F20" s="594"/>
      <c r="G20" s="594"/>
      <c r="H20" s="594"/>
      <c r="I20" s="590"/>
      <c r="J20" s="589"/>
      <c r="K20" s="594"/>
      <c r="L20" s="589"/>
      <c r="M20" s="589"/>
      <c r="N20" s="594"/>
    </row>
    <row r="21" spans="1:15" ht="15.95" customHeight="1">
      <c r="A21" s="592"/>
      <c r="B21" s="593"/>
      <c r="C21" s="594"/>
      <c r="D21" s="316"/>
      <c r="E21" s="594"/>
      <c r="F21" s="594"/>
      <c r="G21" s="594"/>
      <c r="H21" s="594"/>
      <c r="I21" s="590"/>
      <c r="J21" s="589"/>
      <c r="K21" s="594"/>
      <c r="L21" s="589"/>
      <c r="M21" s="589"/>
      <c r="N21" s="594"/>
    </row>
    <row r="22" spans="1:15" ht="15.95" customHeight="1">
      <c r="A22" s="592"/>
      <c r="B22" s="593"/>
      <c r="C22" s="594"/>
      <c r="D22" s="316"/>
      <c r="E22" s="594"/>
      <c r="F22" s="594"/>
      <c r="G22" s="594"/>
      <c r="H22" s="594"/>
      <c r="I22" s="590"/>
      <c r="J22" s="589"/>
      <c r="K22" s="594"/>
      <c r="L22" s="589"/>
      <c r="M22" s="589"/>
      <c r="N22" s="594"/>
    </row>
    <row r="23" spans="1:15" ht="15.95" customHeight="1">
      <c r="A23" s="592"/>
      <c r="B23" s="593"/>
      <c r="C23" s="594"/>
      <c r="D23" s="316"/>
      <c r="E23" s="594"/>
      <c r="F23" s="594"/>
      <c r="G23" s="594"/>
      <c r="H23" s="594"/>
      <c r="I23" s="590"/>
      <c r="J23" s="589"/>
      <c r="K23" s="594"/>
      <c r="L23" s="589"/>
      <c r="M23" s="589"/>
      <c r="N23" s="594"/>
    </row>
    <row r="24" spans="1:15" ht="15.95" customHeight="1">
      <c r="A24" s="592"/>
      <c r="B24" s="593"/>
      <c r="C24" s="594"/>
      <c r="D24" s="316"/>
      <c r="E24" s="594"/>
      <c r="F24" s="594"/>
      <c r="G24" s="594"/>
      <c r="H24" s="594"/>
      <c r="I24" s="590"/>
      <c r="J24" s="589"/>
      <c r="K24" s="594"/>
      <c r="L24" s="589"/>
      <c r="M24" s="589"/>
      <c r="N24" s="594"/>
    </row>
    <row r="25" spans="1:15" ht="15.95" customHeight="1">
      <c r="A25" s="592"/>
      <c r="B25" s="593"/>
      <c r="C25" s="594"/>
      <c r="D25" s="316"/>
      <c r="E25" s="594"/>
      <c r="F25" s="594"/>
      <c r="G25" s="594"/>
      <c r="H25" s="594"/>
      <c r="I25" s="590"/>
      <c r="J25" s="589"/>
      <c r="K25" s="594"/>
      <c r="L25" s="589"/>
      <c r="M25" s="589"/>
      <c r="N25" s="594"/>
    </row>
    <row r="26" spans="1:15" ht="15.95" customHeight="1" thickBot="1">
      <c r="A26" s="598"/>
      <c r="B26" s="599"/>
      <c r="C26" s="600"/>
      <c r="D26" s="317"/>
      <c r="E26" s="600"/>
      <c r="F26" s="600"/>
      <c r="G26" s="600"/>
      <c r="H26" s="600"/>
      <c r="I26" s="601"/>
      <c r="J26" s="595"/>
      <c r="K26" s="600"/>
      <c r="L26" s="595"/>
      <c r="M26" s="595"/>
      <c r="N26" s="600"/>
      <c r="O26" s="596"/>
    </row>
    <row r="27" spans="1:15" s="318" customFormat="1" ht="18" customHeight="1" thickBot="1">
      <c r="A27" s="602" t="s">
        <v>60</v>
      </c>
      <c r="B27" s="603"/>
      <c r="C27" s="604">
        <f>C5+C8+C9+C10+C11+C14+C6+C12+C15+C13+C16</f>
        <v>153970393</v>
      </c>
      <c r="D27" s="604"/>
      <c r="E27" s="604">
        <f t="shared" ref="E27:N27" si="1">E5+E8+E9+E10+E11+E14+E6+E12+E15+E13+E16</f>
        <v>0</v>
      </c>
      <c r="F27" s="604">
        <f t="shared" si="1"/>
        <v>142950544.68000001</v>
      </c>
      <c r="G27" s="604">
        <f t="shared" si="1"/>
        <v>142950544.68000001</v>
      </c>
      <c r="H27" s="604">
        <f t="shared" si="1"/>
        <v>154046593.68000001</v>
      </c>
      <c r="I27" s="604">
        <f t="shared" si="1"/>
        <v>0</v>
      </c>
      <c r="J27" s="604">
        <f t="shared" si="1"/>
        <v>0</v>
      </c>
      <c r="K27" s="604">
        <f t="shared" si="1"/>
        <v>154046593.94999999</v>
      </c>
      <c r="L27" s="604">
        <f t="shared" si="1"/>
        <v>35435642.629999995</v>
      </c>
      <c r="M27" s="604">
        <f t="shared" si="1"/>
        <v>0</v>
      </c>
      <c r="N27" s="604">
        <f t="shared" si="1"/>
        <v>118610951.31999999</v>
      </c>
      <c r="O27" s="506"/>
    </row>
  </sheetData>
  <mergeCells count="1">
    <mergeCell ref="A1:I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61" orientation="landscape" horizontalDpi="300" verticalDpi="300" r:id="rId1"/>
  <headerFooter alignWithMargins="0">
    <oddHeader xml:space="preserve">&amp;LVonyarcvashegy Nagyközség Önkormányzata&amp;R&amp;"Times New Roman CE,Félkövér dőlt"&amp;12 &amp;11 7. melléklet a 13/2018. (VI.25.) önkormányzati rendelethez&amp;"Times New Roman CE,Normál"&amp;10
  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FFFF00"/>
  </sheetPr>
  <dimension ref="A1:H52"/>
  <sheetViews>
    <sheetView view="pageLayout" zoomScaleNormal="100" workbookViewId="0">
      <selection activeCell="H13" sqref="H13"/>
    </sheetView>
  </sheetViews>
  <sheetFormatPr defaultRowHeight="12.75"/>
  <cols>
    <col min="1" max="1" width="36.83203125" style="297" bestFit="1" customWidth="1"/>
    <col min="2" max="3" width="5.6640625" style="297" bestFit="1" customWidth="1"/>
    <col min="4" max="4" width="10.1640625" style="297" bestFit="1" customWidth="1"/>
    <col min="5" max="5" width="9.5" style="297" bestFit="1" customWidth="1"/>
    <col min="6" max="16384" width="9.33203125" style="297"/>
  </cols>
  <sheetData>
    <row r="1" spans="1:5">
      <c r="A1" s="296"/>
      <c r="B1" s="296"/>
      <c r="C1" s="296"/>
      <c r="D1" s="296"/>
      <c r="E1" s="296"/>
    </row>
    <row r="2" spans="1:5">
      <c r="A2" s="520" t="s">
        <v>131</v>
      </c>
      <c r="B2" s="716"/>
      <c r="C2" s="716"/>
      <c r="D2" s="716"/>
      <c r="E2" s="716"/>
    </row>
    <row r="3" spans="1:5" ht="14.25" thickBot="1">
      <c r="A3" s="296"/>
      <c r="B3" s="296"/>
      <c r="C3" s="296"/>
      <c r="D3" s="717" t="s">
        <v>589</v>
      </c>
      <c r="E3" s="717"/>
    </row>
    <row r="4" spans="1:5" ht="15" customHeight="1" thickBot="1">
      <c r="A4" s="521" t="s">
        <v>124</v>
      </c>
      <c r="B4" s="522" t="s">
        <v>598</v>
      </c>
      <c r="C4" s="522" t="s">
        <v>607</v>
      </c>
      <c r="D4" s="522" t="s">
        <v>701</v>
      </c>
      <c r="E4" s="523" t="s">
        <v>48</v>
      </c>
    </row>
    <row r="5" spans="1:5">
      <c r="A5" s="524" t="s">
        <v>125</v>
      </c>
      <c r="B5" s="525"/>
      <c r="C5" s="525"/>
      <c r="D5" s="525"/>
      <c r="E5" s="526">
        <f t="shared" ref="E5:E11" si="0">SUM(B5:D5)</f>
        <v>0</v>
      </c>
    </row>
    <row r="6" spans="1:5">
      <c r="A6" s="527" t="s">
        <v>138</v>
      </c>
      <c r="B6" s="528"/>
      <c r="C6" s="528"/>
      <c r="D6" s="528"/>
      <c r="E6" s="529">
        <f t="shared" si="0"/>
        <v>0</v>
      </c>
    </row>
    <row r="7" spans="1:5">
      <c r="A7" s="530" t="s">
        <v>126</v>
      </c>
      <c r="B7" s="531"/>
      <c r="C7" s="531"/>
      <c r="D7" s="531"/>
      <c r="E7" s="532">
        <f t="shared" si="0"/>
        <v>0</v>
      </c>
    </row>
    <row r="8" spans="1:5">
      <c r="A8" s="530" t="s">
        <v>140</v>
      </c>
      <c r="B8" s="531"/>
      <c r="C8" s="531"/>
      <c r="D8" s="531"/>
      <c r="E8" s="532">
        <f t="shared" si="0"/>
        <v>0</v>
      </c>
    </row>
    <row r="9" spans="1:5">
      <c r="A9" s="530" t="s">
        <v>127</v>
      </c>
      <c r="B9" s="531"/>
      <c r="C9" s="531"/>
      <c r="D9" s="531"/>
      <c r="E9" s="532">
        <f t="shared" si="0"/>
        <v>0</v>
      </c>
    </row>
    <row r="10" spans="1:5">
      <c r="A10" s="530" t="s">
        <v>128</v>
      </c>
      <c r="B10" s="531"/>
      <c r="C10" s="531"/>
      <c r="D10" s="531"/>
      <c r="E10" s="532">
        <f t="shared" si="0"/>
        <v>0</v>
      </c>
    </row>
    <row r="11" spans="1:5" ht="13.5" thickBot="1">
      <c r="A11" s="533"/>
      <c r="B11" s="534"/>
      <c r="C11" s="534"/>
      <c r="D11" s="534"/>
      <c r="E11" s="532">
        <f t="shared" si="0"/>
        <v>0</v>
      </c>
    </row>
    <row r="12" spans="1:5" ht="13.5" thickBot="1">
      <c r="A12" s="535" t="s">
        <v>130</v>
      </c>
      <c r="B12" s="536">
        <f>B5+SUM(B7:B11)</f>
        <v>0</v>
      </c>
      <c r="C12" s="536">
        <f>C5+SUM(C7:C11)</f>
        <v>0</v>
      </c>
      <c r="D12" s="536">
        <f>D5+SUM(D7:D11)</f>
        <v>0</v>
      </c>
      <c r="E12" s="537">
        <f>E5+SUM(E7:E11)</f>
        <v>0</v>
      </c>
    </row>
    <row r="13" spans="1:5" ht="13.5" thickBot="1">
      <c r="A13" s="508"/>
      <c r="B13" s="508"/>
      <c r="C13" s="508"/>
      <c r="D13" s="508"/>
      <c r="E13" s="508"/>
    </row>
    <row r="14" spans="1:5" ht="15" customHeight="1" thickBot="1">
      <c r="A14" s="521" t="s">
        <v>129</v>
      </c>
      <c r="B14" s="522" t="str">
        <f>+B4</f>
        <v>2018.</v>
      </c>
      <c r="C14" s="522" t="str">
        <f>+C4</f>
        <v>2019.</v>
      </c>
      <c r="D14" s="522" t="str">
        <f>+D4</f>
        <v>2019. után</v>
      </c>
      <c r="E14" s="523" t="s">
        <v>48</v>
      </c>
    </row>
    <row r="15" spans="1:5">
      <c r="A15" s="524" t="s">
        <v>134</v>
      </c>
      <c r="B15" s="525"/>
      <c r="C15" s="525"/>
      <c r="D15" s="525"/>
      <c r="E15" s="526">
        <f t="shared" ref="E15:E21" si="1">SUM(B15:D15)</f>
        <v>0</v>
      </c>
    </row>
    <row r="16" spans="1:5">
      <c r="A16" s="538" t="s">
        <v>135</v>
      </c>
      <c r="B16" s="531"/>
      <c r="C16" s="531"/>
      <c r="D16" s="531"/>
      <c r="E16" s="532">
        <f t="shared" si="1"/>
        <v>0</v>
      </c>
    </row>
    <row r="17" spans="1:5">
      <c r="A17" s="530" t="s">
        <v>136</v>
      </c>
      <c r="B17" s="531"/>
      <c r="C17" s="531"/>
      <c r="D17" s="531"/>
      <c r="E17" s="532">
        <f t="shared" si="1"/>
        <v>0</v>
      </c>
    </row>
    <row r="18" spans="1:5">
      <c r="A18" s="530" t="s">
        <v>137</v>
      </c>
      <c r="B18" s="531"/>
      <c r="C18" s="531"/>
      <c r="D18" s="531"/>
      <c r="E18" s="532">
        <f t="shared" si="1"/>
        <v>0</v>
      </c>
    </row>
    <row r="19" spans="1:5">
      <c r="A19" s="539"/>
      <c r="B19" s="531"/>
      <c r="C19" s="531"/>
      <c r="D19" s="531"/>
      <c r="E19" s="532">
        <f t="shared" si="1"/>
        <v>0</v>
      </c>
    </row>
    <row r="20" spans="1:5">
      <c r="A20" s="539"/>
      <c r="B20" s="531"/>
      <c r="C20" s="531"/>
      <c r="D20" s="531"/>
      <c r="E20" s="532">
        <f t="shared" si="1"/>
        <v>0</v>
      </c>
    </row>
    <row r="21" spans="1:5" ht="13.5" thickBot="1">
      <c r="A21" s="533"/>
      <c r="B21" s="534"/>
      <c r="C21" s="534"/>
      <c r="D21" s="534"/>
      <c r="E21" s="532">
        <f t="shared" si="1"/>
        <v>0</v>
      </c>
    </row>
    <row r="22" spans="1:5" ht="13.5" thickBot="1">
      <c r="A22" s="535" t="s">
        <v>50</v>
      </c>
      <c r="B22" s="536">
        <f>SUM(B15:B21)</f>
        <v>0</v>
      </c>
      <c r="C22" s="536">
        <f>SUM(C15:C21)</f>
        <v>0</v>
      </c>
      <c r="D22" s="536">
        <f>SUM(D15:D21)</f>
        <v>0</v>
      </c>
      <c r="E22" s="537">
        <f>SUM(E15:E21)</f>
        <v>0</v>
      </c>
    </row>
    <row r="23" spans="1:5">
      <c r="A23" s="296"/>
      <c r="B23" s="296"/>
      <c r="C23" s="296"/>
      <c r="D23" s="296"/>
      <c r="E23" s="296"/>
    </row>
    <row r="24" spans="1:5">
      <c r="A24" s="296"/>
      <c r="B24" s="296"/>
      <c r="C24" s="296"/>
      <c r="D24" s="296"/>
      <c r="E24" s="296"/>
    </row>
    <row r="25" spans="1:5">
      <c r="A25" s="520" t="s">
        <v>131</v>
      </c>
      <c r="B25" s="716"/>
      <c r="C25" s="716"/>
      <c r="D25" s="716"/>
      <c r="E25" s="716"/>
    </row>
    <row r="26" spans="1:5" ht="14.25" thickBot="1">
      <c r="A26" s="296"/>
      <c r="B26" s="296"/>
      <c r="C26" s="296"/>
      <c r="D26" s="717" t="s">
        <v>589</v>
      </c>
      <c r="E26" s="717"/>
    </row>
    <row r="27" spans="1:5" ht="13.5" thickBot="1">
      <c r="A27" s="521" t="s">
        <v>124</v>
      </c>
      <c r="B27" s="522" t="str">
        <f>+B14</f>
        <v>2018.</v>
      </c>
      <c r="C27" s="522" t="str">
        <f>+C14</f>
        <v>2019.</v>
      </c>
      <c r="D27" s="522" t="str">
        <f>+D14</f>
        <v>2019. után</v>
      </c>
      <c r="E27" s="523" t="s">
        <v>48</v>
      </c>
    </row>
    <row r="28" spans="1:5">
      <c r="A28" s="524" t="s">
        <v>125</v>
      </c>
      <c r="B28" s="525"/>
      <c r="C28" s="525"/>
      <c r="D28" s="525"/>
      <c r="E28" s="526">
        <f t="shared" ref="E28:E34" si="2">SUM(B28:D28)</f>
        <v>0</v>
      </c>
    </row>
    <row r="29" spans="1:5">
      <c r="A29" s="527" t="s">
        <v>138</v>
      </c>
      <c r="B29" s="528"/>
      <c r="C29" s="528"/>
      <c r="D29" s="528"/>
      <c r="E29" s="529">
        <f t="shared" si="2"/>
        <v>0</v>
      </c>
    </row>
    <row r="30" spans="1:5">
      <c r="A30" s="530" t="s">
        <v>126</v>
      </c>
      <c r="B30" s="531"/>
      <c r="C30" s="531"/>
      <c r="D30" s="531"/>
      <c r="E30" s="532">
        <f t="shared" si="2"/>
        <v>0</v>
      </c>
    </row>
    <row r="31" spans="1:5">
      <c r="A31" s="530" t="s">
        <v>140</v>
      </c>
      <c r="B31" s="531"/>
      <c r="C31" s="531"/>
      <c r="D31" s="531"/>
      <c r="E31" s="532">
        <f t="shared" si="2"/>
        <v>0</v>
      </c>
    </row>
    <row r="32" spans="1:5">
      <c r="A32" s="530" t="s">
        <v>127</v>
      </c>
      <c r="B32" s="531"/>
      <c r="C32" s="531"/>
      <c r="D32" s="531"/>
      <c r="E32" s="532">
        <f t="shared" si="2"/>
        <v>0</v>
      </c>
    </row>
    <row r="33" spans="1:5">
      <c r="A33" s="530" t="s">
        <v>128</v>
      </c>
      <c r="B33" s="531"/>
      <c r="C33" s="531"/>
      <c r="D33" s="531"/>
      <c r="E33" s="532">
        <f t="shared" si="2"/>
        <v>0</v>
      </c>
    </row>
    <row r="34" spans="1:5" ht="13.5" thickBot="1">
      <c r="A34" s="533"/>
      <c r="B34" s="534"/>
      <c r="C34" s="534"/>
      <c r="D34" s="534"/>
      <c r="E34" s="532">
        <f t="shared" si="2"/>
        <v>0</v>
      </c>
    </row>
    <row r="35" spans="1:5" ht="13.5" thickBot="1">
      <c r="A35" s="535" t="s">
        <v>130</v>
      </c>
      <c r="B35" s="536">
        <f>B28+SUM(B30:B34)</f>
        <v>0</v>
      </c>
      <c r="C35" s="536">
        <f>C28+SUM(C30:C34)</f>
        <v>0</v>
      </c>
      <c r="D35" s="536">
        <f>D28+SUM(D30:D34)</f>
        <v>0</v>
      </c>
      <c r="E35" s="537">
        <f>E28+SUM(E30:E34)</f>
        <v>0</v>
      </c>
    </row>
    <row r="36" spans="1:5" ht="13.5" thickBot="1">
      <c r="A36" s="508"/>
      <c r="B36" s="508"/>
      <c r="C36" s="508"/>
      <c r="D36" s="508"/>
      <c r="E36" s="508"/>
    </row>
    <row r="37" spans="1:5" ht="13.5" thickBot="1">
      <c r="A37" s="521" t="s">
        <v>129</v>
      </c>
      <c r="B37" s="522" t="str">
        <f>+B27</f>
        <v>2018.</v>
      </c>
      <c r="C37" s="522" t="str">
        <f>+C27</f>
        <v>2019.</v>
      </c>
      <c r="D37" s="522" t="str">
        <f>+D27</f>
        <v>2019. után</v>
      </c>
      <c r="E37" s="523" t="s">
        <v>48</v>
      </c>
    </row>
    <row r="38" spans="1:5">
      <c r="A38" s="524" t="s">
        <v>134</v>
      </c>
      <c r="B38" s="525"/>
      <c r="C38" s="525"/>
      <c r="D38" s="525"/>
      <c r="E38" s="526">
        <f t="shared" ref="E38:E44" si="3">SUM(B38:D38)</f>
        <v>0</v>
      </c>
    </row>
    <row r="39" spans="1:5">
      <c r="A39" s="538" t="s">
        <v>135</v>
      </c>
      <c r="B39" s="531"/>
      <c r="C39" s="531"/>
      <c r="D39" s="531"/>
      <c r="E39" s="532">
        <f t="shared" si="3"/>
        <v>0</v>
      </c>
    </row>
    <row r="40" spans="1:5">
      <c r="A40" s="530" t="s">
        <v>136</v>
      </c>
      <c r="B40" s="531"/>
      <c r="C40" s="531"/>
      <c r="D40" s="531"/>
      <c r="E40" s="532">
        <f t="shared" si="3"/>
        <v>0</v>
      </c>
    </row>
    <row r="41" spans="1:5">
      <c r="A41" s="530" t="s">
        <v>137</v>
      </c>
      <c r="B41" s="531"/>
      <c r="C41" s="531"/>
      <c r="D41" s="531"/>
      <c r="E41" s="532">
        <f t="shared" si="3"/>
        <v>0</v>
      </c>
    </row>
    <row r="42" spans="1:5">
      <c r="A42" s="539"/>
      <c r="B42" s="531"/>
      <c r="C42" s="531"/>
      <c r="D42" s="531"/>
      <c r="E42" s="532">
        <f t="shared" si="3"/>
        <v>0</v>
      </c>
    </row>
    <row r="43" spans="1:5">
      <c r="A43" s="539"/>
      <c r="B43" s="531"/>
      <c r="C43" s="531"/>
      <c r="D43" s="531"/>
      <c r="E43" s="532">
        <f t="shared" si="3"/>
        <v>0</v>
      </c>
    </row>
    <row r="44" spans="1:5" ht="13.5" thickBot="1">
      <c r="A44" s="533"/>
      <c r="B44" s="534"/>
      <c r="C44" s="534"/>
      <c r="D44" s="534"/>
      <c r="E44" s="532">
        <f t="shared" si="3"/>
        <v>0</v>
      </c>
    </row>
    <row r="45" spans="1:5" ht="13.5" thickBot="1">
      <c r="A45" s="535" t="s">
        <v>50</v>
      </c>
      <c r="B45" s="536">
        <f>SUM(B38:B44)</f>
        <v>0</v>
      </c>
      <c r="C45" s="536">
        <f>SUM(C38:C44)</f>
        <v>0</v>
      </c>
      <c r="D45" s="536">
        <f>SUM(D38:D44)</f>
        <v>0</v>
      </c>
      <c r="E45" s="537">
        <f>SUM(E38:E44)</f>
        <v>0</v>
      </c>
    </row>
    <row r="46" spans="1:5">
      <c r="A46" s="296"/>
      <c r="B46" s="296"/>
      <c r="C46" s="296"/>
      <c r="D46" s="296"/>
      <c r="E46" s="296"/>
    </row>
    <row r="47" spans="1:5">
      <c r="A47" s="540" t="s">
        <v>702</v>
      </c>
      <c r="B47" s="540"/>
      <c r="C47" s="540"/>
      <c r="D47" s="540"/>
      <c r="E47" s="540"/>
    </row>
    <row r="48" spans="1:5" ht="13.5" thickBot="1">
      <c r="A48" s="296"/>
      <c r="B48" s="296"/>
      <c r="C48" s="296"/>
      <c r="D48" s="296"/>
      <c r="E48" s="296"/>
    </row>
    <row r="49" spans="1:8" ht="13.5" thickBot="1">
      <c r="A49" s="729" t="s">
        <v>132</v>
      </c>
      <c r="B49" s="730"/>
      <c r="C49" s="731"/>
      <c r="D49" s="727" t="s">
        <v>609</v>
      </c>
      <c r="E49" s="728"/>
      <c r="H49" s="509"/>
    </row>
    <row r="50" spans="1:8">
      <c r="A50" s="732"/>
      <c r="B50" s="733"/>
      <c r="C50" s="734"/>
      <c r="D50" s="721"/>
      <c r="E50" s="722"/>
    </row>
    <row r="51" spans="1:8" ht="13.5" thickBot="1">
      <c r="A51" s="735"/>
      <c r="B51" s="736"/>
      <c r="C51" s="737"/>
      <c r="D51" s="723"/>
      <c r="E51" s="724"/>
    </row>
    <row r="52" spans="1:8" ht="13.5" thickBot="1">
      <c r="A52" s="718" t="s">
        <v>50</v>
      </c>
      <c r="B52" s="719"/>
      <c r="C52" s="720"/>
      <c r="D52" s="725">
        <f>SUM(D50:E51)</f>
        <v>0</v>
      </c>
      <c r="E52" s="726"/>
    </row>
  </sheetData>
  <mergeCells count="12">
    <mergeCell ref="A50:C50"/>
    <mergeCell ref="A51:C51"/>
    <mergeCell ref="B2:E2"/>
    <mergeCell ref="B25:E25"/>
    <mergeCell ref="D3:E3"/>
    <mergeCell ref="D26:E26"/>
    <mergeCell ref="A52:C52"/>
    <mergeCell ref="D50:E50"/>
    <mergeCell ref="D51:E51"/>
    <mergeCell ref="D52:E52"/>
    <mergeCell ref="D49:E49"/>
    <mergeCell ref="A49:C49"/>
  </mergeCells>
  <phoneticPr fontId="6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9" orientation="portrait" r:id="rId1"/>
  <headerFooter alignWithMargins="0">
    <oddHeader>&amp;LVonyarcvashegy Nagyközség Önkorm
&amp;C&amp;"Times New Roman CE,Félkövér"&amp;12
Európai uniós támogatással megvalósuló projektek 
bevételei, kiadásai, hozzájárulások&amp;R&amp;"Times New Roman CE,Félkövér dőlt"&amp;11 8. melléklet a 13/2018. (VI.25.) önkormányzati rendelethez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7030A0"/>
  </sheetPr>
  <dimension ref="A1:E161"/>
  <sheetViews>
    <sheetView zoomScale="96" zoomScaleNormal="96" zoomScaleSheetLayoutView="85" workbookViewId="0">
      <selection activeCell="B1" sqref="B1"/>
    </sheetView>
  </sheetViews>
  <sheetFormatPr defaultRowHeight="12.75"/>
  <cols>
    <col min="1" max="1" width="19.5" style="66" customWidth="1"/>
    <col min="2" max="2" width="72" style="17" customWidth="1"/>
    <col min="3" max="5" width="25" style="67" customWidth="1"/>
    <col min="6" max="16384" width="9.33203125" style="156"/>
  </cols>
  <sheetData>
    <row r="1" spans="1:5" s="148" customFormat="1" ht="16.5" customHeight="1" thickBot="1">
      <c r="A1" s="1"/>
      <c r="B1" s="149" t="s">
        <v>761</v>
      </c>
      <c r="C1" s="149"/>
      <c r="D1" s="149"/>
      <c r="E1" s="149"/>
    </row>
    <row r="2" spans="1:5" s="151" customFormat="1" ht="21" customHeight="1">
      <c r="A2" s="4" t="s">
        <v>58</v>
      </c>
      <c r="B2" s="5" t="s">
        <v>539</v>
      </c>
      <c r="C2" s="150" t="s">
        <v>51</v>
      </c>
      <c r="D2" s="150" t="s">
        <v>51</v>
      </c>
      <c r="E2" s="150" t="s">
        <v>51</v>
      </c>
    </row>
    <row r="3" spans="1:5" s="151" customFormat="1" ht="16.5" thickBot="1">
      <c r="A3" s="152" t="s">
        <v>193</v>
      </c>
      <c r="B3" s="9" t="s">
        <v>397</v>
      </c>
      <c r="C3" s="153" t="s">
        <v>51</v>
      </c>
      <c r="D3" s="153" t="s">
        <v>51</v>
      </c>
      <c r="E3" s="153" t="s">
        <v>51</v>
      </c>
    </row>
    <row r="4" spans="1:5" s="154" customFormat="1" ht="15.95" customHeight="1" thickBot="1">
      <c r="A4" s="11"/>
      <c r="B4" s="11"/>
      <c r="C4" s="12" t="s">
        <v>589</v>
      </c>
      <c r="D4" s="12" t="s">
        <v>589</v>
      </c>
      <c r="E4" s="12" t="s">
        <v>589</v>
      </c>
    </row>
    <row r="5" spans="1:5" ht="26.25" thickBot="1">
      <c r="A5" s="14" t="s">
        <v>195</v>
      </c>
      <c r="B5" s="15" t="s">
        <v>52</v>
      </c>
      <c r="C5" s="155" t="s">
        <v>688</v>
      </c>
      <c r="D5" s="305" t="s">
        <v>739</v>
      </c>
      <c r="E5" s="305" t="s">
        <v>744</v>
      </c>
    </row>
    <row r="6" spans="1:5" s="157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  <c r="E6" s="20" t="s">
        <v>488</v>
      </c>
    </row>
    <row r="7" spans="1:5" s="157" customFormat="1" ht="15.95" customHeight="1" thickBot="1">
      <c r="A7" s="22"/>
      <c r="B7" s="23" t="s">
        <v>53</v>
      </c>
      <c r="C7" s="158"/>
      <c r="D7" s="158"/>
      <c r="E7" s="158"/>
    </row>
    <row r="8" spans="1:5" s="82" customFormat="1" ht="12" customHeight="1" thickBot="1">
      <c r="A8" s="79" t="s">
        <v>16</v>
      </c>
      <c r="B8" s="80" t="s">
        <v>244</v>
      </c>
      <c r="C8" s="546">
        <f>+C9+C10+C11+C12+C13+C14</f>
        <v>218395679</v>
      </c>
      <c r="D8" s="546">
        <f>+D9+D10+D11+D12+D13+D14</f>
        <v>218917790</v>
      </c>
      <c r="E8" s="546">
        <f>+E9+E10+E11+E12+E13+E14</f>
        <v>217376765</v>
      </c>
    </row>
    <row r="9" spans="1:5" s="82" customFormat="1" ht="12" customHeight="1">
      <c r="A9" s="83" t="s">
        <v>95</v>
      </c>
      <c r="B9" s="84" t="s">
        <v>245</v>
      </c>
      <c r="C9" s="548">
        <v>117822978</v>
      </c>
      <c r="D9" s="548">
        <v>117822978</v>
      </c>
      <c r="E9" s="548">
        <v>117822978</v>
      </c>
    </row>
    <row r="10" spans="1:5" s="82" customFormat="1" ht="12" customHeight="1">
      <c r="A10" s="86" t="s">
        <v>96</v>
      </c>
      <c r="B10" s="87" t="s">
        <v>246</v>
      </c>
      <c r="C10" s="550">
        <v>56900500</v>
      </c>
      <c r="D10" s="550">
        <v>56900500</v>
      </c>
      <c r="E10" s="550">
        <f>56900500-2814800</f>
        <v>54085700</v>
      </c>
    </row>
    <row r="11" spans="1:5" s="82" customFormat="1" ht="12" customHeight="1">
      <c r="A11" s="86" t="s">
        <v>97</v>
      </c>
      <c r="B11" s="87" t="s">
        <v>247</v>
      </c>
      <c r="C11" s="550">
        <v>40194081</v>
      </c>
      <c r="D11" s="550">
        <v>40194081</v>
      </c>
      <c r="E11" s="550">
        <f>40194081-152000</f>
        <v>40042081</v>
      </c>
    </row>
    <row r="12" spans="1:5" s="82" customFormat="1" ht="12" customHeight="1">
      <c r="A12" s="86" t="s">
        <v>98</v>
      </c>
      <c r="B12" s="87" t="s">
        <v>248</v>
      </c>
      <c r="C12" s="550">
        <v>3063720</v>
      </c>
      <c r="D12" s="550">
        <f>3063720+280587</f>
        <v>3344307</v>
      </c>
      <c r="E12" s="550">
        <f>3063720+280587+411269+187376</f>
        <v>3942952</v>
      </c>
    </row>
    <row r="13" spans="1:5" s="82" customFormat="1" ht="12" customHeight="1">
      <c r="A13" s="86" t="s">
        <v>141</v>
      </c>
      <c r="B13" s="89" t="s">
        <v>429</v>
      </c>
      <c r="C13" s="550">
        <v>414400</v>
      </c>
      <c r="D13" s="550">
        <f>414400+241524</f>
        <v>655924</v>
      </c>
      <c r="E13" s="550">
        <f>414400+241524+533400+293730</f>
        <v>1483054</v>
      </c>
    </row>
    <row r="14" spans="1:5" s="82" customFormat="1" ht="12" customHeight="1" thickBot="1">
      <c r="A14" s="90" t="s">
        <v>99</v>
      </c>
      <c r="B14" s="91" t="s">
        <v>430</v>
      </c>
      <c r="C14" s="550"/>
      <c r="D14" s="550"/>
      <c r="E14" s="550"/>
    </row>
    <row r="15" spans="1:5" s="82" customFormat="1" ht="12" customHeight="1" thickBot="1">
      <c r="A15" s="79" t="s">
        <v>17</v>
      </c>
      <c r="B15" s="92" t="s">
        <v>249</v>
      </c>
      <c r="C15" s="546">
        <f>+C16+C17+C18+C19+C20</f>
        <v>73241871</v>
      </c>
      <c r="D15" s="546">
        <f>+D16+D17+D18+D19+D20</f>
        <v>76180274</v>
      </c>
      <c r="E15" s="546">
        <f>+E16+E17+E18+E19+E20</f>
        <v>77080192</v>
      </c>
    </row>
    <row r="16" spans="1:5" s="82" customFormat="1" ht="12" customHeight="1">
      <c r="A16" s="83" t="s">
        <v>101</v>
      </c>
      <c r="B16" s="84" t="s">
        <v>250</v>
      </c>
      <c r="C16" s="548"/>
      <c r="D16" s="548"/>
      <c r="E16" s="548"/>
    </row>
    <row r="17" spans="1:5" s="82" customFormat="1" ht="12" customHeight="1">
      <c r="A17" s="86" t="s">
        <v>102</v>
      </c>
      <c r="B17" s="87" t="s">
        <v>251</v>
      </c>
      <c r="C17" s="550"/>
      <c r="D17" s="550"/>
      <c r="E17" s="550"/>
    </row>
    <row r="18" spans="1:5" s="82" customFormat="1" ht="12" customHeight="1">
      <c r="A18" s="86" t="s">
        <v>103</v>
      </c>
      <c r="B18" s="87" t="s">
        <v>419</v>
      </c>
      <c r="C18" s="550"/>
      <c r="D18" s="550"/>
      <c r="E18" s="550"/>
    </row>
    <row r="19" spans="1:5" s="82" customFormat="1" ht="12" customHeight="1">
      <c r="A19" s="86" t="s">
        <v>104</v>
      </c>
      <c r="B19" s="87" t="s">
        <v>420</v>
      </c>
      <c r="C19" s="550"/>
      <c r="D19" s="550"/>
      <c r="E19" s="550"/>
    </row>
    <row r="20" spans="1:5" s="82" customFormat="1" ht="12" customHeight="1">
      <c r="A20" s="86" t="s">
        <v>105</v>
      </c>
      <c r="B20" s="87" t="s">
        <v>252</v>
      </c>
      <c r="C20" s="550">
        <v>73241871</v>
      </c>
      <c r="D20" s="550">
        <f>73241871+105000+715832+78540+119640+1919391</f>
        <v>76180274</v>
      </c>
      <c r="E20" s="550">
        <f>73241871+105000+715832+78540+119640+1919391-1919391+2706807+112502</f>
        <v>77080192</v>
      </c>
    </row>
    <row r="21" spans="1:5" s="82" customFormat="1" ht="12" customHeight="1" thickBot="1">
      <c r="A21" s="90" t="s">
        <v>114</v>
      </c>
      <c r="B21" s="91" t="s">
        <v>253</v>
      </c>
      <c r="C21" s="552"/>
      <c r="D21" s="552"/>
      <c r="E21" s="552"/>
    </row>
    <row r="22" spans="1:5" s="82" customFormat="1" ht="12" customHeight="1" thickBot="1">
      <c r="A22" s="79" t="s">
        <v>18</v>
      </c>
      <c r="B22" s="80" t="s">
        <v>254</v>
      </c>
      <c r="C22" s="546">
        <f>+C23+C24+C25+C26+C27</f>
        <v>55972518</v>
      </c>
      <c r="D22" s="546">
        <f>+D23+D24+D25+D26+D27</f>
        <v>55972518</v>
      </c>
      <c r="E22" s="546">
        <f>+E23+E24+E25+E26+E27</f>
        <v>63789960</v>
      </c>
    </row>
    <row r="23" spans="1:5" s="82" customFormat="1" ht="12" customHeight="1">
      <c r="A23" s="83" t="s">
        <v>84</v>
      </c>
      <c r="B23" s="84" t="s">
        <v>255</v>
      </c>
      <c r="C23" s="548"/>
      <c r="D23" s="548"/>
      <c r="E23" s="548"/>
    </row>
    <row r="24" spans="1:5" s="82" customFormat="1" ht="12" customHeight="1">
      <c r="A24" s="86" t="s">
        <v>85</v>
      </c>
      <c r="B24" s="87" t="s">
        <v>256</v>
      </c>
      <c r="C24" s="550"/>
      <c r="D24" s="550"/>
      <c r="E24" s="550"/>
    </row>
    <row r="25" spans="1:5" s="82" customFormat="1" ht="12" customHeight="1">
      <c r="A25" s="86" t="s">
        <v>86</v>
      </c>
      <c r="B25" s="87" t="s">
        <v>421</v>
      </c>
      <c r="C25" s="550"/>
      <c r="D25" s="550"/>
      <c r="E25" s="550"/>
    </row>
    <row r="26" spans="1:5" s="82" customFormat="1" ht="12" customHeight="1">
      <c r="A26" s="86" t="s">
        <v>87</v>
      </c>
      <c r="B26" s="87" t="s">
        <v>422</v>
      </c>
      <c r="C26" s="550"/>
      <c r="D26" s="550"/>
      <c r="E26" s="550"/>
    </row>
    <row r="27" spans="1:5" s="82" customFormat="1" ht="12" customHeight="1">
      <c r="A27" s="86" t="s">
        <v>162</v>
      </c>
      <c r="B27" s="87" t="s">
        <v>257</v>
      </c>
      <c r="C27" s="550">
        <v>55972518</v>
      </c>
      <c r="D27" s="550">
        <v>55972518</v>
      </c>
      <c r="E27" s="550">
        <f>55972518+7817442</f>
        <v>63789960</v>
      </c>
    </row>
    <row r="28" spans="1:5" s="82" customFormat="1" ht="12" customHeight="1" thickBot="1">
      <c r="A28" s="90" t="s">
        <v>163</v>
      </c>
      <c r="B28" s="94" t="s">
        <v>258</v>
      </c>
      <c r="C28" s="552"/>
      <c r="D28" s="552"/>
      <c r="E28" s="552"/>
    </row>
    <row r="29" spans="1:5" s="82" customFormat="1" ht="12" customHeight="1" thickBot="1">
      <c r="A29" s="79" t="s">
        <v>164</v>
      </c>
      <c r="B29" s="80" t="s">
        <v>259</v>
      </c>
      <c r="C29" s="546">
        <f>+C30+C34+C35+C36</f>
        <v>129930000</v>
      </c>
      <c r="D29" s="546">
        <f>+D30+D34+D35+D36</f>
        <v>129930000</v>
      </c>
      <c r="E29" s="546">
        <f>+E30+E34+E35+E36</f>
        <v>129930000</v>
      </c>
    </row>
    <row r="30" spans="1:5" s="82" customFormat="1" ht="12" customHeight="1">
      <c r="A30" s="83" t="s">
        <v>260</v>
      </c>
      <c r="B30" s="159" t="s">
        <v>436</v>
      </c>
      <c r="C30" s="554">
        <f>C31+C32+C33</f>
        <v>94400000</v>
      </c>
      <c r="D30" s="554">
        <f>D31+D32+D33</f>
        <v>94400000</v>
      </c>
      <c r="E30" s="554">
        <f>E31+E32+E33</f>
        <v>94400000</v>
      </c>
    </row>
    <row r="31" spans="1:5" s="82" customFormat="1" ht="12" customHeight="1">
      <c r="A31" s="86" t="s">
        <v>261</v>
      </c>
      <c r="B31" s="160" t="s">
        <v>604</v>
      </c>
      <c r="C31" s="550">
        <v>56400000</v>
      </c>
      <c r="D31" s="550">
        <v>56400000</v>
      </c>
      <c r="E31" s="550">
        <v>56400000</v>
      </c>
    </row>
    <row r="32" spans="1:5" s="82" customFormat="1" ht="12" customHeight="1">
      <c r="A32" s="86" t="s">
        <v>262</v>
      </c>
      <c r="B32" s="160" t="s">
        <v>605</v>
      </c>
      <c r="C32" s="550"/>
      <c r="D32" s="550"/>
      <c r="E32" s="550"/>
    </row>
    <row r="33" spans="1:5" s="82" customFormat="1" ht="12" customHeight="1">
      <c r="A33" s="86" t="s">
        <v>434</v>
      </c>
      <c r="B33" s="161" t="s">
        <v>435</v>
      </c>
      <c r="C33" s="550">
        <v>38000000</v>
      </c>
      <c r="D33" s="550">
        <v>38000000</v>
      </c>
      <c r="E33" s="550">
        <v>38000000</v>
      </c>
    </row>
    <row r="34" spans="1:5" s="82" customFormat="1" ht="12" customHeight="1">
      <c r="A34" s="86" t="s">
        <v>263</v>
      </c>
      <c r="B34" s="160" t="s">
        <v>268</v>
      </c>
      <c r="C34" s="550">
        <v>7400000</v>
      </c>
      <c r="D34" s="550">
        <v>7400000</v>
      </c>
      <c r="E34" s="550">
        <v>7400000</v>
      </c>
    </row>
    <row r="35" spans="1:5" s="82" customFormat="1" ht="12" customHeight="1">
      <c r="A35" s="86" t="s">
        <v>264</v>
      </c>
      <c r="B35" s="160" t="s">
        <v>582</v>
      </c>
      <c r="C35" s="550">
        <v>27500000</v>
      </c>
      <c r="D35" s="550">
        <v>27500000</v>
      </c>
      <c r="E35" s="550">
        <v>27500000</v>
      </c>
    </row>
    <row r="36" spans="1:5" s="82" customFormat="1" ht="12" customHeight="1" thickBot="1">
      <c r="A36" s="90" t="s">
        <v>265</v>
      </c>
      <c r="B36" s="162" t="s">
        <v>270</v>
      </c>
      <c r="C36" s="552">
        <v>630000</v>
      </c>
      <c r="D36" s="552">
        <v>630000</v>
      </c>
      <c r="E36" s="552">
        <v>630000</v>
      </c>
    </row>
    <row r="37" spans="1:5" s="82" customFormat="1" ht="12" customHeight="1" thickBot="1">
      <c r="A37" s="79" t="s">
        <v>20</v>
      </c>
      <c r="B37" s="80" t="s">
        <v>431</v>
      </c>
      <c r="C37" s="546">
        <f>SUM(C38:C48)</f>
        <v>139882547</v>
      </c>
      <c r="D37" s="546">
        <f>SUM(D38:D48)</f>
        <v>139882547</v>
      </c>
      <c r="E37" s="546">
        <f>SUM(E38:E48)</f>
        <v>139734281</v>
      </c>
    </row>
    <row r="38" spans="1:5" s="82" customFormat="1" ht="12" customHeight="1">
      <c r="A38" s="83" t="s">
        <v>88</v>
      </c>
      <c r="B38" s="84" t="s">
        <v>273</v>
      </c>
      <c r="C38" s="548"/>
      <c r="D38" s="548"/>
      <c r="E38" s="548"/>
    </row>
    <row r="39" spans="1:5" s="82" customFormat="1" ht="12" customHeight="1">
      <c r="A39" s="86" t="s">
        <v>89</v>
      </c>
      <c r="B39" s="87" t="s">
        <v>274</v>
      </c>
      <c r="C39" s="550">
        <v>94800709</v>
      </c>
      <c r="D39" s="550">
        <v>94800709</v>
      </c>
      <c r="E39" s="550">
        <f>94800709+132213-196063-118110</f>
        <v>94618749</v>
      </c>
    </row>
    <row r="40" spans="1:5" s="82" customFormat="1" ht="12" customHeight="1">
      <c r="A40" s="86" t="s">
        <v>90</v>
      </c>
      <c r="B40" s="87" t="s">
        <v>275</v>
      </c>
      <c r="C40" s="550">
        <v>2400000</v>
      </c>
      <c r="D40" s="550">
        <v>2400000</v>
      </c>
      <c r="E40" s="550">
        <v>2400000</v>
      </c>
    </row>
    <row r="41" spans="1:5" s="82" customFormat="1" ht="12" customHeight="1">
      <c r="A41" s="86" t="s">
        <v>166</v>
      </c>
      <c r="B41" s="87" t="s">
        <v>276</v>
      </c>
      <c r="C41" s="550"/>
      <c r="D41" s="550"/>
      <c r="E41" s="550"/>
    </row>
    <row r="42" spans="1:5" s="82" customFormat="1" ht="12" customHeight="1">
      <c r="A42" s="86" t="s">
        <v>167</v>
      </c>
      <c r="B42" s="87" t="s">
        <v>277</v>
      </c>
      <c r="C42" s="550">
        <v>1500000</v>
      </c>
      <c r="D42" s="550">
        <v>1500000</v>
      </c>
      <c r="E42" s="550">
        <v>1500000</v>
      </c>
    </row>
    <row r="43" spans="1:5" s="82" customFormat="1" ht="12" customHeight="1">
      <c r="A43" s="86" t="s">
        <v>168</v>
      </c>
      <c r="B43" s="87" t="s">
        <v>278</v>
      </c>
      <c r="C43" s="550">
        <v>26748983</v>
      </c>
      <c r="D43" s="550">
        <v>26748983</v>
      </c>
      <c r="E43" s="550">
        <f>26748983+35697-52937-31890</f>
        <v>26699853</v>
      </c>
    </row>
    <row r="44" spans="1:5" s="82" customFormat="1" ht="12" customHeight="1">
      <c r="A44" s="86" t="s">
        <v>169</v>
      </c>
      <c r="B44" s="87" t="s">
        <v>279</v>
      </c>
      <c r="C44" s="550">
        <v>14000000</v>
      </c>
      <c r="D44" s="550">
        <v>14000000</v>
      </c>
      <c r="E44" s="550">
        <v>14000000</v>
      </c>
    </row>
    <row r="45" spans="1:5" s="82" customFormat="1" ht="12" customHeight="1">
      <c r="A45" s="86" t="s">
        <v>170</v>
      </c>
      <c r="B45" s="87" t="s">
        <v>280</v>
      </c>
      <c r="C45" s="550">
        <v>20000</v>
      </c>
      <c r="D45" s="550">
        <v>20000</v>
      </c>
      <c r="E45" s="550">
        <v>20000</v>
      </c>
    </row>
    <row r="46" spans="1:5" s="82" customFormat="1" ht="12" customHeight="1">
      <c r="A46" s="86" t="s">
        <v>271</v>
      </c>
      <c r="B46" s="87" t="s">
        <v>281</v>
      </c>
      <c r="C46" s="550"/>
      <c r="D46" s="550"/>
      <c r="E46" s="550"/>
    </row>
    <row r="47" spans="1:5" s="82" customFormat="1" ht="12" customHeight="1">
      <c r="A47" s="90" t="s">
        <v>272</v>
      </c>
      <c r="B47" s="94" t="s">
        <v>433</v>
      </c>
      <c r="C47" s="552"/>
      <c r="D47" s="552"/>
      <c r="E47" s="552"/>
    </row>
    <row r="48" spans="1:5" s="82" customFormat="1" ht="12" customHeight="1" thickBot="1">
      <c r="A48" s="90" t="s">
        <v>432</v>
      </c>
      <c r="B48" s="91" t="s">
        <v>282</v>
      </c>
      <c r="C48" s="552">
        <v>412855</v>
      </c>
      <c r="D48" s="552">
        <v>412855</v>
      </c>
      <c r="E48" s="552">
        <f>412855+82824</f>
        <v>495679</v>
      </c>
    </row>
    <row r="49" spans="1:5" s="82" customFormat="1" ht="12" customHeight="1" thickBot="1">
      <c r="A49" s="79" t="s">
        <v>21</v>
      </c>
      <c r="B49" s="80" t="s">
        <v>283</v>
      </c>
      <c r="C49" s="546">
        <f>SUM(C50:C54)</f>
        <v>0</v>
      </c>
      <c r="D49" s="546">
        <f>SUM(D50:D54)</f>
        <v>0</v>
      </c>
      <c r="E49" s="546">
        <f>SUM(E50:E54)</f>
        <v>0</v>
      </c>
    </row>
    <row r="50" spans="1:5" s="82" customFormat="1" ht="12" customHeight="1">
      <c r="A50" s="83" t="s">
        <v>91</v>
      </c>
      <c r="B50" s="84" t="s">
        <v>287</v>
      </c>
      <c r="C50" s="548"/>
      <c r="D50" s="548"/>
      <c r="E50" s="548"/>
    </row>
    <row r="51" spans="1:5" s="82" customFormat="1" ht="12" customHeight="1">
      <c r="A51" s="86" t="s">
        <v>92</v>
      </c>
      <c r="B51" s="87" t="s">
        <v>288</v>
      </c>
      <c r="C51" s="550"/>
      <c r="D51" s="550"/>
      <c r="E51" s="550"/>
    </row>
    <row r="52" spans="1:5" s="82" customFormat="1" ht="12" customHeight="1">
      <c r="A52" s="86" t="s">
        <v>284</v>
      </c>
      <c r="B52" s="87" t="s">
        <v>289</v>
      </c>
      <c r="C52" s="550"/>
      <c r="D52" s="550"/>
      <c r="E52" s="550"/>
    </row>
    <row r="53" spans="1:5" s="82" customFormat="1" ht="12" customHeight="1">
      <c r="A53" s="86" t="s">
        <v>285</v>
      </c>
      <c r="B53" s="87" t="s">
        <v>290</v>
      </c>
      <c r="C53" s="550"/>
      <c r="D53" s="550"/>
      <c r="E53" s="550"/>
    </row>
    <row r="54" spans="1:5" s="82" customFormat="1" ht="12" customHeight="1" thickBot="1">
      <c r="A54" s="90" t="s">
        <v>286</v>
      </c>
      <c r="B54" s="91" t="s">
        <v>291</v>
      </c>
      <c r="C54" s="552"/>
      <c r="D54" s="552"/>
      <c r="E54" s="552"/>
    </row>
    <row r="55" spans="1:5" s="82" customFormat="1" ht="12" customHeight="1" thickBot="1">
      <c r="A55" s="79" t="s">
        <v>171</v>
      </c>
      <c r="B55" s="80" t="s">
        <v>292</v>
      </c>
      <c r="C55" s="546">
        <f>SUM(C56:C58)</f>
        <v>0</v>
      </c>
      <c r="D55" s="546">
        <f>SUM(D56:D58)</f>
        <v>0</v>
      </c>
      <c r="E55" s="546">
        <f>SUM(E56:E58)</f>
        <v>0</v>
      </c>
    </row>
    <row r="56" spans="1:5" s="82" customFormat="1" ht="12" customHeight="1">
      <c r="A56" s="83" t="s">
        <v>93</v>
      </c>
      <c r="B56" s="84" t="s">
        <v>293</v>
      </c>
      <c r="C56" s="548"/>
      <c r="D56" s="548"/>
      <c r="E56" s="548"/>
    </row>
    <row r="57" spans="1:5" s="82" customFormat="1" ht="12" customHeight="1">
      <c r="A57" s="86" t="s">
        <v>94</v>
      </c>
      <c r="B57" s="87" t="s">
        <v>423</v>
      </c>
      <c r="C57" s="550"/>
      <c r="D57" s="550"/>
      <c r="E57" s="550"/>
    </row>
    <row r="58" spans="1:5" s="82" customFormat="1" ht="12" customHeight="1">
      <c r="A58" s="86" t="s">
        <v>296</v>
      </c>
      <c r="B58" s="87" t="s">
        <v>294</v>
      </c>
      <c r="C58" s="550"/>
      <c r="D58" s="550"/>
      <c r="E58" s="550"/>
    </row>
    <row r="59" spans="1:5" s="82" customFormat="1" ht="12" customHeight="1" thickBot="1">
      <c r="A59" s="90" t="s">
        <v>297</v>
      </c>
      <c r="B59" s="91" t="s">
        <v>295</v>
      </c>
      <c r="C59" s="552"/>
      <c r="D59" s="552"/>
      <c r="E59" s="552"/>
    </row>
    <row r="60" spans="1:5" s="82" customFormat="1" ht="12" customHeight="1" thickBot="1">
      <c r="A60" s="79" t="s">
        <v>23</v>
      </c>
      <c r="B60" s="92" t="s">
        <v>298</v>
      </c>
      <c r="C60" s="546">
        <f>SUM(C61:C63)</f>
        <v>120000</v>
      </c>
      <c r="D60" s="546">
        <f>SUM(D61:D63)</f>
        <v>120000</v>
      </c>
      <c r="E60" s="546">
        <f>SUM(E61:E63)</f>
        <v>120000</v>
      </c>
    </row>
    <row r="61" spans="1:5" s="82" customFormat="1" ht="12" customHeight="1">
      <c r="A61" s="83" t="s">
        <v>172</v>
      </c>
      <c r="B61" s="84" t="s">
        <v>300</v>
      </c>
      <c r="C61" s="550"/>
      <c r="D61" s="550"/>
      <c r="E61" s="550"/>
    </row>
    <row r="62" spans="1:5" s="82" customFormat="1" ht="12" customHeight="1">
      <c r="A62" s="86" t="s">
        <v>173</v>
      </c>
      <c r="B62" s="87" t="s">
        <v>424</v>
      </c>
      <c r="C62" s="550">
        <v>120000</v>
      </c>
      <c r="D62" s="550">
        <v>120000</v>
      </c>
      <c r="E62" s="550">
        <v>120000</v>
      </c>
    </row>
    <row r="63" spans="1:5" s="82" customFormat="1" ht="12" customHeight="1">
      <c r="A63" s="86" t="s">
        <v>221</v>
      </c>
      <c r="B63" s="87" t="s">
        <v>301</v>
      </c>
      <c r="C63" s="550"/>
      <c r="D63" s="550"/>
      <c r="E63" s="550"/>
    </row>
    <row r="64" spans="1:5" s="82" customFormat="1" ht="12" customHeight="1" thickBot="1">
      <c r="A64" s="90" t="s">
        <v>299</v>
      </c>
      <c r="B64" s="91" t="s">
        <v>302</v>
      </c>
      <c r="C64" s="550"/>
      <c r="D64" s="550"/>
      <c r="E64" s="550"/>
    </row>
    <row r="65" spans="1:5" s="82" customFormat="1" ht="12" customHeight="1" thickBot="1">
      <c r="A65" s="101" t="s">
        <v>475</v>
      </c>
      <c r="B65" s="80" t="s">
        <v>303</v>
      </c>
      <c r="C65" s="546">
        <f>+C8+C15+C22+C29+C37+C49+C55+C60</f>
        <v>617542615</v>
      </c>
      <c r="D65" s="546">
        <f>+D8+D15+D22+D29+D37+D49+D55+D60</f>
        <v>621003129</v>
      </c>
      <c r="E65" s="546">
        <f>+E8+E15+E22+E29+E37+E49+E55+E60</f>
        <v>628031198</v>
      </c>
    </row>
    <row r="66" spans="1:5" s="82" customFormat="1" ht="12" customHeight="1" thickBot="1">
      <c r="A66" s="102" t="s">
        <v>304</v>
      </c>
      <c r="B66" s="92" t="s">
        <v>305</v>
      </c>
      <c r="C66" s="546">
        <f>SUM(C67:C69)</f>
        <v>0</v>
      </c>
      <c r="D66" s="546">
        <f>SUM(D67:D69)</f>
        <v>0</v>
      </c>
      <c r="E66" s="546">
        <f>SUM(E67:E69)</f>
        <v>0</v>
      </c>
    </row>
    <row r="67" spans="1:5" s="82" customFormat="1" ht="12" customHeight="1">
      <c r="A67" s="83" t="s">
        <v>336</v>
      </c>
      <c r="B67" s="84" t="s">
        <v>306</v>
      </c>
      <c r="C67" s="550"/>
      <c r="D67" s="550"/>
      <c r="E67" s="550"/>
    </row>
    <row r="68" spans="1:5" s="82" customFormat="1" ht="12" customHeight="1">
      <c r="A68" s="86" t="s">
        <v>345</v>
      </c>
      <c r="B68" s="87" t="s">
        <v>307</v>
      </c>
      <c r="C68" s="550"/>
      <c r="D68" s="550"/>
      <c r="E68" s="550"/>
    </row>
    <row r="69" spans="1:5" s="82" customFormat="1" ht="12" customHeight="1" thickBot="1">
      <c r="A69" s="90" t="s">
        <v>346</v>
      </c>
      <c r="B69" s="103" t="s">
        <v>460</v>
      </c>
      <c r="C69" s="550"/>
      <c r="D69" s="550"/>
      <c r="E69" s="550"/>
    </row>
    <row r="70" spans="1:5" s="82" customFormat="1" ht="12" customHeight="1" thickBot="1">
      <c r="A70" s="102" t="s">
        <v>309</v>
      </c>
      <c r="B70" s="92" t="s">
        <v>310</v>
      </c>
      <c r="C70" s="546">
        <f>SUM(C71:C74)</f>
        <v>0</v>
      </c>
      <c r="D70" s="546">
        <f>SUM(D71:D74)</f>
        <v>0</v>
      </c>
      <c r="E70" s="546">
        <f>SUM(E71:E74)</f>
        <v>0</v>
      </c>
    </row>
    <row r="71" spans="1:5" s="82" customFormat="1" ht="12" customHeight="1">
      <c r="A71" s="83" t="s">
        <v>142</v>
      </c>
      <c r="B71" s="84" t="s">
        <v>311</v>
      </c>
      <c r="C71" s="550"/>
      <c r="D71" s="550"/>
      <c r="E71" s="550"/>
    </row>
    <row r="72" spans="1:5" s="82" customFormat="1" ht="12" customHeight="1">
      <c r="A72" s="86" t="s">
        <v>143</v>
      </c>
      <c r="B72" s="87" t="s">
        <v>312</v>
      </c>
      <c r="C72" s="550"/>
      <c r="D72" s="550"/>
      <c r="E72" s="550"/>
    </row>
    <row r="73" spans="1:5" s="82" customFormat="1" ht="12" customHeight="1">
      <c r="A73" s="86" t="s">
        <v>337</v>
      </c>
      <c r="B73" s="87" t="s">
        <v>313</v>
      </c>
      <c r="C73" s="550"/>
      <c r="D73" s="550"/>
      <c r="E73" s="550"/>
    </row>
    <row r="74" spans="1:5" s="82" customFormat="1" ht="12" customHeight="1" thickBot="1">
      <c r="A74" s="90" t="s">
        <v>338</v>
      </c>
      <c r="B74" s="91" t="s">
        <v>314</v>
      </c>
      <c r="C74" s="550"/>
      <c r="D74" s="550"/>
      <c r="E74" s="550"/>
    </row>
    <row r="75" spans="1:5" s="82" customFormat="1" ht="12" customHeight="1" thickBot="1">
      <c r="A75" s="102" t="s">
        <v>315</v>
      </c>
      <c r="B75" s="92" t="s">
        <v>316</v>
      </c>
      <c r="C75" s="546">
        <f>SUM(C76:C77)</f>
        <v>606054429</v>
      </c>
      <c r="D75" s="546">
        <f>SUM(D76:D77)</f>
        <v>606054429</v>
      </c>
      <c r="E75" s="546">
        <f>SUM(E76:E77)</f>
        <v>605704429</v>
      </c>
    </row>
    <row r="76" spans="1:5" s="82" customFormat="1" ht="12" customHeight="1">
      <c r="A76" s="83" t="s">
        <v>339</v>
      </c>
      <c r="B76" s="84" t="s">
        <v>317</v>
      </c>
      <c r="C76" s="550">
        <v>606054429</v>
      </c>
      <c r="D76" s="550">
        <v>606054429</v>
      </c>
      <c r="E76" s="550">
        <f>606054429-350000</f>
        <v>605704429</v>
      </c>
    </row>
    <row r="77" spans="1:5" s="82" customFormat="1" ht="12" customHeight="1" thickBot="1">
      <c r="A77" s="90" t="s">
        <v>340</v>
      </c>
      <c r="B77" s="91" t="s">
        <v>318</v>
      </c>
      <c r="C77" s="550"/>
      <c r="D77" s="550"/>
      <c r="E77" s="550"/>
    </row>
    <row r="78" spans="1:5" s="82" customFormat="1" ht="12" customHeight="1" thickBot="1">
      <c r="A78" s="102" t="s">
        <v>319</v>
      </c>
      <c r="B78" s="92" t="s">
        <v>320</v>
      </c>
      <c r="C78" s="546">
        <f>SUM(C79:C81)</f>
        <v>0</v>
      </c>
      <c r="D78" s="546">
        <f>SUM(D79:D81)</f>
        <v>72564</v>
      </c>
      <c r="E78" s="546">
        <f>SUM(E79:E81)</f>
        <v>72564</v>
      </c>
    </row>
    <row r="79" spans="1:5" s="82" customFormat="1" ht="12" customHeight="1">
      <c r="A79" s="83" t="s">
        <v>341</v>
      </c>
      <c r="B79" s="84" t="s">
        <v>321</v>
      </c>
      <c r="C79" s="550"/>
      <c r="D79" s="550">
        <v>72564</v>
      </c>
      <c r="E79" s="550">
        <v>72564</v>
      </c>
    </row>
    <row r="80" spans="1:5" s="82" customFormat="1" ht="12" customHeight="1">
      <c r="A80" s="86" t="s">
        <v>342</v>
      </c>
      <c r="B80" s="87" t="s">
        <v>322</v>
      </c>
      <c r="C80" s="550"/>
      <c r="D80" s="550"/>
      <c r="E80" s="550"/>
    </row>
    <row r="81" spans="1:5" s="82" customFormat="1" ht="12" customHeight="1" thickBot="1">
      <c r="A81" s="90" t="s">
        <v>343</v>
      </c>
      <c r="B81" s="91" t="s">
        <v>323</v>
      </c>
      <c r="C81" s="550"/>
      <c r="D81" s="550"/>
      <c r="E81" s="550"/>
    </row>
    <row r="82" spans="1:5" s="82" customFormat="1" ht="12" customHeight="1" thickBot="1">
      <c r="A82" s="102" t="s">
        <v>324</v>
      </c>
      <c r="B82" s="92" t="s">
        <v>344</v>
      </c>
      <c r="C82" s="546">
        <f>SUM(C83:C86)</f>
        <v>0</v>
      </c>
      <c r="D82" s="546">
        <f>SUM(D83:D86)</f>
        <v>0</v>
      </c>
      <c r="E82" s="546">
        <f>SUM(E83:E86)</f>
        <v>0</v>
      </c>
    </row>
    <row r="83" spans="1:5" s="82" customFormat="1" ht="12" customHeight="1">
      <c r="A83" s="104" t="s">
        <v>325</v>
      </c>
      <c r="B83" s="84" t="s">
        <v>326</v>
      </c>
      <c r="C83" s="550"/>
      <c r="D83" s="550"/>
      <c r="E83" s="550"/>
    </row>
    <row r="84" spans="1:5" s="82" customFormat="1" ht="12" customHeight="1">
      <c r="A84" s="105" t="s">
        <v>327</v>
      </c>
      <c r="B84" s="87" t="s">
        <v>328</v>
      </c>
      <c r="C84" s="550"/>
      <c r="D84" s="550"/>
      <c r="E84" s="550"/>
    </row>
    <row r="85" spans="1:5" s="82" customFormat="1" ht="12" customHeight="1">
      <c r="A85" s="105" t="s">
        <v>329</v>
      </c>
      <c r="B85" s="87" t="s">
        <v>330</v>
      </c>
      <c r="C85" s="550"/>
      <c r="D85" s="550"/>
      <c r="E85" s="550"/>
    </row>
    <row r="86" spans="1:5" s="82" customFormat="1" ht="12" customHeight="1" thickBot="1">
      <c r="A86" s="106" t="s">
        <v>331</v>
      </c>
      <c r="B86" s="91" t="s">
        <v>332</v>
      </c>
      <c r="C86" s="550"/>
      <c r="D86" s="550"/>
      <c r="E86" s="550"/>
    </row>
    <row r="87" spans="1:5" s="82" customFormat="1" ht="12" customHeight="1" thickBot="1">
      <c r="A87" s="102" t="s">
        <v>333</v>
      </c>
      <c r="B87" s="92" t="s">
        <v>474</v>
      </c>
      <c r="C87" s="556"/>
      <c r="D87" s="556"/>
      <c r="E87" s="556"/>
    </row>
    <row r="88" spans="1:5" s="82" customFormat="1" ht="13.5" customHeight="1" thickBot="1">
      <c r="A88" s="102" t="s">
        <v>335</v>
      </c>
      <c r="B88" s="92" t="s">
        <v>334</v>
      </c>
      <c r="C88" s="556"/>
      <c r="D88" s="556"/>
      <c r="E88" s="556"/>
    </row>
    <row r="89" spans="1:5" s="82" customFormat="1" ht="15.75" customHeight="1" thickBot="1">
      <c r="A89" s="102" t="s">
        <v>347</v>
      </c>
      <c r="B89" s="108" t="s">
        <v>477</v>
      </c>
      <c r="C89" s="546">
        <f>+C66+C70+C75+C78+C82+C88+C87</f>
        <v>606054429</v>
      </c>
      <c r="D89" s="546">
        <f>+D66+D70+D75+D78+D82+D88+D87</f>
        <v>606126993</v>
      </c>
      <c r="E89" s="546">
        <f>+E66+E70+E75+E78+E82+E88+E87</f>
        <v>605776993</v>
      </c>
    </row>
    <row r="90" spans="1:5" s="82" customFormat="1" ht="16.5" customHeight="1" thickBot="1">
      <c r="A90" s="109" t="s">
        <v>476</v>
      </c>
      <c r="B90" s="110" t="s">
        <v>478</v>
      </c>
      <c r="C90" s="546">
        <f>C65+C89</f>
        <v>1223597044</v>
      </c>
      <c r="D90" s="546">
        <f>D65+D89</f>
        <v>1227130122</v>
      </c>
      <c r="E90" s="546">
        <f>E65+E89</f>
        <v>1233808191</v>
      </c>
    </row>
    <row r="91" spans="1:5" s="82" customFormat="1" ht="83.25" customHeight="1">
      <c r="A91" s="111"/>
      <c r="B91" s="112"/>
      <c r="C91" s="642"/>
      <c r="D91" s="642"/>
      <c r="E91" s="642"/>
    </row>
    <row r="92" spans="1:5" s="71" customFormat="1" ht="16.5" customHeight="1">
      <c r="A92" s="692" t="s">
        <v>44</v>
      </c>
      <c r="B92" s="692"/>
      <c r="C92" s="321"/>
      <c r="D92" s="321"/>
      <c r="E92" s="321"/>
    </row>
    <row r="93" spans="1:5" s="115" customFormat="1" ht="16.5" customHeight="1" thickBot="1">
      <c r="A93" s="693" t="s">
        <v>145</v>
      </c>
      <c r="B93" s="693"/>
      <c r="C93" s="72" t="s">
        <v>589</v>
      </c>
      <c r="D93" s="72" t="s">
        <v>589</v>
      </c>
      <c r="E93" s="72" t="s">
        <v>589</v>
      </c>
    </row>
    <row r="94" spans="1:5" s="71" customFormat="1" ht="38.1" customHeight="1" thickBot="1">
      <c r="A94" s="73" t="s">
        <v>66</v>
      </c>
      <c r="B94" s="74" t="s">
        <v>45</v>
      </c>
      <c r="C94" s="544" t="str">
        <f>+C6</f>
        <v>C</v>
      </c>
      <c r="D94" s="544" t="str">
        <f>+D6</f>
        <v>C</v>
      </c>
      <c r="E94" s="544" t="str">
        <f>+E6</f>
        <v>C</v>
      </c>
    </row>
    <row r="95" spans="1:5" s="78" customFormat="1" ht="12" customHeight="1" thickBot="1">
      <c r="A95" s="116" t="s">
        <v>486</v>
      </c>
      <c r="B95" s="117" t="s">
        <v>487</v>
      </c>
      <c r="C95" s="544" t="s">
        <v>489</v>
      </c>
      <c r="D95" s="544" t="s">
        <v>489</v>
      </c>
      <c r="E95" s="544" t="s">
        <v>489</v>
      </c>
    </row>
    <row r="96" spans="1:5" s="71" customFormat="1" ht="12" customHeight="1" thickBot="1">
      <c r="A96" s="119" t="s">
        <v>16</v>
      </c>
      <c r="B96" s="120" t="s">
        <v>654</v>
      </c>
      <c r="C96" s="558">
        <f>C97+C98+C99+C100+C101+C114</f>
        <v>540903557</v>
      </c>
      <c r="D96" s="558">
        <f>D97+D98+D99+D100+D101+D114</f>
        <v>545100671</v>
      </c>
      <c r="E96" s="558">
        <f>E97+E98+E99+E100+E101+E114</f>
        <v>552254128</v>
      </c>
    </row>
    <row r="97" spans="1:5" s="71" customFormat="1" ht="12" customHeight="1">
      <c r="A97" s="122" t="s">
        <v>95</v>
      </c>
      <c r="B97" s="29" t="s">
        <v>46</v>
      </c>
      <c r="C97" s="560">
        <v>76128455</v>
      </c>
      <c r="D97" s="560">
        <f>76128455+652240</f>
        <v>76780695</v>
      </c>
      <c r="E97" s="560">
        <f>76780695+2595000+80625-3120000-136576</f>
        <v>76199744</v>
      </c>
    </row>
    <row r="98" spans="1:5" s="71" customFormat="1" ht="12" customHeight="1">
      <c r="A98" s="86" t="s">
        <v>96</v>
      </c>
      <c r="B98" s="32" t="s">
        <v>174</v>
      </c>
      <c r="C98" s="562">
        <v>16384694</v>
      </c>
      <c r="D98" s="562">
        <f>16384694+63592</f>
        <v>16448286</v>
      </c>
      <c r="E98" s="562">
        <f>16448286+506025+27590-608400-30047</f>
        <v>16343454</v>
      </c>
    </row>
    <row r="99" spans="1:5" s="71" customFormat="1" ht="12" customHeight="1">
      <c r="A99" s="86" t="s">
        <v>97</v>
      </c>
      <c r="B99" s="32" t="s">
        <v>133</v>
      </c>
      <c r="C99" s="564">
        <v>213143994</v>
      </c>
      <c r="D99" s="564">
        <f>213143994+635000+101600</f>
        <v>213880594</v>
      </c>
      <c r="E99" s="564">
        <f>213143994+635000+101600+533400+167910+190500+34360+13694572+9032376+6502400+702474+132358+1911775+1441313</f>
        <v>248224032</v>
      </c>
    </row>
    <row r="100" spans="1:5" s="71" customFormat="1" ht="12" customHeight="1">
      <c r="A100" s="86" t="s">
        <v>98</v>
      </c>
      <c r="B100" s="124" t="s">
        <v>175</v>
      </c>
      <c r="C100" s="564">
        <v>9710000</v>
      </c>
      <c r="D100" s="564">
        <v>9710000</v>
      </c>
      <c r="E100" s="564">
        <v>9710000</v>
      </c>
    </row>
    <row r="101" spans="1:5" s="71" customFormat="1" ht="12" customHeight="1">
      <c r="A101" s="86" t="s">
        <v>109</v>
      </c>
      <c r="B101" s="125" t="s">
        <v>176</v>
      </c>
      <c r="C101" s="564">
        <f>C102+C103+C104+C105+C106+C107+C108+C109+C110+C111+C112+C113</f>
        <v>151918362</v>
      </c>
      <c r="D101" s="564">
        <f>D102+D103+D104+D105+D106+D107+D108+D109+D110+D111+D112+D113</f>
        <v>155906226</v>
      </c>
      <c r="E101" s="564">
        <f>E102+E103+E104+E105+E106+E107+E108+E109+E110+E111+E112+E113</f>
        <v>156786215</v>
      </c>
    </row>
    <row r="102" spans="1:5" s="71" customFormat="1" ht="12" customHeight="1">
      <c r="A102" s="86" t="s">
        <v>99</v>
      </c>
      <c r="B102" s="32" t="s">
        <v>441</v>
      </c>
      <c r="C102" s="564"/>
      <c r="D102" s="564"/>
      <c r="E102" s="564"/>
    </row>
    <row r="103" spans="1:5" s="71" customFormat="1" ht="12" customHeight="1">
      <c r="A103" s="86" t="s">
        <v>100</v>
      </c>
      <c r="B103" s="126" t="s">
        <v>440</v>
      </c>
      <c r="C103" s="564"/>
      <c r="D103" s="564"/>
      <c r="E103" s="564"/>
    </row>
    <row r="104" spans="1:5" s="71" customFormat="1" ht="12" customHeight="1">
      <c r="A104" s="86" t="s">
        <v>110</v>
      </c>
      <c r="B104" s="126" t="s">
        <v>439</v>
      </c>
      <c r="C104" s="564">
        <v>272642</v>
      </c>
      <c r="D104" s="564">
        <v>272642</v>
      </c>
      <c r="E104" s="564">
        <v>272642</v>
      </c>
    </row>
    <row r="105" spans="1:5" s="71" customFormat="1" ht="12" customHeight="1">
      <c r="A105" s="86" t="s">
        <v>111</v>
      </c>
      <c r="B105" s="127" t="s">
        <v>350</v>
      </c>
      <c r="C105" s="564"/>
      <c r="D105" s="564"/>
      <c r="E105" s="564"/>
    </row>
    <row r="106" spans="1:5" s="71" customFormat="1" ht="12" customHeight="1">
      <c r="A106" s="86" t="s">
        <v>112</v>
      </c>
      <c r="B106" s="128" t="s">
        <v>351</v>
      </c>
      <c r="C106" s="564"/>
      <c r="D106" s="564"/>
      <c r="E106" s="564"/>
    </row>
    <row r="107" spans="1:5" s="71" customFormat="1" ht="12" customHeight="1">
      <c r="A107" s="86" t="s">
        <v>113</v>
      </c>
      <c r="B107" s="128" t="s">
        <v>352</v>
      </c>
      <c r="C107" s="564"/>
      <c r="D107" s="564"/>
      <c r="E107" s="564"/>
    </row>
    <row r="108" spans="1:5" s="71" customFormat="1" ht="12" customHeight="1">
      <c r="A108" s="86" t="s">
        <v>115</v>
      </c>
      <c r="B108" s="127" t="s">
        <v>353</v>
      </c>
      <c r="C108" s="564">
        <v>112674020</v>
      </c>
      <c r="D108" s="564">
        <f>112674020+3987864</f>
        <v>116661884</v>
      </c>
      <c r="E108" s="564">
        <f>112674020+3987864+1224473-374484</f>
        <v>117511873</v>
      </c>
    </row>
    <row r="109" spans="1:5" s="71" customFormat="1" ht="12" customHeight="1">
      <c r="A109" s="86" t="s">
        <v>177</v>
      </c>
      <c r="B109" s="127" t="s">
        <v>354</v>
      </c>
      <c r="C109" s="564"/>
      <c r="D109" s="564"/>
      <c r="E109" s="564"/>
    </row>
    <row r="110" spans="1:5" s="71" customFormat="1" ht="12" customHeight="1">
      <c r="A110" s="86" t="s">
        <v>348</v>
      </c>
      <c r="B110" s="128" t="s">
        <v>355</v>
      </c>
      <c r="C110" s="564"/>
      <c r="D110" s="564"/>
      <c r="E110" s="564"/>
    </row>
    <row r="111" spans="1:5" s="71" customFormat="1" ht="12" customHeight="1">
      <c r="A111" s="129" t="s">
        <v>349</v>
      </c>
      <c r="B111" s="126" t="s">
        <v>356</v>
      </c>
      <c r="C111" s="564"/>
      <c r="D111" s="564"/>
      <c r="E111" s="564"/>
    </row>
    <row r="112" spans="1:5" s="71" customFormat="1" ht="12" customHeight="1">
      <c r="A112" s="86" t="s">
        <v>437</v>
      </c>
      <c r="B112" s="126" t="s">
        <v>357</v>
      </c>
      <c r="C112" s="564"/>
      <c r="D112" s="564"/>
      <c r="E112" s="564"/>
    </row>
    <row r="113" spans="1:5" s="71" customFormat="1" ht="12" customHeight="1">
      <c r="A113" s="90" t="s">
        <v>438</v>
      </c>
      <c r="B113" s="126" t="s">
        <v>358</v>
      </c>
      <c r="C113" s="564">
        <v>38971700</v>
      </c>
      <c r="D113" s="564">
        <v>38971700</v>
      </c>
      <c r="E113" s="564">
        <f>38971700+30000</f>
        <v>39001700</v>
      </c>
    </row>
    <row r="114" spans="1:5" s="71" customFormat="1" ht="12" customHeight="1">
      <c r="A114" s="86" t="s">
        <v>442</v>
      </c>
      <c r="B114" s="124" t="s">
        <v>47</v>
      </c>
      <c r="C114" s="562">
        <f>C115+C117</f>
        <v>73618052</v>
      </c>
      <c r="D114" s="562">
        <f>D115+D117</f>
        <v>72374870</v>
      </c>
      <c r="E114" s="562">
        <f>E115+E117</f>
        <v>44990683</v>
      </c>
    </row>
    <row r="115" spans="1:5" s="71" customFormat="1" ht="12" customHeight="1">
      <c r="A115" s="86" t="s">
        <v>443</v>
      </c>
      <c r="B115" s="32" t="s">
        <v>445</v>
      </c>
      <c r="C115" s="562">
        <v>44412474</v>
      </c>
      <c r="D115" s="562">
        <f>44412474+105000+78540+119640+280587+241524+1919391-3987864</f>
        <v>43169292</v>
      </c>
      <c r="E115" s="562">
        <f>43169292-5717922+82824-350000-152000+187376+293730-1919391-1224473-1000000-3101025-2814800+374484-605530+782302-8986168-190500-1600000-142575-249000-150000-2774000-5000000-3086614-597073-30000</f>
        <v>5198937</v>
      </c>
    </row>
    <row r="116" spans="1:5" s="71" customFormat="1" ht="12" customHeight="1">
      <c r="A116" s="86"/>
      <c r="B116" s="32" t="s">
        <v>749</v>
      </c>
      <c r="C116" s="564"/>
      <c r="D116" s="564"/>
      <c r="E116" s="564">
        <v>172212</v>
      </c>
    </row>
    <row r="117" spans="1:5" s="71" customFormat="1" ht="12" customHeight="1" thickBot="1">
      <c r="A117" s="86" t="s">
        <v>444</v>
      </c>
      <c r="B117" s="163" t="s">
        <v>446</v>
      </c>
      <c r="C117" s="566">
        <v>29205578</v>
      </c>
      <c r="D117" s="566">
        <v>29205578</v>
      </c>
      <c r="E117" s="566">
        <f>29205578+8986168+1600000</f>
        <v>39791746</v>
      </c>
    </row>
    <row r="118" spans="1:5" s="71" customFormat="1" ht="12" customHeight="1" thickBot="1">
      <c r="A118" s="79" t="s">
        <v>17</v>
      </c>
      <c r="B118" s="147" t="s">
        <v>655</v>
      </c>
      <c r="C118" s="568">
        <f>+C119+C121+C123</f>
        <v>512825959</v>
      </c>
      <c r="D118" s="568">
        <f>+D119+D121+D123</f>
        <v>512089359</v>
      </c>
      <c r="E118" s="568">
        <f>+E119+E121+E123</f>
        <v>511379474</v>
      </c>
    </row>
    <row r="119" spans="1:5" s="71" customFormat="1" ht="12" customHeight="1">
      <c r="A119" s="83" t="s">
        <v>101</v>
      </c>
      <c r="B119" s="32" t="s">
        <v>219</v>
      </c>
      <c r="C119" s="570">
        <v>369875414</v>
      </c>
      <c r="D119" s="570">
        <f>369875414-635000-101600</f>
        <v>369138814</v>
      </c>
      <c r="E119" s="570">
        <f>369138814+1000000-76200-13694572-6566274+9196991-1399405+6779509-946684-2746211-1911775-1441313</f>
        <v>357332880</v>
      </c>
    </row>
    <row r="120" spans="1:5" s="71" customFormat="1" ht="12" customHeight="1">
      <c r="A120" s="83" t="s">
        <v>102</v>
      </c>
      <c r="B120" s="136" t="s">
        <v>362</v>
      </c>
      <c r="C120" s="570"/>
      <c r="D120" s="570"/>
      <c r="E120" s="570"/>
    </row>
    <row r="121" spans="1:5" s="71" customFormat="1" ht="12" customHeight="1">
      <c r="A121" s="83" t="s">
        <v>103</v>
      </c>
      <c r="B121" s="136" t="s">
        <v>178</v>
      </c>
      <c r="C121" s="562">
        <v>142950545</v>
      </c>
      <c r="D121" s="562">
        <v>142950545</v>
      </c>
      <c r="E121" s="562">
        <f>142950545+5717922+76200-9032376+13737230+597073</f>
        <v>154046594</v>
      </c>
    </row>
    <row r="122" spans="1:5" s="71" customFormat="1" ht="12" customHeight="1">
      <c r="A122" s="83" t="s">
        <v>104</v>
      </c>
      <c r="B122" s="136" t="s">
        <v>363</v>
      </c>
      <c r="C122" s="571"/>
      <c r="D122" s="571"/>
      <c r="E122" s="571"/>
    </row>
    <row r="123" spans="1:5" s="71" customFormat="1" ht="12" customHeight="1">
      <c r="A123" s="83" t="s">
        <v>105</v>
      </c>
      <c r="B123" s="91" t="s">
        <v>222</v>
      </c>
      <c r="C123" s="571">
        <f>C124+C125+C126+C127+C128+C129+C130+C131</f>
        <v>0</v>
      </c>
      <c r="D123" s="571">
        <f>D124+D125+D126+D127+D128+D129+D130+D131</f>
        <v>0</v>
      </c>
      <c r="E123" s="571">
        <f>E124+E125+E126+E127+E128+E129+E130+E131</f>
        <v>0</v>
      </c>
    </row>
    <row r="124" spans="1:5" s="71" customFormat="1" ht="12" customHeight="1">
      <c r="A124" s="83" t="s">
        <v>114</v>
      </c>
      <c r="B124" s="89" t="s">
        <v>425</v>
      </c>
      <c r="C124" s="571"/>
      <c r="D124" s="571"/>
      <c r="E124" s="571"/>
    </row>
    <row r="125" spans="1:5" s="71" customFormat="1" ht="12" customHeight="1">
      <c r="A125" s="83" t="s">
        <v>116</v>
      </c>
      <c r="B125" s="138" t="s">
        <v>368</v>
      </c>
      <c r="C125" s="571"/>
      <c r="D125" s="571"/>
      <c r="E125" s="571"/>
    </row>
    <row r="126" spans="1:5" s="71" customFormat="1" ht="15.75">
      <c r="A126" s="83" t="s">
        <v>179</v>
      </c>
      <c r="B126" s="128" t="s">
        <v>352</v>
      </c>
      <c r="C126" s="571"/>
      <c r="D126" s="571"/>
      <c r="E126" s="571"/>
    </row>
    <row r="127" spans="1:5" s="71" customFormat="1" ht="12" customHeight="1">
      <c r="A127" s="83" t="s">
        <v>180</v>
      </c>
      <c r="B127" s="128" t="s">
        <v>367</v>
      </c>
      <c r="C127" s="571"/>
      <c r="D127" s="571"/>
      <c r="E127" s="571"/>
    </row>
    <row r="128" spans="1:5" s="71" customFormat="1" ht="12" customHeight="1">
      <c r="A128" s="83" t="s">
        <v>181</v>
      </c>
      <c r="B128" s="128" t="s">
        <v>366</v>
      </c>
      <c r="C128" s="571"/>
      <c r="D128" s="571"/>
      <c r="E128" s="571"/>
    </row>
    <row r="129" spans="1:5" s="71" customFormat="1" ht="12" customHeight="1">
      <c r="A129" s="83" t="s">
        <v>359</v>
      </c>
      <c r="B129" s="128" t="s">
        <v>355</v>
      </c>
      <c r="C129" s="571"/>
      <c r="D129" s="571"/>
      <c r="E129" s="571"/>
    </row>
    <row r="130" spans="1:5" s="71" customFormat="1" ht="12" customHeight="1">
      <c r="A130" s="83" t="s">
        <v>360</v>
      </c>
      <c r="B130" s="128" t="s">
        <v>365</v>
      </c>
      <c r="C130" s="571">
        <f>2000000-2000000</f>
        <v>0</v>
      </c>
      <c r="D130" s="571">
        <f>2000000-2000000</f>
        <v>0</v>
      </c>
      <c r="E130" s="571">
        <f>2000000-2000000</f>
        <v>0</v>
      </c>
    </row>
    <row r="131" spans="1:5" s="71" customFormat="1" ht="16.5" thickBot="1">
      <c r="A131" s="129" t="s">
        <v>361</v>
      </c>
      <c r="B131" s="128" t="s">
        <v>364</v>
      </c>
      <c r="C131" s="572"/>
      <c r="D131" s="572"/>
      <c r="E131" s="572"/>
    </row>
    <row r="132" spans="1:5" s="71" customFormat="1" ht="12" customHeight="1" thickBot="1">
      <c r="A132" s="79" t="s">
        <v>18</v>
      </c>
      <c r="B132" s="40" t="s">
        <v>447</v>
      </c>
      <c r="C132" s="574">
        <f>+C96+C118</f>
        <v>1053729516</v>
      </c>
      <c r="D132" s="574">
        <f>+D96+D118</f>
        <v>1057190030</v>
      </c>
      <c r="E132" s="574">
        <f>+E96+E118</f>
        <v>1063633602</v>
      </c>
    </row>
    <row r="133" spans="1:5" s="71" customFormat="1" ht="12" customHeight="1" thickBot="1">
      <c r="A133" s="79" t="s">
        <v>19</v>
      </c>
      <c r="B133" s="40" t="s">
        <v>448</v>
      </c>
      <c r="C133" s="574">
        <f>+C134+C135+C136</f>
        <v>0</v>
      </c>
      <c r="D133" s="574">
        <f>+D134+D135+D136</f>
        <v>0</v>
      </c>
      <c r="E133" s="574">
        <f>+E134+E135+E136</f>
        <v>0</v>
      </c>
    </row>
    <row r="134" spans="1:5" s="71" customFormat="1" ht="12" customHeight="1">
      <c r="A134" s="83" t="s">
        <v>260</v>
      </c>
      <c r="B134" s="136" t="s">
        <v>455</v>
      </c>
      <c r="C134" s="571"/>
      <c r="D134" s="571"/>
      <c r="E134" s="571"/>
    </row>
    <row r="135" spans="1:5" s="71" customFormat="1" ht="12" customHeight="1">
      <c r="A135" s="83" t="s">
        <v>263</v>
      </c>
      <c r="B135" s="136" t="s">
        <v>456</v>
      </c>
      <c r="C135" s="571"/>
      <c r="D135" s="571"/>
      <c r="E135" s="571"/>
    </row>
    <row r="136" spans="1:5" s="71" customFormat="1" ht="12" customHeight="1" thickBot="1">
      <c r="A136" s="129" t="s">
        <v>264</v>
      </c>
      <c r="B136" s="136" t="s">
        <v>457</v>
      </c>
      <c r="C136" s="571"/>
      <c r="D136" s="571"/>
      <c r="E136" s="571"/>
    </row>
    <row r="137" spans="1:5" s="71" customFormat="1" ht="12" customHeight="1" thickBot="1">
      <c r="A137" s="79" t="s">
        <v>20</v>
      </c>
      <c r="B137" s="40" t="s">
        <v>449</v>
      </c>
      <c r="C137" s="574">
        <f>SUM(C138:C143)</f>
        <v>0</v>
      </c>
      <c r="D137" s="574">
        <f>SUM(D138:D143)</f>
        <v>0</v>
      </c>
      <c r="E137" s="574">
        <f>SUM(E138:E143)</f>
        <v>0</v>
      </c>
    </row>
    <row r="138" spans="1:5" s="71" customFormat="1" ht="12" customHeight="1">
      <c r="A138" s="83" t="s">
        <v>88</v>
      </c>
      <c r="B138" s="38" t="s">
        <v>458</v>
      </c>
      <c r="C138" s="571"/>
      <c r="D138" s="571"/>
      <c r="E138" s="571"/>
    </row>
    <row r="139" spans="1:5" s="71" customFormat="1" ht="12" customHeight="1">
      <c r="A139" s="83" t="s">
        <v>89</v>
      </c>
      <c r="B139" s="38" t="s">
        <v>450</v>
      </c>
      <c r="C139" s="571"/>
      <c r="D139" s="571"/>
      <c r="E139" s="571"/>
    </row>
    <row r="140" spans="1:5" s="71" customFormat="1" ht="12" customHeight="1">
      <c r="A140" s="83" t="s">
        <v>90</v>
      </c>
      <c r="B140" s="38" t="s">
        <v>451</v>
      </c>
      <c r="C140" s="571"/>
      <c r="D140" s="571"/>
      <c r="E140" s="571"/>
    </row>
    <row r="141" spans="1:5" s="71" customFormat="1" ht="12" customHeight="1">
      <c r="A141" s="83" t="s">
        <v>166</v>
      </c>
      <c r="B141" s="38" t="s">
        <v>452</v>
      </c>
      <c r="C141" s="571"/>
      <c r="D141" s="571"/>
      <c r="E141" s="571"/>
    </row>
    <row r="142" spans="1:5" s="71" customFormat="1" ht="12" customHeight="1">
      <c r="A142" s="83" t="s">
        <v>167</v>
      </c>
      <c r="B142" s="38" t="s">
        <v>453</v>
      </c>
      <c r="C142" s="571"/>
      <c r="D142" s="571"/>
      <c r="E142" s="571"/>
    </row>
    <row r="143" spans="1:5" s="71" customFormat="1" ht="12" customHeight="1" thickBot="1">
      <c r="A143" s="129" t="s">
        <v>168</v>
      </c>
      <c r="B143" s="38" t="s">
        <v>454</v>
      </c>
      <c r="C143" s="571"/>
      <c r="D143" s="571"/>
      <c r="E143" s="571"/>
    </row>
    <row r="144" spans="1:5" s="71" customFormat="1" ht="12" customHeight="1" thickBot="1">
      <c r="A144" s="79" t="s">
        <v>21</v>
      </c>
      <c r="B144" s="40" t="s">
        <v>462</v>
      </c>
      <c r="C144" s="576">
        <f>+C145+C146+C147+C148</f>
        <v>7960578</v>
      </c>
      <c r="D144" s="576">
        <f>+D145+D146+D147+D148</f>
        <v>8033142</v>
      </c>
      <c r="E144" s="576">
        <f>+E145+E146+E147+E148</f>
        <v>8033142</v>
      </c>
    </row>
    <row r="145" spans="1:5" s="71" customFormat="1" ht="12" customHeight="1">
      <c r="A145" s="83" t="s">
        <v>91</v>
      </c>
      <c r="B145" s="38" t="s">
        <v>369</v>
      </c>
      <c r="C145" s="571"/>
      <c r="D145" s="571"/>
      <c r="E145" s="571"/>
    </row>
    <row r="146" spans="1:5" s="71" customFormat="1" ht="12" customHeight="1">
      <c r="A146" s="83" t="s">
        <v>92</v>
      </c>
      <c r="B146" s="38" t="s">
        <v>370</v>
      </c>
      <c r="C146" s="571">
        <v>7960578</v>
      </c>
      <c r="D146" s="571">
        <f>7960578+72564</f>
        <v>8033142</v>
      </c>
      <c r="E146" s="571">
        <f>7960578+72564</f>
        <v>8033142</v>
      </c>
    </row>
    <row r="147" spans="1:5" s="71" customFormat="1" ht="12" customHeight="1">
      <c r="A147" s="83" t="s">
        <v>284</v>
      </c>
      <c r="B147" s="38" t="s">
        <v>463</v>
      </c>
      <c r="C147" s="571"/>
      <c r="D147" s="571"/>
      <c r="E147" s="571"/>
    </row>
    <row r="148" spans="1:5" s="71" customFormat="1" ht="12" customHeight="1" thickBot="1">
      <c r="A148" s="129" t="s">
        <v>285</v>
      </c>
      <c r="B148" s="34" t="s">
        <v>389</v>
      </c>
      <c r="C148" s="571"/>
      <c r="D148" s="571"/>
      <c r="E148" s="571"/>
    </row>
    <row r="149" spans="1:5" s="71" customFormat="1" ht="12" customHeight="1" thickBot="1">
      <c r="A149" s="79" t="s">
        <v>22</v>
      </c>
      <c r="B149" s="40" t="s">
        <v>464</v>
      </c>
      <c r="C149" s="578">
        <f>SUM(C150:C154)</f>
        <v>0</v>
      </c>
      <c r="D149" s="578">
        <f>SUM(D150:D154)</f>
        <v>0</v>
      </c>
      <c r="E149" s="578">
        <f>SUM(E150:E154)</f>
        <v>0</v>
      </c>
    </row>
    <row r="150" spans="1:5" s="71" customFormat="1" ht="12" customHeight="1">
      <c r="A150" s="83" t="s">
        <v>93</v>
      </c>
      <c r="B150" s="38" t="s">
        <v>459</v>
      </c>
      <c r="C150" s="571"/>
      <c r="D150" s="571"/>
      <c r="E150" s="571"/>
    </row>
    <row r="151" spans="1:5" s="71" customFormat="1" ht="12" customHeight="1">
      <c r="A151" s="83" t="s">
        <v>94</v>
      </c>
      <c r="B151" s="38" t="s">
        <v>466</v>
      </c>
      <c r="C151" s="571"/>
      <c r="D151" s="571"/>
      <c r="E151" s="571"/>
    </row>
    <row r="152" spans="1:5" s="71" customFormat="1" ht="12" customHeight="1">
      <c r="A152" s="83" t="s">
        <v>296</v>
      </c>
      <c r="B152" s="38" t="s">
        <v>461</v>
      </c>
      <c r="C152" s="571"/>
      <c r="D152" s="571"/>
      <c r="E152" s="571"/>
    </row>
    <row r="153" spans="1:5" s="71" customFormat="1" ht="12" customHeight="1">
      <c r="A153" s="83" t="s">
        <v>297</v>
      </c>
      <c r="B153" s="38" t="s">
        <v>467</v>
      </c>
      <c r="C153" s="571"/>
      <c r="D153" s="571"/>
      <c r="E153" s="571"/>
    </row>
    <row r="154" spans="1:5" s="71" customFormat="1" ht="12" customHeight="1" thickBot="1">
      <c r="A154" s="83" t="s">
        <v>465</v>
      </c>
      <c r="B154" s="38" t="s">
        <v>468</v>
      </c>
      <c r="C154" s="571"/>
      <c r="D154" s="571"/>
      <c r="E154" s="571"/>
    </row>
    <row r="155" spans="1:5" s="71" customFormat="1" ht="12" customHeight="1" thickBot="1">
      <c r="A155" s="79" t="s">
        <v>23</v>
      </c>
      <c r="B155" s="40" t="s">
        <v>469</v>
      </c>
      <c r="C155" s="580"/>
      <c r="D155" s="580"/>
      <c r="E155" s="580"/>
    </row>
    <row r="156" spans="1:5" s="71" customFormat="1" ht="12" customHeight="1" thickBot="1">
      <c r="A156" s="79" t="s">
        <v>24</v>
      </c>
      <c r="B156" s="40" t="s">
        <v>544</v>
      </c>
      <c r="C156" s="580">
        <v>161906950</v>
      </c>
      <c r="D156" s="580">
        <v>161906950</v>
      </c>
      <c r="E156" s="580">
        <f>161906950+411269+605530-782302</f>
        <v>162141447</v>
      </c>
    </row>
    <row r="157" spans="1:5" s="71" customFormat="1" ht="15" customHeight="1" thickBot="1">
      <c r="A157" s="79" t="s">
        <v>25</v>
      </c>
      <c r="B157" s="40" t="s">
        <v>472</v>
      </c>
      <c r="C157" s="582">
        <f>+C133+C137+C144+C149+C155+C156</f>
        <v>169867528</v>
      </c>
      <c r="D157" s="582">
        <f>+D133+D137+D144+D149+D155+D156</f>
        <v>169940092</v>
      </c>
      <c r="E157" s="582">
        <f>+E133+E137+E144+E149+E155+E156</f>
        <v>170174589</v>
      </c>
    </row>
    <row r="158" spans="1:5" s="82" customFormat="1" ht="12.95" customHeight="1" thickBot="1">
      <c r="A158" s="144" t="s">
        <v>26</v>
      </c>
      <c r="B158" s="145" t="s">
        <v>471</v>
      </c>
      <c r="C158" s="582">
        <f>C132+C157</f>
        <v>1223597044</v>
      </c>
      <c r="D158" s="582">
        <f>D132+D157</f>
        <v>1227130122</v>
      </c>
      <c r="E158" s="582">
        <f>E132+E157</f>
        <v>1233808191</v>
      </c>
    </row>
    <row r="159" spans="1:5" ht="13.5" thickBot="1">
      <c r="C159" s="581"/>
      <c r="D159" s="581"/>
      <c r="E159" s="581"/>
    </row>
    <row r="160" spans="1:5" s="17" customFormat="1" ht="14.25" customHeight="1" thickBot="1">
      <c r="A160" s="68" t="s">
        <v>513</v>
      </c>
      <c r="B160" s="69"/>
      <c r="C160" s="70">
        <v>16</v>
      </c>
      <c r="D160" s="70">
        <v>16</v>
      </c>
      <c r="E160" s="70">
        <f>16+4</f>
        <v>20</v>
      </c>
    </row>
    <row r="161" spans="1:5" s="17" customFormat="1" ht="13.5" thickBot="1">
      <c r="A161" s="68" t="s">
        <v>196</v>
      </c>
      <c r="B161" s="69"/>
      <c r="C161" s="70">
        <v>6</v>
      </c>
      <c r="D161" s="70">
        <v>6</v>
      </c>
      <c r="E161" s="70">
        <v>6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7" orientation="portrait" verticalDpi="300" r:id="rId1"/>
  <headerFooter alignWithMargins="0">
    <oddFooter>&amp;P. oldal, összesen: &amp;N</oddFooter>
  </headerFooter>
  <rowBreaks count="2" manualBreakCount="2">
    <brk id="65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7030A0"/>
  </sheetPr>
  <dimension ref="A1:E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66" customWidth="1"/>
    <col min="2" max="2" width="72" style="17" customWidth="1"/>
    <col min="3" max="5" width="25" style="67" customWidth="1"/>
    <col min="6" max="16384" width="9.33203125" style="156"/>
  </cols>
  <sheetData>
    <row r="1" spans="1:5" s="148" customFormat="1" ht="16.5" customHeight="1" thickBot="1">
      <c r="A1" s="1"/>
      <c r="B1" s="149" t="s">
        <v>762</v>
      </c>
      <c r="C1" s="149"/>
      <c r="D1" s="149"/>
      <c r="E1" s="149"/>
    </row>
    <row r="2" spans="1:5" s="151" customFormat="1" ht="21" customHeight="1">
      <c r="A2" s="4" t="s">
        <v>58</v>
      </c>
      <c r="B2" s="5" t="s">
        <v>539</v>
      </c>
      <c r="C2" s="150" t="s">
        <v>51</v>
      </c>
      <c r="D2" s="150" t="s">
        <v>51</v>
      </c>
      <c r="E2" s="150" t="s">
        <v>51</v>
      </c>
    </row>
    <row r="3" spans="1:5" s="151" customFormat="1" ht="16.5" thickBot="1">
      <c r="A3" s="152" t="s">
        <v>193</v>
      </c>
      <c r="B3" s="9" t="s">
        <v>426</v>
      </c>
      <c r="C3" s="153" t="s">
        <v>56</v>
      </c>
      <c r="D3" s="153" t="s">
        <v>56</v>
      </c>
      <c r="E3" s="153" t="s">
        <v>56</v>
      </c>
    </row>
    <row r="4" spans="1:5" s="154" customFormat="1" ht="15.95" customHeight="1" thickBot="1">
      <c r="A4" s="11"/>
      <c r="B4" s="11"/>
      <c r="C4" s="12" t="s">
        <v>589</v>
      </c>
      <c r="D4" s="12" t="s">
        <v>589</v>
      </c>
      <c r="E4" s="12" t="s">
        <v>589</v>
      </c>
    </row>
    <row r="5" spans="1:5" ht="13.5" thickBot="1">
      <c r="A5" s="14" t="s">
        <v>195</v>
      </c>
      <c r="B5" s="15" t="s">
        <v>52</v>
      </c>
      <c r="C5" s="583"/>
      <c r="D5" s="583"/>
      <c r="E5" s="583"/>
    </row>
    <row r="6" spans="1:5" s="71" customFormat="1" ht="38.1" customHeight="1" thickBot="1">
      <c r="A6" s="73" t="s">
        <v>66</v>
      </c>
      <c r="B6" s="74" t="s">
        <v>15</v>
      </c>
      <c r="C6" s="155" t="s">
        <v>688</v>
      </c>
      <c r="D6" s="305" t="s">
        <v>739</v>
      </c>
      <c r="E6" s="305" t="s">
        <v>744</v>
      </c>
    </row>
    <row r="7" spans="1:5" s="78" customFormat="1" ht="12" customHeight="1" thickBot="1">
      <c r="A7" s="75" t="s">
        <v>486</v>
      </c>
      <c r="B7" s="76" t="s">
        <v>487</v>
      </c>
      <c r="C7" s="77" t="s">
        <v>488</v>
      </c>
      <c r="D7" s="77" t="s">
        <v>488</v>
      </c>
      <c r="E7" s="77" t="s">
        <v>488</v>
      </c>
    </row>
    <row r="8" spans="1:5" s="82" customFormat="1" ht="12" customHeight="1" thickBot="1">
      <c r="A8" s="79" t="s">
        <v>16</v>
      </c>
      <c r="B8" s="80" t="s">
        <v>244</v>
      </c>
      <c r="C8" s="81">
        <f>+C9+C10+C11+C12+C13+C14</f>
        <v>218395679</v>
      </c>
      <c r="D8" s="81">
        <f>+D9+D10+D11+D12+D13+D14</f>
        <v>218917790</v>
      </c>
      <c r="E8" s="81">
        <f>+E9+E10+E11+E12+E13+E14</f>
        <v>217376765</v>
      </c>
    </row>
    <row r="9" spans="1:5" s="82" customFormat="1" ht="12" customHeight="1">
      <c r="A9" s="83" t="s">
        <v>95</v>
      </c>
      <c r="B9" s="84" t="s">
        <v>245</v>
      </c>
      <c r="C9" s="85">
        <v>117822978</v>
      </c>
      <c r="D9" s="85">
        <v>117822978</v>
      </c>
      <c r="E9" s="85">
        <v>117822978</v>
      </c>
    </row>
    <row r="10" spans="1:5" s="82" customFormat="1" ht="12" customHeight="1">
      <c r="A10" s="86" t="s">
        <v>96</v>
      </c>
      <c r="B10" s="87" t="s">
        <v>246</v>
      </c>
      <c r="C10" s="88">
        <v>56900500</v>
      </c>
      <c r="D10" s="88">
        <v>56900500</v>
      </c>
      <c r="E10" s="88">
        <f>56900500-2814800</f>
        <v>54085700</v>
      </c>
    </row>
    <row r="11" spans="1:5" s="82" customFormat="1" ht="12" customHeight="1">
      <c r="A11" s="86" t="s">
        <v>97</v>
      </c>
      <c r="B11" s="87" t="s">
        <v>247</v>
      </c>
      <c r="C11" s="88">
        <v>40194081</v>
      </c>
      <c r="D11" s="88">
        <v>40194081</v>
      </c>
      <c r="E11" s="88">
        <f>40194081-152000</f>
        <v>40042081</v>
      </c>
    </row>
    <row r="12" spans="1:5" s="82" customFormat="1" ht="12" customHeight="1">
      <c r="A12" s="86" t="s">
        <v>98</v>
      </c>
      <c r="B12" s="87" t="s">
        <v>248</v>
      </c>
      <c r="C12" s="88">
        <v>3063720</v>
      </c>
      <c r="D12" s="88">
        <f>3063720+280587</f>
        <v>3344307</v>
      </c>
      <c r="E12" s="88">
        <f>3063720+280587+411269+187376</f>
        <v>3942952</v>
      </c>
    </row>
    <row r="13" spans="1:5" s="82" customFormat="1" ht="12" customHeight="1">
      <c r="A13" s="86" t="s">
        <v>141</v>
      </c>
      <c r="B13" s="89" t="s">
        <v>429</v>
      </c>
      <c r="C13" s="88">
        <v>414400</v>
      </c>
      <c r="D13" s="88">
        <f>414400+241524</f>
        <v>655924</v>
      </c>
      <c r="E13" s="88">
        <f>414400+241524+533400+293730</f>
        <v>1483054</v>
      </c>
    </row>
    <row r="14" spans="1:5" s="82" customFormat="1" ht="12" customHeight="1" thickBot="1">
      <c r="A14" s="90" t="s">
        <v>99</v>
      </c>
      <c r="B14" s="91" t="s">
        <v>430</v>
      </c>
      <c r="C14" s="88"/>
      <c r="D14" s="88"/>
      <c r="E14" s="88"/>
    </row>
    <row r="15" spans="1:5" s="82" customFormat="1" ht="12" customHeight="1" thickBot="1">
      <c r="A15" s="79" t="s">
        <v>17</v>
      </c>
      <c r="B15" s="92" t="s">
        <v>249</v>
      </c>
      <c r="C15" s="81">
        <f>+C16+C17+C18+C19+C20</f>
        <v>73241871</v>
      </c>
      <c r="D15" s="81">
        <f>+D16+D17+D18+D19+D20</f>
        <v>76180274</v>
      </c>
      <c r="E15" s="81">
        <f>+E16+E17+E18+E19+E20</f>
        <v>77080192</v>
      </c>
    </row>
    <row r="16" spans="1:5" s="82" customFormat="1" ht="12" customHeight="1">
      <c r="A16" s="83" t="s">
        <v>101</v>
      </c>
      <c r="B16" s="84" t="s">
        <v>250</v>
      </c>
      <c r="C16" s="85"/>
      <c r="D16" s="85"/>
      <c r="E16" s="85"/>
    </row>
    <row r="17" spans="1:5" s="82" customFormat="1" ht="12" customHeight="1">
      <c r="A17" s="86" t="s">
        <v>102</v>
      </c>
      <c r="B17" s="87" t="s">
        <v>251</v>
      </c>
      <c r="C17" s="88"/>
      <c r="D17" s="88"/>
      <c r="E17" s="88"/>
    </row>
    <row r="18" spans="1:5" s="82" customFormat="1" ht="12" customHeight="1">
      <c r="A18" s="86" t="s">
        <v>103</v>
      </c>
      <c r="B18" s="87" t="s">
        <v>419</v>
      </c>
      <c r="C18" s="88"/>
      <c r="D18" s="88"/>
      <c r="E18" s="88"/>
    </row>
    <row r="19" spans="1:5" s="82" customFormat="1" ht="12" customHeight="1">
      <c r="A19" s="86" t="s">
        <v>104</v>
      </c>
      <c r="B19" s="87" t="s">
        <v>420</v>
      </c>
      <c r="C19" s="88"/>
      <c r="D19" s="88"/>
      <c r="E19" s="88"/>
    </row>
    <row r="20" spans="1:5" s="82" customFormat="1" ht="12" customHeight="1">
      <c r="A20" s="86" t="s">
        <v>105</v>
      </c>
      <c r="B20" s="87" t="s">
        <v>252</v>
      </c>
      <c r="C20" s="88">
        <v>73241871</v>
      </c>
      <c r="D20" s="88">
        <f>73241871+105000+715832+78540+119640+1919391</f>
        <v>76180274</v>
      </c>
      <c r="E20" s="88">
        <f>73241871+105000+715832+78540+119640+1919391-1919391+2706807+112502</f>
        <v>77080192</v>
      </c>
    </row>
    <row r="21" spans="1:5" s="82" customFormat="1" ht="12" customHeight="1" thickBot="1">
      <c r="A21" s="90" t="s">
        <v>114</v>
      </c>
      <c r="B21" s="91" t="s">
        <v>253</v>
      </c>
      <c r="C21" s="93"/>
      <c r="D21" s="93"/>
      <c r="E21" s="93"/>
    </row>
    <row r="22" spans="1:5" s="82" customFormat="1" ht="12" customHeight="1" thickBot="1">
      <c r="A22" s="79" t="s">
        <v>18</v>
      </c>
      <c r="B22" s="80" t="s">
        <v>254</v>
      </c>
      <c r="C22" s="81">
        <f>+C23+C24+C25+C26+C27</f>
        <v>55972518</v>
      </c>
      <c r="D22" s="81">
        <f>+D23+D24+D25+D26+D27</f>
        <v>55972518</v>
      </c>
      <c r="E22" s="81">
        <f>+E23+E24+E25+E26+E27</f>
        <v>63789960</v>
      </c>
    </row>
    <row r="23" spans="1:5" s="82" customFormat="1" ht="12" customHeight="1">
      <c r="A23" s="83" t="s">
        <v>84</v>
      </c>
      <c r="B23" s="84" t="s">
        <v>255</v>
      </c>
      <c r="C23" s="85"/>
      <c r="D23" s="85"/>
      <c r="E23" s="85"/>
    </row>
    <row r="24" spans="1:5" s="82" customFormat="1" ht="12" customHeight="1">
      <c r="A24" s="86" t="s">
        <v>85</v>
      </c>
      <c r="B24" s="87" t="s">
        <v>256</v>
      </c>
      <c r="C24" s="88"/>
      <c r="D24" s="88"/>
      <c r="E24" s="88"/>
    </row>
    <row r="25" spans="1:5" s="82" customFormat="1" ht="12" customHeight="1">
      <c r="A25" s="86" t="s">
        <v>86</v>
      </c>
      <c r="B25" s="87" t="s">
        <v>421</v>
      </c>
      <c r="C25" s="88"/>
      <c r="D25" s="88"/>
      <c r="E25" s="88"/>
    </row>
    <row r="26" spans="1:5" s="82" customFormat="1" ht="12" customHeight="1">
      <c r="A26" s="86" t="s">
        <v>87</v>
      </c>
      <c r="B26" s="87" t="s">
        <v>422</v>
      </c>
      <c r="C26" s="88"/>
      <c r="D26" s="88"/>
      <c r="E26" s="88"/>
    </row>
    <row r="27" spans="1:5" s="82" customFormat="1" ht="12" customHeight="1">
      <c r="A27" s="86" t="s">
        <v>162</v>
      </c>
      <c r="B27" s="87" t="s">
        <v>257</v>
      </c>
      <c r="C27" s="88">
        <v>55972518</v>
      </c>
      <c r="D27" s="88">
        <v>55972518</v>
      </c>
      <c r="E27" s="88">
        <f>55972518+7817442</f>
        <v>63789960</v>
      </c>
    </row>
    <row r="28" spans="1:5" s="82" customFormat="1" ht="12" customHeight="1" thickBot="1">
      <c r="A28" s="90" t="s">
        <v>163</v>
      </c>
      <c r="B28" s="94" t="s">
        <v>258</v>
      </c>
      <c r="C28" s="93"/>
      <c r="D28" s="93"/>
      <c r="E28" s="93"/>
    </row>
    <row r="29" spans="1:5" s="82" customFormat="1" ht="12" customHeight="1" thickBot="1">
      <c r="A29" s="79" t="s">
        <v>164</v>
      </c>
      <c r="B29" s="80" t="s">
        <v>259</v>
      </c>
      <c r="C29" s="95">
        <f>+C30+C34+C35+C36</f>
        <v>129930000</v>
      </c>
      <c r="D29" s="95">
        <f>+D30+D34+D35+D36</f>
        <v>129930000</v>
      </c>
      <c r="E29" s="95">
        <f>+E30+E34+E35+E36</f>
        <v>129930000</v>
      </c>
    </row>
    <row r="30" spans="1:5" s="82" customFormat="1" ht="12" customHeight="1">
      <c r="A30" s="83" t="s">
        <v>260</v>
      </c>
      <c r="B30" s="159" t="s">
        <v>436</v>
      </c>
      <c r="C30" s="96">
        <f>+C31+C32+C33</f>
        <v>94400000</v>
      </c>
      <c r="D30" s="96">
        <f>+D31+D32+D33</f>
        <v>94400000</v>
      </c>
      <c r="E30" s="96">
        <f>+E31+E32+E33</f>
        <v>94400000</v>
      </c>
    </row>
    <row r="31" spans="1:5" s="82" customFormat="1" ht="12" customHeight="1">
      <c r="A31" s="86" t="s">
        <v>261</v>
      </c>
      <c r="B31" s="160" t="s">
        <v>604</v>
      </c>
      <c r="C31" s="88">
        <v>56400000</v>
      </c>
      <c r="D31" s="88">
        <v>56400000</v>
      </c>
      <c r="E31" s="88">
        <v>56400000</v>
      </c>
    </row>
    <row r="32" spans="1:5" s="82" customFormat="1" ht="12" customHeight="1">
      <c r="A32" s="86" t="s">
        <v>262</v>
      </c>
      <c r="B32" s="160" t="s">
        <v>605</v>
      </c>
      <c r="C32" s="88"/>
      <c r="D32" s="88"/>
      <c r="E32" s="88"/>
    </row>
    <row r="33" spans="1:5" s="82" customFormat="1" ht="12" customHeight="1">
      <c r="A33" s="86" t="s">
        <v>434</v>
      </c>
      <c r="B33" s="161" t="s">
        <v>435</v>
      </c>
      <c r="C33" s="88">
        <v>38000000</v>
      </c>
      <c r="D33" s="88">
        <v>38000000</v>
      </c>
      <c r="E33" s="88">
        <v>38000000</v>
      </c>
    </row>
    <row r="34" spans="1:5" s="82" customFormat="1" ht="12" customHeight="1">
      <c r="A34" s="86" t="s">
        <v>263</v>
      </c>
      <c r="B34" s="160" t="s">
        <v>268</v>
      </c>
      <c r="C34" s="88">
        <v>7400000</v>
      </c>
      <c r="D34" s="88">
        <v>7400000</v>
      </c>
      <c r="E34" s="88">
        <v>7400000</v>
      </c>
    </row>
    <row r="35" spans="1:5" s="82" customFormat="1" ht="12" customHeight="1">
      <c r="A35" s="86" t="s">
        <v>264</v>
      </c>
      <c r="B35" s="160" t="s">
        <v>582</v>
      </c>
      <c r="C35" s="88">
        <v>27500000</v>
      </c>
      <c r="D35" s="88">
        <v>27500000</v>
      </c>
      <c r="E35" s="88">
        <v>27500000</v>
      </c>
    </row>
    <row r="36" spans="1:5" s="82" customFormat="1" ht="12" customHeight="1" thickBot="1">
      <c r="A36" s="90" t="s">
        <v>265</v>
      </c>
      <c r="B36" s="162" t="s">
        <v>270</v>
      </c>
      <c r="C36" s="93">
        <v>630000</v>
      </c>
      <c r="D36" s="93">
        <v>630000</v>
      </c>
      <c r="E36" s="93">
        <v>630000</v>
      </c>
    </row>
    <row r="37" spans="1:5" s="82" customFormat="1" ht="12" customHeight="1" thickBot="1">
      <c r="A37" s="79" t="s">
        <v>20</v>
      </c>
      <c r="B37" s="80" t="s">
        <v>431</v>
      </c>
      <c r="C37" s="81">
        <f>SUM(C38:C48)</f>
        <v>41106365</v>
      </c>
      <c r="D37" s="81">
        <f>SUM(D38:D48)</f>
        <v>41106365</v>
      </c>
      <c r="E37" s="81">
        <f>SUM(E38:E48)</f>
        <v>32386354</v>
      </c>
    </row>
    <row r="38" spans="1:5" s="82" customFormat="1" ht="12" customHeight="1">
      <c r="A38" s="83" t="s">
        <v>88</v>
      </c>
      <c r="B38" s="84" t="s">
        <v>273</v>
      </c>
      <c r="C38" s="85"/>
      <c r="D38" s="85"/>
      <c r="E38" s="85"/>
    </row>
    <row r="39" spans="1:5" s="82" customFormat="1" ht="12" customHeight="1">
      <c r="A39" s="86" t="s">
        <v>89</v>
      </c>
      <c r="B39" s="87" t="s">
        <v>274</v>
      </c>
      <c r="C39" s="88">
        <f>94800709-79573589</f>
        <v>15227120</v>
      </c>
      <c r="D39" s="88">
        <f>94800709-79573589</f>
        <v>15227120</v>
      </c>
      <c r="E39" s="88">
        <f>94800709-79573589+132213-2441752-787402-150000-196063-118110-2184252-1186000</f>
        <v>8295754</v>
      </c>
    </row>
    <row r="40" spans="1:5" s="82" customFormat="1" ht="12" customHeight="1">
      <c r="A40" s="86" t="s">
        <v>90</v>
      </c>
      <c r="B40" s="87" t="s">
        <v>275</v>
      </c>
      <c r="C40" s="88">
        <v>2400000</v>
      </c>
      <c r="D40" s="88">
        <v>2400000</v>
      </c>
      <c r="E40" s="88">
        <v>2400000</v>
      </c>
    </row>
    <row r="41" spans="1:5" s="82" customFormat="1" ht="12" customHeight="1">
      <c r="A41" s="86" t="s">
        <v>166</v>
      </c>
      <c r="B41" s="87" t="s">
        <v>276</v>
      </c>
      <c r="C41" s="88"/>
      <c r="D41" s="88"/>
      <c r="E41" s="88"/>
    </row>
    <row r="42" spans="1:5" s="82" customFormat="1" ht="12" customHeight="1">
      <c r="A42" s="86" t="s">
        <v>167</v>
      </c>
      <c r="B42" s="87" t="s">
        <v>277</v>
      </c>
      <c r="C42" s="88">
        <v>1500000</v>
      </c>
      <c r="D42" s="88">
        <v>1500000</v>
      </c>
      <c r="E42" s="88">
        <v>1500000</v>
      </c>
    </row>
    <row r="43" spans="1:5" s="82" customFormat="1" ht="12" customHeight="1">
      <c r="A43" s="86" t="s">
        <v>168</v>
      </c>
      <c r="B43" s="87" t="s">
        <v>278</v>
      </c>
      <c r="C43" s="88">
        <f>26748983-21484869+2282276</f>
        <v>7546390</v>
      </c>
      <c r="D43" s="88">
        <f>26748983-21484869+2282276</f>
        <v>7546390</v>
      </c>
      <c r="E43" s="88">
        <f>26748983-21484869+2282276+35697-659273-212598-40500-52937-31890-589748-320220</f>
        <v>5674921</v>
      </c>
    </row>
    <row r="44" spans="1:5" s="82" customFormat="1" ht="12" customHeight="1">
      <c r="A44" s="86" t="s">
        <v>169</v>
      </c>
      <c r="B44" s="87" t="s">
        <v>279</v>
      </c>
      <c r="C44" s="88">
        <v>14000000</v>
      </c>
      <c r="D44" s="88">
        <v>14000000</v>
      </c>
      <c r="E44" s="88">
        <v>14000000</v>
      </c>
    </row>
    <row r="45" spans="1:5" s="82" customFormat="1" ht="12" customHeight="1">
      <c r="A45" s="86" t="s">
        <v>170</v>
      </c>
      <c r="B45" s="87" t="s">
        <v>280</v>
      </c>
      <c r="C45" s="88">
        <v>20000</v>
      </c>
      <c r="D45" s="88">
        <v>20000</v>
      </c>
      <c r="E45" s="88">
        <v>20000</v>
      </c>
    </row>
    <row r="46" spans="1:5" s="82" customFormat="1" ht="12" customHeight="1">
      <c r="A46" s="86" t="s">
        <v>271</v>
      </c>
      <c r="B46" s="87" t="s">
        <v>281</v>
      </c>
      <c r="C46" s="98"/>
      <c r="D46" s="98"/>
      <c r="E46" s="98"/>
    </row>
    <row r="47" spans="1:5" s="82" customFormat="1" ht="12" customHeight="1">
      <c r="A47" s="90" t="s">
        <v>272</v>
      </c>
      <c r="B47" s="94" t="s">
        <v>433</v>
      </c>
      <c r="C47" s="99"/>
      <c r="D47" s="99"/>
      <c r="E47" s="99"/>
    </row>
    <row r="48" spans="1:5" s="82" customFormat="1" ht="12" customHeight="1" thickBot="1">
      <c r="A48" s="90" t="s">
        <v>432</v>
      </c>
      <c r="B48" s="91" t="s">
        <v>282</v>
      </c>
      <c r="C48" s="99">
        <v>412855</v>
      </c>
      <c r="D48" s="99">
        <v>412855</v>
      </c>
      <c r="E48" s="99">
        <f>412855+82824</f>
        <v>495679</v>
      </c>
    </row>
    <row r="49" spans="1:5" s="82" customFormat="1" ht="12" customHeight="1" thickBot="1">
      <c r="A49" s="79" t="s">
        <v>21</v>
      </c>
      <c r="B49" s="80" t="s">
        <v>283</v>
      </c>
      <c r="C49" s="81">
        <f>SUM(C50:C54)</f>
        <v>0</v>
      </c>
      <c r="D49" s="81">
        <f>SUM(D50:D54)</f>
        <v>0</v>
      </c>
      <c r="E49" s="81">
        <f>SUM(E50:E54)</f>
        <v>0</v>
      </c>
    </row>
    <row r="50" spans="1:5" s="82" customFormat="1" ht="12" customHeight="1">
      <c r="A50" s="83" t="s">
        <v>91</v>
      </c>
      <c r="B50" s="84" t="s">
        <v>287</v>
      </c>
      <c r="C50" s="100"/>
      <c r="D50" s="100"/>
      <c r="E50" s="100"/>
    </row>
    <row r="51" spans="1:5" s="82" customFormat="1" ht="12" customHeight="1">
      <c r="A51" s="86" t="s">
        <v>92</v>
      </c>
      <c r="B51" s="87" t="s">
        <v>288</v>
      </c>
      <c r="C51" s="98"/>
      <c r="D51" s="98"/>
      <c r="E51" s="98"/>
    </row>
    <row r="52" spans="1:5" s="82" customFormat="1" ht="12" customHeight="1">
      <c r="A52" s="86" t="s">
        <v>284</v>
      </c>
      <c r="B52" s="87" t="s">
        <v>289</v>
      </c>
      <c r="C52" s="98"/>
      <c r="D52" s="98"/>
      <c r="E52" s="98"/>
    </row>
    <row r="53" spans="1:5" s="82" customFormat="1" ht="12" customHeight="1">
      <c r="A53" s="86" t="s">
        <v>285</v>
      </c>
      <c r="B53" s="87" t="s">
        <v>290</v>
      </c>
      <c r="C53" s="98"/>
      <c r="D53" s="98"/>
      <c r="E53" s="98"/>
    </row>
    <row r="54" spans="1:5" s="82" customFormat="1" ht="12" customHeight="1" thickBot="1">
      <c r="A54" s="90" t="s">
        <v>286</v>
      </c>
      <c r="B54" s="91" t="s">
        <v>291</v>
      </c>
      <c r="C54" s="99"/>
      <c r="D54" s="99"/>
      <c r="E54" s="99"/>
    </row>
    <row r="55" spans="1:5" s="82" customFormat="1" ht="12" customHeight="1" thickBot="1">
      <c r="A55" s="79" t="s">
        <v>171</v>
      </c>
      <c r="B55" s="80" t="s">
        <v>292</v>
      </c>
      <c r="C55" s="81">
        <f>SUM(C56:C58)</f>
        <v>0</v>
      </c>
      <c r="D55" s="81">
        <f>SUM(D56:D58)</f>
        <v>0</v>
      </c>
      <c r="E55" s="81">
        <f>SUM(E56:E58)</f>
        <v>0</v>
      </c>
    </row>
    <row r="56" spans="1:5" s="82" customFormat="1" ht="12" customHeight="1">
      <c r="A56" s="83" t="s">
        <v>93</v>
      </c>
      <c r="B56" s="84" t="s">
        <v>293</v>
      </c>
      <c r="C56" s="85"/>
      <c r="D56" s="85"/>
      <c r="E56" s="85"/>
    </row>
    <row r="57" spans="1:5" s="82" customFormat="1" ht="12" customHeight="1">
      <c r="A57" s="86" t="s">
        <v>94</v>
      </c>
      <c r="B57" s="87" t="s">
        <v>423</v>
      </c>
      <c r="C57" s="88"/>
      <c r="D57" s="88"/>
      <c r="E57" s="88"/>
    </row>
    <row r="58" spans="1:5" s="82" customFormat="1" ht="12" customHeight="1">
      <c r="A58" s="86" t="s">
        <v>296</v>
      </c>
      <c r="B58" s="87" t="s">
        <v>294</v>
      </c>
      <c r="C58" s="88"/>
      <c r="D58" s="88"/>
      <c r="E58" s="88"/>
    </row>
    <row r="59" spans="1:5" s="82" customFormat="1" ht="12" customHeight="1" thickBot="1">
      <c r="A59" s="90" t="s">
        <v>297</v>
      </c>
      <c r="B59" s="91" t="s">
        <v>295</v>
      </c>
      <c r="C59" s="93"/>
      <c r="D59" s="93"/>
      <c r="E59" s="93"/>
    </row>
    <row r="60" spans="1:5" s="82" customFormat="1" ht="12" customHeight="1" thickBot="1">
      <c r="A60" s="79" t="s">
        <v>23</v>
      </c>
      <c r="B60" s="92" t="s">
        <v>298</v>
      </c>
      <c r="C60" s="81">
        <f>SUM(C61:C63)</f>
        <v>120000</v>
      </c>
      <c r="D60" s="81">
        <f>SUM(D61:D63)</f>
        <v>120000</v>
      </c>
      <c r="E60" s="81">
        <f>SUM(E61:E63)</f>
        <v>120000</v>
      </c>
    </row>
    <row r="61" spans="1:5" s="82" customFormat="1" ht="12" customHeight="1">
      <c r="A61" s="83" t="s">
        <v>172</v>
      </c>
      <c r="B61" s="84" t="s">
        <v>300</v>
      </c>
      <c r="C61" s="98"/>
      <c r="D61" s="98"/>
      <c r="E61" s="98"/>
    </row>
    <row r="62" spans="1:5" s="82" customFormat="1" ht="12" customHeight="1">
      <c r="A62" s="86" t="s">
        <v>173</v>
      </c>
      <c r="B62" s="87" t="s">
        <v>424</v>
      </c>
      <c r="C62" s="98">
        <v>120000</v>
      </c>
      <c r="D62" s="98">
        <v>120000</v>
      </c>
      <c r="E62" s="98">
        <v>120000</v>
      </c>
    </row>
    <row r="63" spans="1:5" s="82" customFormat="1" ht="12" customHeight="1">
      <c r="A63" s="86" t="s">
        <v>221</v>
      </c>
      <c r="B63" s="87" t="s">
        <v>301</v>
      </c>
      <c r="C63" s="98"/>
      <c r="D63" s="98"/>
      <c r="E63" s="98"/>
    </row>
    <row r="64" spans="1:5" s="82" customFormat="1" ht="12" customHeight="1" thickBot="1">
      <c r="A64" s="90" t="s">
        <v>299</v>
      </c>
      <c r="B64" s="91" t="s">
        <v>302</v>
      </c>
      <c r="C64" s="98"/>
      <c r="D64" s="98"/>
      <c r="E64" s="98"/>
    </row>
    <row r="65" spans="1:5" s="82" customFormat="1" ht="12" customHeight="1" thickBot="1">
      <c r="A65" s="101" t="s">
        <v>475</v>
      </c>
      <c r="B65" s="80" t="s">
        <v>303</v>
      </c>
      <c r="C65" s="95">
        <f>+C8+C15+C22+C29+C37+C49+C55+C60</f>
        <v>518766433</v>
      </c>
      <c r="D65" s="95">
        <f>+D8+D15+D22+D29+D37+D49+D55+D60</f>
        <v>522226947</v>
      </c>
      <c r="E65" s="95">
        <f>+E8+E15+E22+E29+E37+E49+E55+E60</f>
        <v>520683271</v>
      </c>
    </row>
    <row r="66" spans="1:5" s="82" customFormat="1" ht="12" customHeight="1" thickBot="1">
      <c r="A66" s="102" t="s">
        <v>304</v>
      </c>
      <c r="B66" s="92" t="s">
        <v>305</v>
      </c>
      <c r="C66" s="81">
        <f>SUM(C67:C69)</f>
        <v>0</v>
      </c>
      <c r="D66" s="81">
        <f>SUM(D67:D69)</f>
        <v>0</v>
      </c>
      <c r="E66" s="81">
        <f>SUM(E67:E69)</f>
        <v>0</v>
      </c>
    </row>
    <row r="67" spans="1:5" s="82" customFormat="1" ht="12" customHeight="1">
      <c r="A67" s="83" t="s">
        <v>336</v>
      </c>
      <c r="B67" s="84" t="s">
        <v>306</v>
      </c>
      <c r="C67" s="98"/>
      <c r="D67" s="98"/>
      <c r="E67" s="98"/>
    </row>
    <row r="68" spans="1:5" s="82" customFormat="1" ht="12" customHeight="1">
      <c r="A68" s="86" t="s">
        <v>345</v>
      </c>
      <c r="B68" s="87" t="s">
        <v>307</v>
      </c>
      <c r="C68" s="98"/>
      <c r="D68" s="98"/>
      <c r="E68" s="98"/>
    </row>
    <row r="69" spans="1:5" s="82" customFormat="1" ht="12" customHeight="1" thickBot="1">
      <c r="A69" s="90" t="s">
        <v>346</v>
      </c>
      <c r="B69" s="103" t="s">
        <v>460</v>
      </c>
      <c r="C69" s="98"/>
      <c r="D69" s="98"/>
      <c r="E69" s="98"/>
    </row>
    <row r="70" spans="1:5" s="82" customFormat="1" ht="12" customHeight="1" thickBot="1">
      <c r="A70" s="102" t="s">
        <v>309</v>
      </c>
      <c r="B70" s="92" t="s">
        <v>310</v>
      </c>
      <c r="C70" s="81">
        <f>SUM(C71:C74)</f>
        <v>0</v>
      </c>
      <c r="D70" s="81">
        <f>SUM(D71:D74)</f>
        <v>0</v>
      </c>
      <c r="E70" s="81">
        <f>SUM(E71:E74)</f>
        <v>0</v>
      </c>
    </row>
    <row r="71" spans="1:5" s="82" customFormat="1" ht="12" customHeight="1">
      <c r="A71" s="83" t="s">
        <v>142</v>
      </c>
      <c r="B71" s="84" t="s">
        <v>311</v>
      </c>
      <c r="C71" s="98"/>
      <c r="D71" s="98"/>
      <c r="E71" s="98"/>
    </row>
    <row r="72" spans="1:5" s="82" customFormat="1" ht="12" customHeight="1">
      <c r="A72" s="86" t="s">
        <v>143</v>
      </c>
      <c r="B72" s="87" t="s">
        <v>312</v>
      </c>
      <c r="C72" s="98"/>
      <c r="D72" s="98"/>
      <c r="E72" s="98"/>
    </row>
    <row r="73" spans="1:5" s="82" customFormat="1" ht="12" customHeight="1">
      <c r="A73" s="86" t="s">
        <v>337</v>
      </c>
      <c r="B73" s="87" t="s">
        <v>313</v>
      </c>
      <c r="C73" s="98"/>
      <c r="D73" s="98"/>
      <c r="E73" s="98"/>
    </row>
    <row r="74" spans="1:5" s="82" customFormat="1" ht="12" customHeight="1" thickBot="1">
      <c r="A74" s="90" t="s">
        <v>338</v>
      </c>
      <c r="B74" s="91" t="s">
        <v>314</v>
      </c>
      <c r="C74" s="98"/>
      <c r="D74" s="98"/>
      <c r="E74" s="98"/>
    </row>
    <row r="75" spans="1:5" s="82" customFormat="1" ht="12" customHeight="1" thickBot="1">
      <c r="A75" s="102" t="s">
        <v>315</v>
      </c>
      <c r="B75" s="92" t="s">
        <v>316</v>
      </c>
      <c r="C75" s="81">
        <f>SUM(C76:C77)</f>
        <v>606054429</v>
      </c>
      <c r="D75" s="81">
        <f>SUM(D76:D77)</f>
        <v>606054429</v>
      </c>
      <c r="E75" s="81">
        <f>SUM(E76:E77)</f>
        <v>605704429</v>
      </c>
    </row>
    <row r="76" spans="1:5" s="82" customFormat="1" ht="12" customHeight="1">
      <c r="A76" s="83" t="s">
        <v>339</v>
      </c>
      <c r="B76" s="84" t="s">
        <v>317</v>
      </c>
      <c r="C76" s="98">
        <v>606054429</v>
      </c>
      <c r="D76" s="98">
        <v>606054429</v>
      </c>
      <c r="E76" s="98">
        <f>606054429-350000</f>
        <v>605704429</v>
      </c>
    </row>
    <row r="77" spans="1:5" s="82" customFormat="1" ht="12" customHeight="1" thickBot="1">
      <c r="A77" s="90" t="s">
        <v>340</v>
      </c>
      <c r="B77" s="91" t="s">
        <v>318</v>
      </c>
      <c r="C77" s="98"/>
      <c r="D77" s="98"/>
      <c r="E77" s="98"/>
    </row>
    <row r="78" spans="1:5" s="82" customFormat="1" ht="12" customHeight="1" thickBot="1">
      <c r="A78" s="102" t="s">
        <v>319</v>
      </c>
      <c r="B78" s="92" t="s">
        <v>320</v>
      </c>
      <c r="C78" s="81">
        <f>SUM(C79:C81)</f>
        <v>0</v>
      </c>
      <c r="D78" s="81">
        <f>SUM(D79:D81)</f>
        <v>72564</v>
      </c>
      <c r="E78" s="81">
        <f>SUM(E79:E81)</f>
        <v>72564</v>
      </c>
    </row>
    <row r="79" spans="1:5" s="82" customFormat="1" ht="12" customHeight="1">
      <c r="A79" s="83" t="s">
        <v>341</v>
      </c>
      <c r="B79" s="84" t="s">
        <v>321</v>
      </c>
      <c r="C79" s="98"/>
      <c r="D79" s="98">
        <v>72564</v>
      </c>
      <c r="E79" s="98">
        <v>72564</v>
      </c>
    </row>
    <row r="80" spans="1:5" s="82" customFormat="1" ht="12" customHeight="1">
      <c r="A80" s="86" t="s">
        <v>342</v>
      </c>
      <c r="B80" s="87" t="s">
        <v>322</v>
      </c>
      <c r="C80" s="98"/>
      <c r="D80" s="98"/>
      <c r="E80" s="98"/>
    </row>
    <row r="81" spans="1:5" s="82" customFormat="1" ht="12" customHeight="1" thickBot="1">
      <c r="A81" s="90" t="s">
        <v>343</v>
      </c>
      <c r="B81" s="91" t="s">
        <v>323</v>
      </c>
      <c r="C81" s="98"/>
      <c r="D81" s="98"/>
      <c r="E81" s="98"/>
    </row>
    <row r="82" spans="1:5" s="82" customFormat="1" ht="12" customHeight="1" thickBot="1">
      <c r="A82" s="102" t="s">
        <v>324</v>
      </c>
      <c r="B82" s="92" t="s">
        <v>344</v>
      </c>
      <c r="C82" s="81">
        <f>SUM(C83:C86)</f>
        <v>0</v>
      </c>
      <c r="D82" s="81">
        <f>SUM(D83:D86)</f>
        <v>0</v>
      </c>
      <c r="E82" s="81">
        <f>SUM(E83:E86)</f>
        <v>0</v>
      </c>
    </row>
    <row r="83" spans="1:5" s="82" customFormat="1" ht="12" customHeight="1">
      <c r="A83" s="104" t="s">
        <v>325</v>
      </c>
      <c r="B83" s="84" t="s">
        <v>326</v>
      </c>
      <c r="C83" s="98"/>
      <c r="D83" s="98"/>
      <c r="E83" s="98"/>
    </row>
    <row r="84" spans="1:5" s="82" customFormat="1" ht="12" customHeight="1">
      <c r="A84" s="105" t="s">
        <v>327</v>
      </c>
      <c r="B84" s="87" t="s">
        <v>328</v>
      </c>
      <c r="C84" s="98"/>
      <c r="D84" s="98"/>
      <c r="E84" s="98"/>
    </row>
    <row r="85" spans="1:5" s="82" customFormat="1" ht="12" customHeight="1">
      <c r="A85" s="105" t="s">
        <v>329</v>
      </c>
      <c r="B85" s="87" t="s">
        <v>330</v>
      </c>
      <c r="C85" s="98"/>
      <c r="D85" s="98"/>
      <c r="E85" s="98"/>
    </row>
    <row r="86" spans="1:5" s="82" customFormat="1" ht="12" customHeight="1" thickBot="1">
      <c r="A86" s="106" t="s">
        <v>331</v>
      </c>
      <c r="B86" s="91" t="s">
        <v>332</v>
      </c>
      <c r="C86" s="98"/>
      <c r="D86" s="98"/>
      <c r="E86" s="98"/>
    </row>
    <row r="87" spans="1:5" s="82" customFormat="1" ht="12" customHeight="1" thickBot="1">
      <c r="A87" s="102" t="s">
        <v>333</v>
      </c>
      <c r="B87" s="92" t="s">
        <v>474</v>
      </c>
      <c r="C87" s="107"/>
      <c r="D87" s="107"/>
      <c r="E87" s="107"/>
    </row>
    <row r="88" spans="1:5" s="82" customFormat="1" ht="13.5" customHeight="1" thickBot="1">
      <c r="A88" s="102" t="s">
        <v>335</v>
      </c>
      <c r="B88" s="92" t="s">
        <v>334</v>
      </c>
      <c r="C88" s="107"/>
      <c r="D88" s="107"/>
      <c r="E88" s="107"/>
    </row>
    <row r="89" spans="1:5" s="82" customFormat="1" ht="15.75" customHeight="1" thickBot="1">
      <c r="A89" s="102" t="s">
        <v>347</v>
      </c>
      <c r="B89" s="108" t="s">
        <v>477</v>
      </c>
      <c r="C89" s="95">
        <f>+C66+C70+C75+C78+C82+C88+C87</f>
        <v>606054429</v>
      </c>
      <c r="D89" s="95">
        <f>+D66+D70+D75+D78+D82+D88+D87</f>
        <v>606126993</v>
      </c>
      <c r="E89" s="95">
        <f>+E66+E70+E75+E78+E82+E88+E87</f>
        <v>605776993</v>
      </c>
    </row>
    <row r="90" spans="1:5" s="82" customFormat="1" ht="16.5" customHeight="1" thickBot="1">
      <c r="A90" s="109" t="s">
        <v>476</v>
      </c>
      <c r="B90" s="110" t="s">
        <v>478</v>
      </c>
      <c r="C90" s="95">
        <f>+C65+C89</f>
        <v>1124820862</v>
      </c>
      <c r="D90" s="95">
        <f>+D65+D89</f>
        <v>1128353940</v>
      </c>
      <c r="E90" s="95">
        <f>+E65+E89</f>
        <v>1126460264</v>
      </c>
    </row>
    <row r="91" spans="1:5" s="82" customFormat="1" ht="83.25" customHeight="1">
      <c r="A91" s="111"/>
      <c r="B91" s="112"/>
      <c r="C91" s="113"/>
      <c r="D91" s="113"/>
      <c r="E91" s="113"/>
    </row>
    <row r="92" spans="1:5" s="71" customFormat="1" ht="16.5" customHeight="1">
      <c r="A92" s="692" t="s">
        <v>44</v>
      </c>
      <c r="B92" s="692"/>
    </row>
    <row r="93" spans="1:5" s="115" customFormat="1" ht="16.5" customHeight="1" thickBot="1">
      <c r="A93" s="693" t="s">
        <v>145</v>
      </c>
      <c r="B93" s="693"/>
      <c r="C93" s="114"/>
      <c r="D93" s="114"/>
      <c r="E93" s="114"/>
    </row>
    <row r="94" spans="1:5" s="71" customFormat="1" ht="38.1" customHeight="1" thickBot="1">
      <c r="A94" s="73" t="s">
        <v>66</v>
      </c>
      <c r="B94" s="74" t="s">
        <v>45</v>
      </c>
      <c r="C94" s="155" t="s">
        <v>688</v>
      </c>
      <c r="D94" s="305" t="s">
        <v>739</v>
      </c>
      <c r="E94" s="305" t="s">
        <v>744</v>
      </c>
    </row>
    <row r="95" spans="1:5" s="78" customFormat="1" ht="12" customHeight="1" thickBot="1">
      <c r="A95" s="116" t="s">
        <v>486</v>
      </c>
      <c r="B95" s="117" t="s">
        <v>487</v>
      </c>
      <c r="C95" s="118" t="s">
        <v>488</v>
      </c>
      <c r="D95" s="118" t="s">
        <v>488</v>
      </c>
      <c r="E95" s="118" t="s">
        <v>488</v>
      </c>
    </row>
    <row r="96" spans="1:5" s="71" customFormat="1" ht="12" customHeight="1" thickBot="1">
      <c r="A96" s="119" t="s">
        <v>16</v>
      </c>
      <c r="B96" s="120" t="s">
        <v>654</v>
      </c>
      <c r="C96" s="121">
        <f>C97+C98+C99+C100+C101+C114</f>
        <v>463971375</v>
      </c>
      <c r="D96" s="121">
        <f>D97+D98+D99+D100+D101+D114</f>
        <v>468168489</v>
      </c>
      <c r="E96" s="121">
        <f>E97+E98+E99+E100+E101+E114</f>
        <v>467750201</v>
      </c>
    </row>
    <row r="97" spans="1:5" s="71" customFormat="1" ht="12" customHeight="1">
      <c r="A97" s="122" t="s">
        <v>95</v>
      </c>
      <c r="B97" s="29" t="s">
        <v>46</v>
      </c>
      <c r="C97" s="123">
        <f>76128455-13518800</f>
        <v>62609655</v>
      </c>
      <c r="D97" s="123">
        <f>76128455-13518800+652240</f>
        <v>63261895</v>
      </c>
      <c r="E97" s="123">
        <f>63261895+80625-136576</f>
        <v>63205944</v>
      </c>
    </row>
    <row r="98" spans="1:5" s="71" customFormat="1" ht="12" customHeight="1">
      <c r="A98" s="86" t="s">
        <v>96</v>
      </c>
      <c r="B98" s="32" t="s">
        <v>174</v>
      </c>
      <c r="C98" s="88">
        <f>16384694-2792432</f>
        <v>13592262</v>
      </c>
      <c r="D98" s="88">
        <f>16384694-2792432+63592</f>
        <v>13655854</v>
      </c>
      <c r="E98" s="88">
        <f>13655854+27590-30047</f>
        <v>13653397</v>
      </c>
    </row>
    <row r="99" spans="1:5" s="71" customFormat="1" ht="12" customHeight="1">
      <c r="A99" s="86" t="s">
        <v>97</v>
      </c>
      <c r="B99" s="32" t="s">
        <v>133</v>
      </c>
      <c r="C99" s="93">
        <f>213143994-60620950</f>
        <v>152523044</v>
      </c>
      <c r="D99" s="93">
        <f>213143994-60620950+635000+101600</f>
        <v>153259644</v>
      </c>
      <c r="E99" s="93">
        <f>213143994-60620950+635000+101600+533400+167910+34360+13694572+9032376+702474-1506220+132358+1911775+1441313</f>
        <v>179403962</v>
      </c>
    </row>
    <row r="100" spans="1:5" s="71" customFormat="1" ht="12" customHeight="1">
      <c r="A100" s="86" t="s">
        <v>98</v>
      </c>
      <c r="B100" s="124" t="s">
        <v>175</v>
      </c>
      <c r="C100" s="93">
        <f>9710000</f>
        <v>9710000</v>
      </c>
      <c r="D100" s="93">
        <f>9710000</f>
        <v>9710000</v>
      </c>
      <c r="E100" s="93">
        <f>9710000</f>
        <v>9710000</v>
      </c>
    </row>
    <row r="101" spans="1:5" s="71" customFormat="1" ht="12" customHeight="1">
      <c r="A101" s="86" t="s">
        <v>109</v>
      </c>
      <c r="B101" s="125" t="s">
        <v>176</v>
      </c>
      <c r="C101" s="93">
        <f>C102+C103+C104+C105+C106+C107+C108+C109+C110+C111+C112+C113</f>
        <v>151918362</v>
      </c>
      <c r="D101" s="93">
        <f>D102+D103+D104+D105+D106+D107+D108+D109+D110+D111+D112+D113</f>
        <v>155906226</v>
      </c>
      <c r="E101" s="93">
        <f>E102+E103+E104+E105+E106+E107+E108+E109+E110+E111+E112+E113</f>
        <v>156786215</v>
      </c>
    </row>
    <row r="102" spans="1:5" s="71" customFormat="1" ht="12" customHeight="1">
      <c r="A102" s="86" t="s">
        <v>99</v>
      </c>
      <c r="B102" s="32" t="s">
        <v>441</v>
      </c>
      <c r="C102" s="93"/>
      <c r="D102" s="93"/>
      <c r="E102" s="93"/>
    </row>
    <row r="103" spans="1:5" s="71" customFormat="1" ht="12" customHeight="1">
      <c r="A103" s="86" t="s">
        <v>100</v>
      </c>
      <c r="B103" s="126" t="s">
        <v>440</v>
      </c>
      <c r="C103" s="93"/>
      <c r="D103" s="93"/>
      <c r="E103" s="93"/>
    </row>
    <row r="104" spans="1:5" s="71" customFormat="1" ht="12" customHeight="1">
      <c r="A104" s="86" t="s">
        <v>110</v>
      </c>
      <c r="B104" s="126" t="s">
        <v>439</v>
      </c>
      <c r="C104" s="93">
        <f>272642</f>
        <v>272642</v>
      </c>
      <c r="D104" s="93">
        <f>272642</f>
        <v>272642</v>
      </c>
      <c r="E104" s="93">
        <f>272642</f>
        <v>272642</v>
      </c>
    </row>
    <row r="105" spans="1:5" s="71" customFormat="1" ht="12" customHeight="1">
      <c r="A105" s="86" t="s">
        <v>111</v>
      </c>
      <c r="B105" s="127" t="s">
        <v>350</v>
      </c>
      <c r="C105" s="93"/>
      <c r="D105" s="93"/>
      <c r="E105" s="93"/>
    </row>
    <row r="106" spans="1:5" s="71" customFormat="1" ht="12" customHeight="1">
      <c r="A106" s="86" t="s">
        <v>112</v>
      </c>
      <c r="B106" s="128" t="s">
        <v>351</v>
      </c>
      <c r="C106" s="93"/>
      <c r="D106" s="93"/>
      <c r="E106" s="93"/>
    </row>
    <row r="107" spans="1:5" s="71" customFormat="1" ht="12" customHeight="1">
      <c r="A107" s="86" t="s">
        <v>113</v>
      </c>
      <c r="B107" s="128" t="s">
        <v>352</v>
      </c>
      <c r="C107" s="93"/>
      <c r="D107" s="93"/>
      <c r="E107" s="93"/>
    </row>
    <row r="108" spans="1:5" s="71" customFormat="1" ht="12" customHeight="1">
      <c r="A108" s="86" t="s">
        <v>115</v>
      </c>
      <c r="B108" s="127" t="s">
        <v>353</v>
      </c>
      <c r="C108" s="93">
        <f>112674020</f>
        <v>112674020</v>
      </c>
      <c r="D108" s="93">
        <f>112674020+3987864</f>
        <v>116661884</v>
      </c>
      <c r="E108" s="93">
        <f>112674020+3987864+1224473-374484</f>
        <v>117511873</v>
      </c>
    </row>
    <row r="109" spans="1:5" s="71" customFormat="1" ht="12" customHeight="1">
      <c r="A109" s="86" t="s">
        <v>177</v>
      </c>
      <c r="B109" s="127" t="s">
        <v>354</v>
      </c>
      <c r="C109" s="93"/>
      <c r="D109" s="93"/>
      <c r="E109" s="93"/>
    </row>
    <row r="110" spans="1:5" s="71" customFormat="1" ht="12" customHeight="1">
      <c r="A110" s="86" t="s">
        <v>348</v>
      </c>
      <c r="B110" s="128" t="s">
        <v>355</v>
      </c>
      <c r="C110" s="93"/>
      <c r="D110" s="93"/>
      <c r="E110" s="93"/>
    </row>
    <row r="111" spans="1:5" s="71" customFormat="1" ht="12" customHeight="1">
      <c r="A111" s="129" t="s">
        <v>349</v>
      </c>
      <c r="B111" s="126" t="s">
        <v>356</v>
      </c>
      <c r="C111" s="93"/>
      <c r="D111" s="93"/>
      <c r="E111" s="93"/>
    </row>
    <row r="112" spans="1:5" s="71" customFormat="1" ht="12" customHeight="1">
      <c r="A112" s="86" t="s">
        <v>437</v>
      </c>
      <c r="B112" s="126" t="s">
        <v>357</v>
      </c>
      <c r="C112" s="93"/>
      <c r="D112" s="93"/>
      <c r="E112" s="93"/>
    </row>
    <row r="113" spans="1:5" s="71" customFormat="1" ht="12" customHeight="1">
      <c r="A113" s="90" t="s">
        <v>438</v>
      </c>
      <c r="B113" s="126" t="s">
        <v>358</v>
      </c>
      <c r="C113" s="93">
        <f>38971700</f>
        <v>38971700</v>
      </c>
      <c r="D113" s="93">
        <f>38971700</f>
        <v>38971700</v>
      </c>
      <c r="E113" s="93">
        <f>38971700+30000</f>
        <v>39001700</v>
      </c>
    </row>
    <row r="114" spans="1:5" s="71" customFormat="1" ht="12" customHeight="1">
      <c r="A114" s="86" t="s">
        <v>442</v>
      </c>
      <c r="B114" s="124" t="s">
        <v>47</v>
      </c>
      <c r="C114" s="88">
        <f>C115+C117</f>
        <v>73618052</v>
      </c>
      <c r="D114" s="88">
        <f>D115+D117</f>
        <v>72374870</v>
      </c>
      <c r="E114" s="88">
        <f>E115+E117</f>
        <v>44990683</v>
      </c>
    </row>
    <row r="115" spans="1:5" s="71" customFormat="1" ht="12" customHeight="1">
      <c r="A115" s="86" t="s">
        <v>443</v>
      </c>
      <c r="B115" s="32" t="s">
        <v>445</v>
      </c>
      <c r="C115" s="88">
        <v>44412474</v>
      </c>
      <c r="D115" s="88">
        <f>44412474+105000+78540+119640+280587+241524+1919391-3987864</f>
        <v>43169292</v>
      </c>
      <c r="E115" s="88">
        <f>43169292-5717922+82824-350000-152000+187376+293730-1919391-1224473-1000000-3101025-2814800+374484-605530+782302-8986168-190500-1600000-142575-249000-150000-2774000-5000000-3086614-597073-30000</f>
        <v>5198937</v>
      </c>
    </row>
    <row r="116" spans="1:5" s="71" customFormat="1" ht="12" customHeight="1">
      <c r="A116" s="90"/>
      <c r="B116" s="32" t="s">
        <v>749</v>
      </c>
      <c r="C116" s="93"/>
      <c r="D116" s="93"/>
      <c r="E116" s="93">
        <v>172212</v>
      </c>
    </row>
    <row r="117" spans="1:5" s="71" customFormat="1" ht="12" customHeight="1" thickBot="1">
      <c r="A117" s="130" t="s">
        <v>444</v>
      </c>
      <c r="B117" s="131" t="s">
        <v>446</v>
      </c>
      <c r="C117" s="132">
        <v>29205578</v>
      </c>
      <c r="D117" s="132">
        <v>29205578</v>
      </c>
      <c r="E117" s="132">
        <f>29205578+8986168+1600000</f>
        <v>39791746</v>
      </c>
    </row>
    <row r="118" spans="1:5" s="71" customFormat="1" ht="12" customHeight="1" thickBot="1">
      <c r="A118" s="133" t="s">
        <v>17</v>
      </c>
      <c r="B118" s="134" t="s">
        <v>655</v>
      </c>
      <c r="C118" s="135">
        <f>+C119+C121+C123</f>
        <v>490981959</v>
      </c>
      <c r="D118" s="135">
        <f>+D119+D121+D123</f>
        <v>490245359</v>
      </c>
      <c r="E118" s="135">
        <f>+E119+E121+E123</f>
        <v>488535474</v>
      </c>
    </row>
    <row r="119" spans="1:5" s="71" customFormat="1" ht="12" customHeight="1">
      <c r="A119" s="83" t="s">
        <v>101</v>
      </c>
      <c r="B119" s="32" t="s">
        <v>219</v>
      </c>
      <c r="C119" s="85">
        <f>369875414-15494000</f>
        <v>354381414</v>
      </c>
      <c r="D119" s="85">
        <f>369875414-15494000-635000-101600</f>
        <v>353644814</v>
      </c>
      <c r="E119" s="85">
        <f>353644814-13694572-6566274+9196991-1399405+6779509-946684-2746211-1911775-1441313</f>
        <v>340915080</v>
      </c>
    </row>
    <row r="120" spans="1:5" s="71" customFormat="1" ht="12" customHeight="1">
      <c r="A120" s="83" t="s">
        <v>102</v>
      </c>
      <c r="B120" s="136" t="s">
        <v>362</v>
      </c>
      <c r="C120" s="85"/>
      <c r="D120" s="85"/>
      <c r="E120" s="85"/>
    </row>
    <row r="121" spans="1:5" s="71" customFormat="1" ht="12" customHeight="1">
      <c r="A121" s="83" t="s">
        <v>103</v>
      </c>
      <c r="B121" s="136" t="s">
        <v>178</v>
      </c>
      <c r="C121" s="88">
        <f>142950545-6350000</f>
        <v>136600545</v>
      </c>
      <c r="D121" s="88">
        <f>142950545-6350000</f>
        <v>136600545</v>
      </c>
      <c r="E121" s="88">
        <f>136600545+5717922-9032376+13737230+597073</f>
        <v>147620394</v>
      </c>
    </row>
    <row r="122" spans="1:5" s="71" customFormat="1" ht="12" customHeight="1">
      <c r="A122" s="83" t="s">
        <v>104</v>
      </c>
      <c r="B122" s="136" t="s">
        <v>363</v>
      </c>
      <c r="C122" s="137"/>
      <c r="D122" s="137"/>
      <c r="E122" s="137"/>
    </row>
    <row r="123" spans="1:5" s="71" customFormat="1" ht="12" customHeight="1">
      <c r="A123" s="83" t="s">
        <v>105</v>
      </c>
      <c r="B123" s="91" t="s">
        <v>222</v>
      </c>
      <c r="C123" s="137">
        <f>C124+C125+C126+C127+C128+C129+C130+C131</f>
        <v>0</v>
      </c>
      <c r="D123" s="137">
        <f>D124+D125+D126+D127+D128+D129+D130+D131</f>
        <v>0</v>
      </c>
      <c r="E123" s="137">
        <f>E124+E125+E126+E127+E128+E129+E130+E131</f>
        <v>0</v>
      </c>
    </row>
    <row r="124" spans="1:5" s="71" customFormat="1" ht="12" customHeight="1">
      <c r="A124" s="83" t="s">
        <v>114</v>
      </c>
      <c r="B124" s="89" t="s">
        <v>425</v>
      </c>
      <c r="C124" s="137"/>
      <c r="D124" s="137"/>
      <c r="E124" s="137"/>
    </row>
    <row r="125" spans="1:5" s="71" customFormat="1" ht="12" customHeight="1">
      <c r="A125" s="83" t="s">
        <v>116</v>
      </c>
      <c r="B125" s="138" t="s">
        <v>368</v>
      </c>
      <c r="C125" s="137"/>
      <c r="D125" s="137"/>
      <c r="E125" s="137"/>
    </row>
    <row r="126" spans="1:5" s="71" customFormat="1" ht="15.75">
      <c r="A126" s="83" t="s">
        <v>179</v>
      </c>
      <c r="B126" s="128" t="s">
        <v>352</v>
      </c>
      <c r="C126" s="137"/>
      <c r="D126" s="137"/>
      <c r="E126" s="137"/>
    </row>
    <row r="127" spans="1:5" s="71" customFormat="1" ht="12" customHeight="1">
      <c r="A127" s="83" t="s">
        <v>180</v>
      </c>
      <c r="B127" s="128" t="s">
        <v>367</v>
      </c>
      <c r="C127" s="137"/>
      <c r="D127" s="137"/>
      <c r="E127" s="137"/>
    </row>
    <row r="128" spans="1:5" s="71" customFormat="1" ht="12" customHeight="1">
      <c r="A128" s="83" t="s">
        <v>181</v>
      </c>
      <c r="B128" s="128" t="s">
        <v>366</v>
      </c>
      <c r="C128" s="137"/>
      <c r="D128" s="137"/>
      <c r="E128" s="137"/>
    </row>
    <row r="129" spans="1:5" s="71" customFormat="1" ht="12" customHeight="1">
      <c r="A129" s="83" t="s">
        <v>359</v>
      </c>
      <c r="B129" s="128" t="s">
        <v>355</v>
      </c>
      <c r="C129" s="137"/>
      <c r="D129" s="137"/>
      <c r="E129" s="137"/>
    </row>
    <row r="130" spans="1:5" s="71" customFormat="1" ht="12" customHeight="1">
      <c r="A130" s="83" t="s">
        <v>360</v>
      </c>
      <c r="B130" s="128" t="s">
        <v>365</v>
      </c>
      <c r="C130" s="137"/>
      <c r="D130" s="137"/>
      <c r="E130" s="137"/>
    </row>
    <row r="131" spans="1:5" s="71" customFormat="1" ht="16.5" thickBot="1">
      <c r="A131" s="129" t="s">
        <v>361</v>
      </c>
      <c r="B131" s="128" t="s">
        <v>364</v>
      </c>
      <c r="C131" s="139"/>
      <c r="D131" s="139"/>
      <c r="E131" s="139"/>
    </row>
    <row r="132" spans="1:5" s="71" customFormat="1" ht="12" customHeight="1" thickBot="1">
      <c r="A132" s="79" t="s">
        <v>18</v>
      </c>
      <c r="B132" s="40" t="s">
        <v>447</v>
      </c>
      <c r="C132" s="81">
        <f>+C96+C118</f>
        <v>954953334</v>
      </c>
      <c r="D132" s="81">
        <f>+D96+D118</f>
        <v>958413848</v>
      </c>
      <c r="E132" s="81">
        <f>+E96+E118</f>
        <v>956285675</v>
      </c>
    </row>
    <row r="133" spans="1:5" s="71" customFormat="1" ht="12" customHeight="1" thickBot="1">
      <c r="A133" s="79" t="s">
        <v>19</v>
      </c>
      <c r="B133" s="40" t="s">
        <v>448</v>
      </c>
      <c r="C133" s="81">
        <f>+C134+C135+C136</f>
        <v>0</v>
      </c>
      <c r="D133" s="81">
        <f>+D134+D135+D136</f>
        <v>0</v>
      </c>
      <c r="E133" s="81">
        <f>+E134+E135+E136</f>
        <v>0</v>
      </c>
    </row>
    <row r="134" spans="1:5" s="71" customFormat="1" ht="12" customHeight="1">
      <c r="A134" s="83" t="s">
        <v>260</v>
      </c>
      <c r="B134" s="136" t="s">
        <v>455</v>
      </c>
      <c r="C134" s="137"/>
      <c r="D134" s="137"/>
      <c r="E134" s="137"/>
    </row>
    <row r="135" spans="1:5" s="71" customFormat="1" ht="12" customHeight="1">
      <c r="A135" s="83" t="s">
        <v>263</v>
      </c>
      <c r="B135" s="136" t="s">
        <v>456</v>
      </c>
      <c r="C135" s="137"/>
      <c r="D135" s="137"/>
      <c r="E135" s="137"/>
    </row>
    <row r="136" spans="1:5" s="71" customFormat="1" ht="12" customHeight="1" thickBot="1">
      <c r="A136" s="129" t="s">
        <v>264</v>
      </c>
      <c r="B136" s="136" t="s">
        <v>457</v>
      </c>
      <c r="C136" s="137"/>
      <c r="D136" s="137"/>
      <c r="E136" s="137"/>
    </row>
    <row r="137" spans="1:5" s="71" customFormat="1" ht="12" customHeight="1" thickBot="1">
      <c r="A137" s="79" t="s">
        <v>20</v>
      </c>
      <c r="B137" s="40" t="s">
        <v>449</v>
      </c>
      <c r="C137" s="81">
        <f>SUM(C138:C143)</f>
        <v>0</v>
      </c>
      <c r="D137" s="81">
        <f>SUM(D138:D143)</f>
        <v>0</v>
      </c>
      <c r="E137" s="81">
        <f>SUM(E138:E143)</f>
        <v>0</v>
      </c>
    </row>
    <row r="138" spans="1:5" s="71" customFormat="1" ht="12" customHeight="1">
      <c r="A138" s="83" t="s">
        <v>88</v>
      </c>
      <c r="B138" s="38" t="s">
        <v>458</v>
      </c>
      <c r="C138" s="137"/>
      <c r="D138" s="137"/>
      <c r="E138" s="137"/>
    </row>
    <row r="139" spans="1:5" s="71" customFormat="1" ht="12" customHeight="1">
      <c r="A139" s="83" t="s">
        <v>89</v>
      </c>
      <c r="B139" s="38" t="s">
        <v>450</v>
      </c>
      <c r="C139" s="137"/>
      <c r="D139" s="137"/>
      <c r="E139" s="137"/>
    </row>
    <row r="140" spans="1:5" s="71" customFormat="1" ht="12" customHeight="1">
      <c r="A140" s="83" t="s">
        <v>90</v>
      </c>
      <c r="B140" s="38" t="s">
        <v>451</v>
      </c>
      <c r="C140" s="137"/>
      <c r="D140" s="137"/>
      <c r="E140" s="137"/>
    </row>
    <row r="141" spans="1:5" s="71" customFormat="1" ht="12" customHeight="1">
      <c r="A141" s="83" t="s">
        <v>166</v>
      </c>
      <c r="B141" s="38" t="s">
        <v>452</v>
      </c>
      <c r="C141" s="137"/>
      <c r="D141" s="137"/>
      <c r="E141" s="137"/>
    </row>
    <row r="142" spans="1:5" s="71" customFormat="1" ht="12" customHeight="1">
      <c r="A142" s="83" t="s">
        <v>167</v>
      </c>
      <c r="B142" s="38" t="s">
        <v>453</v>
      </c>
      <c r="C142" s="137"/>
      <c r="D142" s="137"/>
      <c r="E142" s="137"/>
    </row>
    <row r="143" spans="1:5" s="71" customFormat="1" ht="12" customHeight="1" thickBot="1">
      <c r="A143" s="129" t="s">
        <v>168</v>
      </c>
      <c r="B143" s="38" t="s">
        <v>454</v>
      </c>
      <c r="C143" s="137"/>
      <c r="D143" s="137"/>
      <c r="E143" s="137"/>
    </row>
    <row r="144" spans="1:5" s="71" customFormat="1" ht="12" customHeight="1" thickBot="1">
      <c r="A144" s="79" t="s">
        <v>21</v>
      </c>
      <c r="B144" s="40" t="s">
        <v>462</v>
      </c>
      <c r="C144" s="95">
        <f>+C145+C146+C147+C148</f>
        <v>7960578</v>
      </c>
      <c r="D144" s="95">
        <f>+D145+D146+D147+D148</f>
        <v>8033142</v>
      </c>
      <c r="E144" s="95">
        <f>+E145+E146+E147+E148</f>
        <v>8033142</v>
      </c>
    </row>
    <row r="145" spans="1:5" s="71" customFormat="1" ht="12" customHeight="1">
      <c r="A145" s="83" t="s">
        <v>91</v>
      </c>
      <c r="B145" s="38" t="s">
        <v>369</v>
      </c>
      <c r="C145" s="137"/>
      <c r="D145" s="137"/>
      <c r="E145" s="137"/>
    </row>
    <row r="146" spans="1:5" s="71" customFormat="1" ht="12" customHeight="1">
      <c r="A146" s="83" t="s">
        <v>92</v>
      </c>
      <c r="B146" s="38" t="s">
        <v>370</v>
      </c>
      <c r="C146" s="137">
        <f>7960578</f>
        <v>7960578</v>
      </c>
      <c r="D146" s="137">
        <f>7960578+72564</f>
        <v>8033142</v>
      </c>
      <c r="E146" s="137">
        <f>7960578+72564</f>
        <v>8033142</v>
      </c>
    </row>
    <row r="147" spans="1:5" s="71" customFormat="1" ht="12" customHeight="1">
      <c r="A147" s="83" t="s">
        <v>284</v>
      </c>
      <c r="B147" s="38" t="s">
        <v>463</v>
      </c>
      <c r="C147" s="137"/>
      <c r="D147" s="137"/>
      <c r="E147" s="137"/>
    </row>
    <row r="148" spans="1:5" s="71" customFormat="1" ht="12" customHeight="1" thickBot="1">
      <c r="A148" s="129" t="s">
        <v>285</v>
      </c>
      <c r="B148" s="34" t="s">
        <v>389</v>
      </c>
      <c r="C148" s="137"/>
      <c r="D148" s="137"/>
      <c r="E148" s="137"/>
    </row>
    <row r="149" spans="1:5" s="71" customFormat="1" ht="12" customHeight="1" thickBot="1">
      <c r="A149" s="79" t="s">
        <v>22</v>
      </c>
      <c r="B149" s="40" t="s">
        <v>464</v>
      </c>
      <c r="C149" s="140">
        <f>SUM(C150:C154)</f>
        <v>0</v>
      </c>
      <c r="D149" s="140">
        <f>SUM(D150:D154)</f>
        <v>0</v>
      </c>
      <c r="E149" s="140">
        <f>SUM(E150:E154)</f>
        <v>0</v>
      </c>
    </row>
    <row r="150" spans="1:5" s="71" customFormat="1" ht="12" customHeight="1">
      <c r="A150" s="83" t="s">
        <v>93</v>
      </c>
      <c r="B150" s="38" t="s">
        <v>459</v>
      </c>
      <c r="C150" s="137"/>
      <c r="D150" s="137"/>
      <c r="E150" s="137"/>
    </row>
    <row r="151" spans="1:5" s="71" customFormat="1" ht="12" customHeight="1">
      <c r="A151" s="83" t="s">
        <v>94</v>
      </c>
      <c r="B151" s="38" t="s">
        <v>466</v>
      </c>
      <c r="C151" s="137"/>
      <c r="D151" s="137"/>
      <c r="E151" s="137"/>
    </row>
    <row r="152" spans="1:5" s="71" customFormat="1" ht="12" customHeight="1">
      <c r="A152" s="83" t="s">
        <v>296</v>
      </c>
      <c r="B152" s="38" t="s">
        <v>461</v>
      </c>
      <c r="C152" s="137"/>
      <c r="D152" s="137"/>
      <c r="E152" s="137"/>
    </row>
    <row r="153" spans="1:5" s="71" customFormat="1" ht="12" customHeight="1">
      <c r="A153" s="83" t="s">
        <v>297</v>
      </c>
      <c r="B153" s="38" t="s">
        <v>467</v>
      </c>
      <c r="C153" s="137"/>
      <c r="D153" s="137"/>
      <c r="E153" s="137"/>
    </row>
    <row r="154" spans="1:5" s="71" customFormat="1" ht="12" customHeight="1" thickBot="1">
      <c r="A154" s="83" t="s">
        <v>465</v>
      </c>
      <c r="B154" s="38" t="s">
        <v>468</v>
      </c>
      <c r="C154" s="137"/>
      <c r="D154" s="137"/>
      <c r="E154" s="137"/>
    </row>
    <row r="155" spans="1:5" s="71" customFormat="1" ht="12" customHeight="1" thickBot="1">
      <c r="A155" s="79" t="s">
        <v>23</v>
      </c>
      <c r="B155" s="40" t="s">
        <v>469</v>
      </c>
      <c r="C155" s="141"/>
      <c r="D155" s="141"/>
      <c r="E155" s="141"/>
    </row>
    <row r="156" spans="1:5" s="71" customFormat="1" ht="12" customHeight="1" thickBot="1">
      <c r="A156" s="79" t="s">
        <v>24</v>
      </c>
      <c r="B156" s="40" t="s">
        <v>544</v>
      </c>
      <c r="C156" s="141">
        <f>161906950</f>
        <v>161906950</v>
      </c>
      <c r="D156" s="141">
        <f>161906950</f>
        <v>161906950</v>
      </c>
      <c r="E156" s="141">
        <f>161906950+411269+605530-782302</f>
        <v>162141447</v>
      </c>
    </row>
    <row r="157" spans="1:5" s="71" customFormat="1" ht="15" customHeight="1" thickBot="1">
      <c r="A157" s="79" t="s">
        <v>25</v>
      </c>
      <c r="B157" s="40" t="s">
        <v>472</v>
      </c>
      <c r="C157" s="142">
        <f>+C133+C137+C144+C149+C155+C156</f>
        <v>169867528</v>
      </c>
      <c r="D157" s="142">
        <f>+D133+D137+D144+D149+D155+D156</f>
        <v>169940092</v>
      </c>
      <c r="E157" s="142">
        <f>+E133+E137+E144+E149+E155+E156</f>
        <v>170174589</v>
      </c>
    </row>
    <row r="158" spans="1:5" s="82" customFormat="1" ht="12.95" customHeight="1" thickBot="1">
      <c r="A158" s="144" t="s">
        <v>26</v>
      </c>
      <c r="B158" s="145" t="s">
        <v>471</v>
      </c>
      <c r="C158" s="142">
        <f>+C132+C157</f>
        <v>1124820862</v>
      </c>
      <c r="D158" s="142">
        <f>+D132+D157</f>
        <v>1128353940</v>
      </c>
      <c r="E158" s="142">
        <f>+E132+E157</f>
        <v>1126460264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84" orientation="landscape" verticalDpi="300" r:id="rId1"/>
  <headerFooter alignWithMargins="0">
    <oddFooter>&amp;P. oldal, összesen: &amp;N</oddFooter>
  </headerFooter>
  <rowBreaks count="4" manualBreakCount="4">
    <brk id="37" max="16383" man="1"/>
    <brk id="65" max="16383" man="1"/>
    <brk id="90" max="16383" man="1"/>
    <brk id="1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tabColor rgb="FF7030A0"/>
  </sheetPr>
  <dimension ref="A1:E157"/>
  <sheetViews>
    <sheetView zoomScale="98" zoomScaleNormal="98" zoomScaleSheetLayoutView="85" workbookViewId="0">
      <selection activeCell="B1" sqref="B1"/>
    </sheetView>
  </sheetViews>
  <sheetFormatPr defaultRowHeight="12.75"/>
  <cols>
    <col min="1" max="1" width="11.6640625" style="66" customWidth="1"/>
    <col min="2" max="2" width="72" style="17" customWidth="1"/>
    <col min="3" max="5" width="25" style="67" customWidth="1"/>
    <col min="6" max="16384" width="9.33203125" style="156"/>
  </cols>
  <sheetData>
    <row r="1" spans="1:5" s="148" customFormat="1" ht="16.5" customHeight="1" thickBot="1">
      <c r="A1" s="1"/>
      <c r="B1" s="149" t="s">
        <v>763</v>
      </c>
      <c r="C1" s="149"/>
      <c r="D1" s="149"/>
      <c r="E1" s="149"/>
    </row>
    <row r="2" spans="1:5" s="151" customFormat="1" ht="21" customHeight="1">
      <c r="A2" s="4" t="s">
        <v>58</v>
      </c>
      <c r="B2" s="5" t="s">
        <v>538</v>
      </c>
      <c r="C2" s="150" t="s">
        <v>51</v>
      </c>
      <c r="D2" s="150" t="s">
        <v>51</v>
      </c>
      <c r="E2" s="150" t="s">
        <v>51</v>
      </c>
    </row>
    <row r="3" spans="1:5" s="151" customFormat="1" ht="16.5" thickBot="1">
      <c r="A3" s="152" t="s">
        <v>193</v>
      </c>
      <c r="B3" s="9" t="s">
        <v>427</v>
      </c>
      <c r="C3" s="153" t="s">
        <v>57</v>
      </c>
      <c r="D3" s="153" t="s">
        <v>57</v>
      </c>
      <c r="E3" s="153" t="s">
        <v>57</v>
      </c>
    </row>
    <row r="4" spans="1:5" s="154" customFormat="1" ht="15.95" customHeight="1" thickBot="1">
      <c r="A4" s="11"/>
      <c r="B4" s="11"/>
      <c r="C4" s="12" t="s">
        <v>589</v>
      </c>
      <c r="D4" s="12" t="s">
        <v>589</v>
      </c>
      <c r="E4" s="12" t="s">
        <v>589</v>
      </c>
    </row>
    <row r="5" spans="1:5" ht="13.5" thickBot="1">
      <c r="A5" s="14" t="s">
        <v>195</v>
      </c>
      <c r="B5" s="15" t="s">
        <v>52</v>
      </c>
      <c r="C5" s="583"/>
      <c r="D5" s="583"/>
      <c r="E5" s="583"/>
    </row>
    <row r="6" spans="1:5" s="71" customFormat="1" ht="38.1" customHeight="1" thickBot="1">
      <c r="A6" s="73" t="s">
        <v>66</v>
      </c>
      <c r="B6" s="74" t="s">
        <v>15</v>
      </c>
      <c r="C6" s="155" t="s">
        <v>688</v>
      </c>
      <c r="D6" s="305" t="s">
        <v>739</v>
      </c>
      <c r="E6" s="305" t="s">
        <v>744</v>
      </c>
    </row>
    <row r="7" spans="1:5" s="78" customFormat="1" ht="12" customHeight="1" thickBot="1">
      <c r="A7" s="75" t="s">
        <v>486</v>
      </c>
      <c r="B7" s="76" t="s">
        <v>487</v>
      </c>
      <c r="C7" s="77" t="s">
        <v>488</v>
      </c>
      <c r="D7" s="77" t="s">
        <v>488</v>
      </c>
      <c r="E7" s="77" t="s">
        <v>488</v>
      </c>
    </row>
    <row r="8" spans="1:5" s="82" customFormat="1" ht="12" customHeight="1" thickBot="1">
      <c r="A8" s="79" t="s">
        <v>16</v>
      </c>
      <c r="B8" s="80" t="s">
        <v>244</v>
      </c>
      <c r="C8" s="81">
        <f>+C9+C10+C11+C12+C13+C14</f>
        <v>0</v>
      </c>
      <c r="D8" s="81">
        <f>+D9+D10+D11+D12+D13+D14</f>
        <v>0</v>
      </c>
      <c r="E8" s="81">
        <f>+E9+E10+E11+E12+E13+E14</f>
        <v>0</v>
      </c>
    </row>
    <row r="9" spans="1:5" s="82" customFormat="1" ht="12" customHeight="1">
      <c r="A9" s="83" t="s">
        <v>95</v>
      </c>
      <c r="B9" s="84" t="s">
        <v>245</v>
      </c>
      <c r="C9" s="85"/>
      <c r="D9" s="85"/>
      <c r="E9" s="85"/>
    </row>
    <row r="10" spans="1:5" s="82" customFormat="1" ht="12" customHeight="1">
      <c r="A10" s="86" t="s">
        <v>96</v>
      </c>
      <c r="B10" s="87" t="s">
        <v>246</v>
      </c>
      <c r="C10" s="88"/>
      <c r="D10" s="88"/>
      <c r="E10" s="88"/>
    </row>
    <row r="11" spans="1:5" s="82" customFormat="1" ht="12" customHeight="1">
      <c r="A11" s="86" t="s">
        <v>97</v>
      </c>
      <c r="B11" s="87" t="s">
        <v>247</v>
      </c>
      <c r="C11" s="88"/>
      <c r="D11" s="88"/>
      <c r="E11" s="88"/>
    </row>
    <row r="12" spans="1:5" s="82" customFormat="1" ht="12" customHeight="1">
      <c r="A12" s="86" t="s">
        <v>98</v>
      </c>
      <c r="B12" s="87" t="s">
        <v>248</v>
      </c>
      <c r="C12" s="88"/>
      <c r="D12" s="88"/>
      <c r="E12" s="88"/>
    </row>
    <row r="13" spans="1:5" s="82" customFormat="1" ht="12" customHeight="1">
      <c r="A13" s="86" t="s">
        <v>141</v>
      </c>
      <c r="B13" s="89" t="s">
        <v>429</v>
      </c>
      <c r="C13" s="88"/>
      <c r="D13" s="88"/>
      <c r="E13" s="88"/>
    </row>
    <row r="14" spans="1:5" s="82" customFormat="1" ht="12" customHeight="1" thickBot="1">
      <c r="A14" s="90" t="s">
        <v>99</v>
      </c>
      <c r="B14" s="91" t="s">
        <v>430</v>
      </c>
      <c r="C14" s="88"/>
      <c r="D14" s="88"/>
      <c r="E14" s="88"/>
    </row>
    <row r="15" spans="1:5" s="82" customFormat="1" ht="12" customHeight="1" thickBot="1">
      <c r="A15" s="79" t="s">
        <v>17</v>
      </c>
      <c r="B15" s="92" t="s">
        <v>249</v>
      </c>
      <c r="C15" s="81">
        <f>+C16+C17+C18+C19+C20</f>
        <v>0</v>
      </c>
      <c r="D15" s="81">
        <f>+D16+D17+D18+D19+D20</f>
        <v>0</v>
      </c>
      <c r="E15" s="81">
        <f>+E16+E17+E18+E19+E20</f>
        <v>0</v>
      </c>
    </row>
    <row r="16" spans="1:5" s="82" customFormat="1" ht="12" customHeight="1">
      <c r="A16" s="83" t="s">
        <v>101</v>
      </c>
      <c r="B16" s="84" t="s">
        <v>250</v>
      </c>
      <c r="C16" s="85"/>
      <c r="D16" s="85"/>
      <c r="E16" s="85"/>
    </row>
    <row r="17" spans="1:5" s="82" customFormat="1" ht="12" customHeight="1">
      <c r="A17" s="86" t="s">
        <v>102</v>
      </c>
      <c r="B17" s="87" t="s">
        <v>251</v>
      </c>
      <c r="C17" s="88"/>
      <c r="D17" s="88"/>
      <c r="E17" s="88"/>
    </row>
    <row r="18" spans="1:5" s="82" customFormat="1" ht="12" customHeight="1">
      <c r="A18" s="86" t="s">
        <v>103</v>
      </c>
      <c r="B18" s="87" t="s">
        <v>419</v>
      </c>
      <c r="C18" s="88"/>
      <c r="D18" s="88"/>
      <c r="E18" s="88"/>
    </row>
    <row r="19" spans="1:5" s="82" customFormat="1" ht="12" customHeight="1">
      <c r="A19" s="86" t="s">
        <v>104</v>
      </c>
      <c r="B19" s="87" t="s">
        <v>420</v>
      </c>
      <c r="C19" s="88"/>
      <c r="D19" s="88"/>
      <c r="E19" s="88"/>
    </row>
    <row r="20" spans="1:5" s="82" customFormat="1" ht="12" customHeight="1">
      <c r="A20" s="86" t="s">
        <v>105</v>
      </c>
      <c r="B20" s="87" t="s">
        <v>252</v>
      </c>
      <c r="C20" s="88"/>
      <c r="D20" s="88"/>
      <c r="E20" s="88"/>
    </row>
    <row r="21" spans="1:5" s="82" customFormat="1" ht="12" customHeight="1" thickBot="1">
      <c r="A21" s="90" t="s">
        <v>114</v>
      </c>
      <c r="B21" s="91" t="s">
        <v>253</v>
      </c>
      <c r="C21" s="93"/>
      <c r="D21" s="93"/>
      <c r="E21" s="93"/>
    </row>
    <row r="22" spans="1:5" s="82" customFormat="1" ht="12" customHeight="1" thickBot="1">
      <c r="A22" s="79" t="s">
        <v>18</v>
      </c>
      <c r="B22" s="80" t="s">
        <v>254</v>
      </c>
      <c r="C22" s="81">
        <f>+C23+C24+C25+C26+C27</f>
        <v>0</v>
      </c>
      <c r="D22" s="81">
        <f>+D23+D24+D25+D26+D27</f>
        <v>0</v>
      </c>
      <c r="E22" s="81">
        <f>+E23+E24+E25+E26+E27</f>
        <v>0</v>
      </c>
    </row>
    <row r="23" spans="1:5" s="82" customFormat="1" ht="12" customHeight="1">
      <c r="A23" s="83" t="s">
        <v>84</v>
      </c>
      <c r="B23" s="84" t="s">
        <v>255</v>
      </c>
      <c r="C23" s="85"/>
      <c r="D23" s="85"/>
      <c r="E23" s="85"/>
    </row>
    <row r="24" spans="1:5" s="82" customFormat="1" ht="12" customHeight="1">
      <c r="A24" s="86" t="s">
        <v>85</v>
      </c>
      <c r="B24" s="87" t="s">
        <v>256</v>
      </c>
      <c r="C24" s="88"/>
      <c r="D24" s="88"/>
      <c r="E24" s="88"/>
    </row>
    <row r="25" spans="1:5" s="82" customFormat="1" ht="12" customHeight="1">
      <c r="A25" s="86" t="s">
        <v>86</v>
      </c>
      <c r="B25" s="87" t="s">
        <v>421</v>
      </c>
      <c r="C25" s="88"/>
      <c r="D25" s="88"/>
      <c r="E25" s="88"/>
    </row>
    <row r="26" spans="1:5" s="82" customFormat="1" ht="12" customHeight="1">
      <c r="A26" s="86" t="s">
        <v>87</v>
      </c>
      <c r="B26" s="87" t="s">
        <v>422</v>
      </c>
      <c r="C26" s="88"/>
      <c r="D26" s="88"/>
      <c r="E26" s="88"/>
    </row>
    <row r="27" spans="1:5" s="82" customFormat="1" ht="12" customHeight="1">
      <c r="A27" s="86" t="s">
        <v>162</v>
      </c>
      <c r="B27" s="87" t="s">
        <v>257</v>
      </c>
      <c r="C27" s="88"/>
      <c r="D27" s="88"/>
      <c r="E27" s="88"/>
    </row>
    <row r="28" spans="1:5" s="82" customFormat="1" ht="12" customHeight="1" thickBot="1">
      <c r="A28" s="90" t="s">
        <v>163</v>
      </c>
      <c r="B28" s="94" t="s">
        <v>258</v>
      </c>
      <c r="C28" s="93"/>
      <c r="D28" s="93"/>
      <c r="E28" s="93"/>
    </row>
    <row r="29" spans="1:5" s="82" customFormat="1" ht="12" customHeight="1" thickBot="1">
      <c r="A29" s="79" t="s">
        <v>164</v>
      </c>
      <c r="B29" s="80" t="s">
        <v>259</v>
      </c>
      <c r="C29" s="95">
        <f>+C30+C34+C35+C36</f>
        <v>0</v>
      </c>
      <c r="D29" s="95">
        <f>+D30+D34+D35+D36</f>
        <v>0</v>
      </c>
      <c r="E29" s="95">
        <f>+E30+E34+E35+E36</f>
        <v>0</v>
      </c>
    </row>
    <row r="30" spans="1:5" s="82" customFormat="1" ht="12" customHeight="1">
      <c r="A30" s="83" t="s">
        <v>260</v>
      </c>
      <c r="B30" s="159" t="s">
        <v>436</v>
      </c>
      <c r="C30" s="96">
        <f>C31+C32+C33</f>
        <v>0</v>
      </c>
      <c r="D30" s="96">
        <f>D31+D32+D33</f>
        <v>0</v>
      </c>
      <c r="E30" s="96">
        <f>E31+E32+E33</f>
        <v>0</v>
      </c>
    </row>
    <row r="31" spans="1:5" s="82" customFormat="1" ht="12" customHeight="1">
      <c r="A31" s="86" t="s">
        <v>261</v>
      </c>
      <c r="B31" s="160" t="s">
        <v>604</v>
      </c>
      <c r="C31" s="88"/>
      <c r="D31" s="88"/>
      <c r="E31" s="88"/>
    </row>
    <row r="32" spans="1:5" s="82" customFormat="1" ht="12" customHeight="1">
      <c r="A32" s="86" t="s">
        <v>262</v>
      </c>
      <c r="B32" s="160" t="s">
        <v>605</v>
      </c>
      <c r="C32" s="88"/>
      <c r="D32" s="88"/>
      <c r="E32" s="88"/>
    </row>
    <row r="33" spans="1:5" s="82" customFormat="1" ht="12" customHeight="1">
      <c r="A33" s="86" t="s">
        <v>434</v>
      </c>
      <c r="B33" s="161" t="s">
        <v>435</v>
      </c>
      <c r="C33" s="88">
        <f>3003069-3000000-3069</f>
        <v>0</v>
      </c>
      <c r="D33" s="88">
        <f>3003069-3000000-3069</f>
        <v>0</v>
      </c>
      <c r="E33" s="88">
        <f>3003069-3000000-3069</f>
        <v>0</v>
      </c>
    </row>
    <row r="34" spans="1:5" s="82" customFormat="1" ht="12" customHeight="1">
      <c r="A34" s="86" t="s">
        <v>263</v>
      </c>
      <c r="B34" s="160" t="s">
        <v>268</v>
      </c>
      <c r="C34" s="88"/>
      <c r="D34" s="88"/>
      <c r="E34" s="88"/>
    </row>
    <row r="35" spans="1:5" s="82" customFormat="1" ht="12" customHeight="1">
      <c r="A35" s="86" t="s">
        <v>264</v>
      </c>
      <c r="B35" s="160" t="s">
        <v>582</v>
      </c>
      <c r="C35" s="88"/>
      <c r="D35" s="88"/>
      <c r="E35" s="88"/>
    </row>
    <row r="36" spans="1:5" s="82" customFormat="1" ht="12" customHeight="1" thickBot="1">
      <c r="A36" s="90" t="s">
        <v>265</v>
      </c>
      <c r="B36" s="162" t="s">
        <v>270</v>
      </c>
      <c r="C36" s="93"/>
      <c r="D36" s="93"/>
      <c r="E36" s="93"/>
    </row>
    <row r="37" spans="1:5" s="82" customFormat="1" ht="12" customHeight="1" thickBot="1">
      <c r="A37" s="79" t="s">
        <v>20</v>
      </c>
      <c r="B37" s="80" t="s">
        <v>431</v>
      </c>
      <c r="C37" s="81">
        <f>SUM(C38:C48)</f>
        <v>98776182.030000001</v>
      </c>
      <c r="D37" s="81">
        <f>SUM(D38:D48)</f>
        <v>98776182.030000001</v>
      </c>
      <c r="E37" s="81">
        <f>SUM(E38:E48)</f>
        <v>107347927</v>
      </c>
    </row>
    <row r="38" spans="1:5" s="82" customFormat="1" ht="12" customHeight="1">
      <c r="A38" s="83" t="s">
        <v>88</v>
      </c>
      <c r="B38" s="84" t="s">
        <v>273</v>
      </c>
      <c r="C38" s="85"/>
      <c r="D38" s="85"/>
      <c r="E38" s="85"/>
    </row>
    <row r="39" spans="1:5" s="82" customFormat="1" ht="12" customHeight="1">
      <c r="A39" s="86" t="s">
        <v>89</v>
      </c>
      <c r="B39" s="87" t="s">
        <v>274</v>
      </c>
      <c r="C39" s="88">
        <f>70000000+8683416+314173+576000</f>
        <v>79573589</v>
      </c>
      <c r="D39" s="88">
        <f>70000000+8683416+314173+576000</f>
        <v>79573589</v>
      </c>
      <c r="E39" s="88">
        <f>70000000+8683416+314173+576000+2441752+787402+150000+2184252+1186000</f>
        <v>86322995</v>
      </c>
    </row>
    <row r="40" spans="1:5" s="82" customFormat="1" ht="12" customHeight="1">
      <c r="A40" s="86" t="s">
        <v>90</v>
      </c>
      <c r="B40" s="87" t="s">
        <v>275</v>
      </c>
      <c r="C40" s="88"/>
      <c r="D40" s="88"/>
      <c r="E40" s="88"/>
    </row>
    <row r="41" spans="1:5" s="82" customFormat="1" ht="12" customHeight="1">
      <c r="A41" s="86" t="s">
        <v>166</v>
      </c>
      <c r="B41" s="87" t="s">
        <v>276</v>
      </c>
      <c r="C41" s="88"/>
      <c r="D41" s="88"/>
      <c r="E41" s="88"/>
    </row>
    <row r="42" spans="1:5" s="82" customFormat="1" ht="12" customHeight="1">
      <c r="A42" s="86" t="s">
        <v>167</v>
      </c>
      <c r="B42" s="87" t="s">
        <v>277</v>
      </c>
      <c r="C42" s="88"/>
      <c r="D42" s="88"/>
      <c r="E42" s="88"/>
    </row>
    <row r="43" spans="1:5" s="82" customFormat="1" ht="12" customHeight="1">
      <c r="A43" s="86" t="s">
        <v>168</v>
      </c>
      <c r="B43" s="87" t="s">
        <v>278</v>
      </c>
      <c r="C43" s="88">
        <f>C39*0.27-2282276</f>
        <v>19202593.030000001</v>
      </c>
      <c r="D43" s="88">
        <f>D39*0.27-2282276</f>
        <v>19202593.030000001</v>
      </c>
      <c r="E43" s="88">
        <f>19861866+212598+40500+589748+320220</f>
        <v>21024932</v>
      </c>
    </row>
    <row r="44" spans="1:5" s="82" customFormat="1" ht="12" customHeight="1">
      <c r="A44" s="86" t="s">
        <v>169</v>
      </c>
      <c r="B44" s="87" t="s">
        <v>279</v>
      </c>
      <c r="C44" s="88"/>
      <c r="D44" s="88"/>
      <c r="E44" s="88"/>
    </row>
    <row r="45" spans="1:5" s="82" customFormat="1" ht="12" customHeight="1">
      <c r="A45" s="86" t="s">
        <v>170</v>
      </c>
      <c r="B45" s="87" t="s">
        <v>280</v>
      </c>
      <c r="C45" s="98"/>
      <c r="D45" s="98"/>
      <c r="E45" s="98"/>
    </row>
    <row r="46" spans="1:5" s="82" customFormat="1" ht="12" customHeight="1">
      <c r="A46" s="86" t="s">
        <v>271</v>
      </c>
      <c r="B46" s="87" t="s">
        <v>281</v>
      </c>
      <c r="C46" s="98"/>
      <c r="D46" s="98"/>
      <c r="E46" s="98"/>
    </row>
    <row r="47" spans="1:5" s="82" customFormat="1" ht="12" customHeight="1">
      <c r="A47" s="90" t="s">
        <v>272</v>
      </c>
      <c r="B47" s="94" t="s">
        <v>433</v>
      </c>
      <c r="C47" s="99"/>
      <c r="D47" s="99"/>
      <c r="E47" s="99"/>
    </row>
    <row r="48" spans="1:5" s="82" customFormat="1" ht="12" customHeight="1" thickBot="1">
      <c r="A48" s="90" t="s">
        <v>432</v>
      </c>
      <c r="B48" s="91" t="s">
        <v>282</v>
      </c>
      <c r="C48" s="99"/>
      <c r="D48" s="99"/>
      <c r="E48" s="99"/>
    </row>
    <row r="49" spans="1:5" s="82" customFormat="1" ht="12" customHeight="1" thickBot="1">
      <c r="A49" s="79" t="s">
        <v>21</v>
      </c>
      <c r="B49" s="80" t="s">
        <v>283</v>
      </c>
      <c r="C49" s="81">
        <f>SUM(C50:C54)</f>
        <v>0</v>
      </c>
      <c r="D49" s="81">
        <f>SUM(D50:D54)</f>
        <v>0</v>
      </c>
      <c r="E49" s="81">
        <f>SUM(E50:E54)</f>
        <v>0</v>
      </c>
    </row>
    <row r="50" spans="1:5" s="82" customFormat="1" ht="12" customHeight="1">
      <c r="A50" s="83" t="s">
        <v>91</v>
      </c>
      <c r="B50" s="84" t="s">
        <v>287</v>
      </c>
      <c r="C50" s="100"/>
      <c r="D50" s="100"/>
      <c r="E50" s="100"/>
    </row>
    <row r="51" spans="1:5" s="82" customFormat="1" ht="12" customHeight="1">
      <c r="A51" s="86" t="s">
        <v>92</v>
      </c>
      <c r="B51" s="87" t="s">
        <v>288</v>
      </c>
      <c r="C51" s="98"/>
      <c r="D51" s="98"/>
      <c r="E51" s="98"/>
    </row>
    <row r="52" spans="1:5" s="82" customFormat="1" ht="12" customHeight="1">
      <c r="A52" s="86" t="s">
        <v>284</v>
      </c>
      <c r="B52" s="87" t="s">
        <v>289</v>
      </c>
      <c r="C52" s="98"/>
      <c r="D52" s="98"/>
      <c r="E52" s="98"/>
    </row>
    <row r="53" spans="1:5" s="82" customFormat="1" ht="12" customHeight="1">
      <c r="A53" s="86" t="s">
        <v>285</v>
      </c>
      <c r="B53" s="87" t="s">
        <v>290</v>
      </c>
      <c r="C53" s="98"/>
      <c r="D53" s="98"/>
      <c r="E53" s="98"/>
    </row>
    <row r="54" spans="1:5" s="82" customFormat="1" ht="12" customHeight="1" thickBot="1">
      <c r="A54" s="90" t="s">
        <v>286</v>
      </c>
      <c r="B54" s="91" t="s">
        <v>291</v>
      </c>
      <c r="C54" s="99"/>
      <c r="D54" s="99"/>
      <c r="E54" s="99"/>
    </row>
    <row r="55" spans="1:5" s="82" customFormat="1" ht="12" customHeight="1" thickBot="1">
      <c r="A55" s="79" t="s">
        <v>171</v>
      </c>
      <c r="B55" s="80" t="s">
        <v>292</v>
      </c>
      <c r="C55" s="81">
        <f>SUM(C56:C58)</f>
        <v>0</v>
      </c>
      <c r="D55" s="81">
        <f>SUM(D56:D58)</f>
        <v>0</v>
      </c>
      <c r="E55" s="81">
        <f>SUM(E56:E58)</f>
        <v>0</v>
      </c>
    </row>
    <row r="56" spans="1:5" s="82" customFormat="1" ht="12" customHeight="1">
      <c r="A56" s="83" t="s">
        <v>93</v>
      </c>
      <c r="B56" s="84" t="s">
        <v>293</v>
      </c>
      <c r="C56" s="85"/>
      <c r="D56" s="85"/>
      <c r="E56" s="85"/>
    </row>
    <row r="57" spans="1:5" s="82" customFormat="1" ht="12" customHeight="1">
      <c r="A57" s="86" t="s">
        <v>94</v>
      </c>
      <c r="B57" s="87" t="s">
        <v>423</v>
      </c>
      <c r="C57" s="88"/>
      <c r="D57" s="88"/>
      <c r="E57" s="88"/>
    </row>
    <row r="58" spans="1:5" s="82" customFormat="1" ht="12" customHeight="1">
      <c r="A58" s="86" t="s">
        <v>296</v>
      </c>
      <c r="B58" s="87" t="s">
        <v>294</v>
      </c>
      <c r="C58" s="88"/>
      <c r="D58" s="88"/>
      <c r="E58" s="88"/>
    </row>
    <row r="59" spans="1:5" s="82" customFormat="1" ht="12" customHeight="1" thickBot="1">
      <c r="A59" s="90" t="s">
        <v>297</v>
      </c>
      <c r="B59" s="91" t="s">
        <v>295</v>
      </c>
      <c r="C59" s="93"/>
      <c r="D59" s="93"/>
      <c r="E59" s="93"/>
    </row>
    <row r="60" spans="1:5" s="82" customFormat="1" ht="12" customHeight="1" thickBot="1">
      <c r="A60" s="79" t="s">
        <v>23</v>
      </c>
      <c r="B60" s="92" t="s">
        <v>298</v>
      </c>
      <c r="C60" s="81">
        <f>SUM(C61:C63)</f>
        <v>0</v>
      </c>
      <c r="D60" s="81">
        <f>SUM(D61:D63)</f>
        <v>0</v>
      </c>
      <c r="E60" s="81">
        <f>SUM(E61:E63)</f>
        <v>0</v>
      </c>
    </row>
    <row r="61" spans="1:5" s="82" customFormat="1" ht="12" customHeight="1">
      <c r="A61" s="83" t="s">
        <v>172</v>
      </c>
      <c r="B61" s="84" t="s">
        <v>300</v>
      </c>
      <c r="C61" s="98"/>
      <c r="D61" s="98"/>
      <c r="E61" s="98"/>
    </row>
    <row r="62" spans="1:5" s="82" customFormat="1" ht="12" customHeight="1">
      <c r="A62" s="86" t="s">
        <v>173</v>
      </c>
      <c r="B62" s="87" t="s">
        <v>424</v>
      </c>
      <c r="C62" s="98"/>
      <c r="D62" s="98"/>
      <c r="E62" s="98"/>
    </row>
    <row r="63" spans="1:5" s="82" customFormat="1" ht="12" customHeight="1">
      <c r="A63" s="86" t="s">
        <v>221</v>
      </c>
      <c r="B63" s="87" t="s">
        <v>301</v>
      </c>
      <c r="C63" s="98"/>
      <c r="D63" s="98"/>
      <c r="E63" s="98"/>
    </row>
    <row r="64" spans="1:5" s="82" customFormat="1" ht="12" customHeight="1" thickBot="1">
      <c r="A64" s="90" t="s">
        <v>299</v>
      </c>
      <c r="B64" s="91" t="s">
        <v>302</v>
      </c>
      <c r="C64" s="98"/>
      <c r="D64" s="98"/>
      <c r="E64" s="98"/>
    </row>
    <row r="65" spans="1:5" s="82" customFormat="1" ht="12" customHeight="1" thickBot="1">
      <c r="A65" s="101" t="s">
        <v>475</v>
      </c>
      <c r="B65" s="80" t="s">
        <v>303</v>
      </c>
      <c r="C65" s="95">
        <f>+C8+C15+C22+C29+C37+C49+C55+C60</f>
        <v>98776182.030000001</v>
      </c>
      <c r="D65" s="95">
        <f>+D8+D15+D22+D29+D37+D49+D55+D60</f>
        <v>98776182.030000001</v>
      </c>
      <c r="E65" s="95">
        <f>+E8+E15+E22+E29+E37+E49+E55+E60</f>
        <v>107347927</v>
      </c>
    </row>
    <row r="66" spans="1:5" s="82" customFormat="1" ht="12" customHeight="1" thickBot="1">
      <c r="A66" s="102" t="s">
        <v>304</v>
      </c>
      <c r="B66" s="92" t="s">
        <v>305</v>
      </c>
      <c r="C66" s="81">
        <f>SUM(C67:C69)</f>
        <v>0</v>
      </c>
      <c r="D66" s="81">
        <f>SUM(D67:D69)</f>
        <v>0</v>
      </c>
      <c r="E66" s="81">
        <f>SUM(E67:E69)</f>
        <v>0</v>
      </c>
    </row>
    <row r="67" spans="1:5" s="82" customFormat="1" ht="12" customHeight="1">
      <c r="A67" s="83" t="s">
        <v>336</v>
      </c>
      <c r="B67" s="84" t="s">
        <v>306</v>
      </c>
      <c r="C67" s="98"/>
      <c r="D67" s="98"/>
      <c r="E67" s="98"/>
    </row>
    <row r="68" spans="1:5" s="82" customFormat="1" ht="12" customHeight="1">
      <c r="A68" s="86" t="s">
        <v>345</v>
      </c>
      <c r="B68" s="87" t="s">
        <v>307</v>
      </c>
      <c r="C68" s="98"/>
      <c r="D68" s="98"/>
      <c r="E68" s="98"/>
    </row>
    <row r="69" spans="1:5" s="82" customFormat="1" ht="12" customHeight="1" thickBot="1">
      <c r="A69" s="90" t="s">
        <v>346</v>
      </c>
      <c r="B69" s="103" t="s">
        <v>460</v>
      </c>
      <c r="C69" s="98"/>
      <c r="D69" s="98"/>
      <c r="E69" s="98"/>
    </row>
    <row r="70" spans="1:5" s="82" customFormat="1" ht="12" customHeight="1" thickBot="1">
      <c r="A70" s="102" t="s">
        <v>309</v>
      </c>
      <c r="B70" s="92" t="s">
        <v>310</v>
      </c>
      <c r="C70" s="81">
        <f>SUM(C71:C74)</f>
        <v>0</v>
      </c>
      <c r="D70" s="81">
        <f>SUM(D71:D74)</f>
        <v>0</v>
      </c>
      <c r="E70" s="81">
        <f>SUM(E71:E74)</f>
        <v>0</v>
      </c>
    </row>
    <row r="71" spans="1:5" s="82" customFormat="1" ht="12" customHeight="1">
      <c r="A71" s="83" t="s">
        <v>142</v>
      </c>
      <c r="B71" s="84" t="s">
        <v>311</v>
      </c>
      <c r="C71" s="98"/>
      <c r="D71" s="98"/>
      <c r="E71" s="98"/>
    </row>
    <row r="72" spans="1:5" s="82" customFormat="1" ht="12" customHeight="1">
      <c r="A72" s="86" t="s">
        <v>143</v>
      </c>
      <c r="B72" s="87" t="s">
        <v>312</v>
      </c>
      <c r="C72" s="98"/>
      <c r="D72" s="98"/>
      <c r="E72" s="98"/>
    </row>
    <row r="73" spans="1:5" s="82" customFormat="1" ht="12" customHeight="1">
      <c r="A73" s="86" t="s">
        <v>337</v>
      </c>
      <c r="B73" s="87" t="s">
        <v>313</v>
      </c>
      <c r="C73" s="98"/>
      <c r="D73" s="98"/>
      <c r="E73" s="98"/>
    </row>
    <row r="74" spans="1:5" s="82" customFormat="1" ht="12" customHeight="1" thickBot="1">
      <c r="A74" s="90" t="s">
        <v>338</v>
      </c>
      <c r="B74" s="91" t="s">
        <v>314</v>
      </c>
      <c r="C74" s="98"/>
      <c r="D74" s="98"/>
      <c r="E74" s="98"/>
    </row>
    <row r="75" spans="1:5" s="82" customFormat="1" ht="12" customHeight="1" thickBot="1">
      <c r="A75" s="102" t="s">
        <v>315</v>
      </c>
      <c r="B75" s="92" t="s">
        <v>316</v>
      </c>
      <c r="C75" s="81">
        <f>SUM(C76:C77)</f>
        <v>0</v>
      </c>
      <c r="D75" s="81">
        <f>SUM(D76:D77)</f>
        <v>0</v>
      </c>
      <c r="E75" s="81">
        <f>SUM(E76:E77)</f>
        <v>0</v>
      </c>
    </row>
    <row r="76" spans="1:5" s="82" customFormat="1" ht="12" customHeight="1">
      <c r="A76" s="83" t="s">
        <v>339</v>
      </c>
      <c r="B76" s="84" t="s">
        <v>317</v>
      </c>
      <c r="C76" s="98"/>
      <c r="D76" s="98"/>
      <c r="E76" s="98"/>
    </row>
    <row r="77" spans="1:5" s="82" customFormat="1" ht="12" customHeight="1" thickBot="1">
      <c r="A77" s="90" t="s">
        <v>340</v>
      </c>
      <c r="B77" s="91" t="s">
        <v>318</v>
      </c>
      <c r="C77" s="98"/>
      <c r="D77" s="98"/>
      <c r="E77" s="98"/>
    </row>
    <row r="78" spans="1:5" s="82" customFormat="1" ht="12" customHeight="1" thickBot="1">
      <c r="A78" s="102" t="s">
        <v>319</v>
      </c>
      <c r="B78" s="92" t="s">
        <v>320</v>
      </c>
      <c r="C78" s="81">
        <f>SUM(C79:C81)</f>
        <v>0</v>
      </c>
      <c r="D78" s="81">
        <f>SUM(D79:D81)</f>
        <v>0</v>
      </c>
      <c r="E78" s="81">
        <f>SUM(E79:E81)</f>
        <v>0</v>
      </c>
    </row>
    <row r="79" spans="1:5" s="82" customFormat="1" ht="12" customHeight="1">
      <c r="A79" s="83" t="s">
        <v>341</v>
      </c>
      <c r="B79" s="84" t="s">
        <v>321</v>
      </c>
      <c r="C79" s="98"/>
      <c r="D79" s="98"/>
      <c r="E79" s="98"/>
    </row>
    <row r="80" spans="1:5" s="82" customFormat="1" ht="12" customHeight="1">
      <c r="A80" s="86" t="s">
        <v>342</v>
      </c>
      <c r="B80" s="87" t="s">
        <v>322</v>
      </c>
      <c r="C80" s="98"/>
      <c r="D80" s="98"/>
      <c r="E80" s="98"/>
    </row>
    <row r="81" spans="1:5" s="82" customFormat="1" ht="12" customHeight="1" thickBot="1">
      <c r="A81" s="90" t="s">
        <v>343</v>
      </c>
      <c r="B81" s="91" t="s">
        <v>323</v>
      </c>
      <c r="C81" s="98"/>
      <c r="D81" s="98"/>
      <c r="E81" s="98"/>
    </row>
    <row r="82" spans="1:5" s="82" customFormat="1" ht="12" customHeight="1" thickBot="1">
      <c r="A82" s="102" t="s">
        <v>324</v>
      </c>
      <c r="B82" s="92" t="s">
        <v>344</v>
      </c>
      <c r="C82" s="81">
        <f>SUM(C83:C86)</f>
        <v>0</v>
      </c>
      <c r="D82" s="81">
        <f>SUM(D83:D86)</f>
        <v>0</v>
      </c>
      <c r="E82" s="81">
        <f>SUM(E83:E86)</f>
        <v>0</v>
      </c>
    </row>
    <row r="83" spans="1:5" s="82" customFormat="1" ht="12" customHeight="1">
      <c r="A83" s="104" t="s">
        <v>325</v>
      </c>
      <c r="B83" s="84" t="s">
        <v>326</v>
      </c>
      <c r="C83" s="98"/>
      <c r="D83" s="98"/>
      <c r="E83" s="98"/>
    </row>
    <row r="84" spans="1:5" s="82" customFormat="1" ht="12" customHeight="1">
      <c r="A84" s="105" t="s">
        <v>327</v>
      </c>
      <c r="B84" s="87" t="s">
        <v>328</v>
      </c>
      <c r="C84" s="98"/>
      <c r="D84" s="98"/>
      <c r="E84" s="98"/>
    </row>
    <row r="85" spans="1:5" s="82" customFormat="1" ht="12" customHeight="1">
      <c r="A85" s="105" t="s">
        <v>329</v>
      </c>
      <c r="B85" s="87" t="s">
        <v>330</v>
      </c>
      <c r="C85" s="98"/>
      <c r="D85" s="98"/>
      <c r="E85" s="98"/>
    </row>
    <row r="86" spans="1:5" s="82" customFormat="1" ht="12" customHeight="1" thickBot="1">
      <c r="A86" s="106" t="s">
        <v>331</v>
      </c>
      <c r="B86" s="91" t="s">
        <v>332</v>
      </c>
      <c r="C86" s="98"/>
      <c r="D86" s="98"/>
      <c r="E86" s="98"/>
    </row>
    <row r="87" spans="1:5" s="82" customFormat="1" ht="12" customHeight="1" thickBot="1">
      <c r="A87" s="102" t="s">
        <v>333</v>
      </c>
      <c r="B87" s="92" t="s">
        <v>474</v>
      </c>
      <c r="C87" s="107"/>
      <c r="D87" s="107"/>
      <c r="E87" s="107"/>
    </row>
    <row r="88" spans="1:5" s="82" customFormat="1" ht="13.5" customHeight="1" thickBot="1">
      <c r="A88" s="102" t="s">
        <v>335</v>
      </c>
      <c r="B88" s="92" t="s">
        <v>334</v>
      </c>
      <c r="C88" s="107"/>
      <c r="D88" s="107"/>
      <c r="E88" s="107"/>
    </row>
    <row r="89" spans="1:5" s="82" customFormat="1" ht="15.75" customHeight="1" thickBot="1">
      <c r="A89" s="102" t="s">
        <v>347</v>
      </c>
      <c r="B89" s="108" t="s">
        <v>477</v>
      </c>
      <c r="C89" s="95">
        <f>+C66+C70+C75+C78+C82+C88+C87</f>
        <v>0</v>
      </c>
      <c r="D89" s="95">
        <f>+D66+D70+D75+D78+D82+D88+D87</f>
        <v>0</v>
      </c>
      <c r="E89" s="95">
        <f>+E66+E70+E75+E78+E82+E88+E87</f>
        <v>0</v>
      </c>
    </row>
    <row r="90" spans="1:5" s="82" customFormat="1" ht="16.5" customHeight="1" thickBot="1">
      <c r="A90" s="109" t="s">
        <v>476</v>
      </c>
      <c r="B90" s="110" t="s">
        <v>478</v>
      </c>
      <c r="C90" s="95">
        <f>+C65+C89</f>
        <v>98776182.030000001</v>
      </c>
      <c r="D90" s="95">
        <f>+D65+D89</f>
        <v>98776182.030000001</v>
      </c>
      <c r="E90" s="95">
        <f>+E65+E89</f>
        <v>107347927</v>
      </c>
    </row>
    <row r="91" spans="1:5" s="82" customFormat="1" ht="83.25" customHeight="1">
      <c r="A91" s="111"/>
      <c r="B91" s="112"/>
      <c r="C91" s="113"/>
      <c r="D91" s="113"/>
      <c r="E91" s="113"/>
    </row>
    <row r="92" spans="1:5" s="71" customFormat="1" ht="16.5" customHeight="1">
      <c r="A92" s="692" t="s">
        <v>44</v>
      </c>
      <c r="B92" s="692"/>
    </row>
    <row r="93" spans="1:5" s="115" customFormat="1" ht="16.5" customHeight="1" thickBot="1">
      <c r="A93" s="693" t="s">
        <v>145</v>
      </c>
      <c r="B93" s="693"/>
      <c r="C93" s="114"/>
      <c r="D93" s="114"/>
      <c r="E93" s="114"/>
    </row>
    <row r="94" spans="1:5" s="71" customFormat="1" ht="38.1" customHeight="1" thickBot="1">
      <c r="A94" s="73" t="s">
        <v>66</v>
      </c>
      <c r="B94" s="74" t="s">
        <v>45</v>
      </c>
      <c r="C94" s="16" t="str">
        <f>+C6</f>
        <v>Eredeti előirányzat (2018.01)</v>
      </c>
      <c r="D94" s="16" t="str">
        <f>+D6</f>
        <v>Módosított előirányzat (2018.03)</v>
      </c>
      <c r="E94" s="16" t="str">
        <f>+E6</f>
        <v>Módosított előirányzat (2018.06)</v>
      </c>
    </row>
    <row r="95" spans="1:5" s="78" customFormat="1" ht="12" customHeight="1" thickBot="1">
      <c r="A95" s="116" t="s">
        <v>486</v>
      </c>
      <c r="B95" s="117" t="s">
        <v>487</v>
      </c>
      <c r="C95" s="118" t="s">
        <v>488</v>
      </c>
      <c r="D95" s="118" t="s">
        <v>488</v>
      </c>
      <c r="E95" s="118" t="s">
        <v>488</v>
      </c>
    </row>
    <row r="96" spans="1:5" s="71" customFormat="1" ht="12" customHeight="1" thickBot="1">
      <c r="A96" s="119" t="s">
        <v>16</v>
      </c>
      <c r="B96" s="120" t="s">
        <v>654</v>
      </c>
      <c r="C96" s="121">
        <f>C97+C98+C99+C100+C101+C114</f>
        <v>76932182</v>
      </c>
      <c r="D96" s="121">
        <f>D97+D98+D99+D100+D101+D114</f>
        <v>76932182</v>
      </c>
      <c r="E96" s="121">
        <f>E97+E98+E99+E100+E101+E114</f>
        <v>84503927</v>
      </c>
    </row>
    <row r="97" spans="1:5" s="71" customFormat="1" ht="12" customHeight="1">
      <c r="A97" s="122" t="s">
        <v>95</v>
      </c>
      <c r="B97" s="29" t="s">
        <v>46</v>
      </c>
      <c r="C97" s="123">
        <v>13518800</v>
      </c>
      <c r="D97" s="123">
        <v>13518800</v>
      </c>
      <c r="E97" s="123">
        <f>13518800+2595000-3120000</f>
        <v>12993800</v>
      </c>
    </row>
    <row r="98" spans="1:5" s="71" customFormat="1" ht="12" customHeight="1">
      <c r="A98" s="86" t="s">
        <v>96</v>
      </c>
      <c r="B98" s="32" t="s">
        <v>174</v>
      </c>
      <c r="C98" s="88">
        <v>2792432</v>
      </c>
      <c r="D98" s="88">
        <v>2792432</v>
      </c>
      <c r="E98" s="88">
        <f>2792432+506025-608400</f>
        <v>2690057</v>
      </c>
    </row>
    <row r="99" spans="1:5" s="71" customFormat="1" ht="12" customHeight="1">
      <c r="A99" s="86" t="s">
        <v>97</v>
      </c>
      <c r="B99" s="32" t="s">
        <v>133</v>
      </c>
      <c r="C99" s="93">
        <v>60620950</v>
      </c>
      <c r="D99" s="93">
        <v>60620950</v>
      </c>
      <c r="E99" s="93">
        <f>60620950+190500+6502400+1506220</f>
        <v>68820070</v>
      </c>
    </row>
    <row r="100" spans="1:5" s="71" customFormat="1" ht="12" customHeight="1">
      <c r="A100" s="86" t="s">
        <v>98</v>
      </c>
      <c r="B100" s="124" t="s">
        <v>175</v>
      </c>
      <c r="C100" s="93"/>
      <c r="D100" s="93"/>
      <c r="E100" s="93"/>
    </row>
    <row r="101" spans="1:5" s="71" customFormat="1" ht="12" customHeight="1">
      <c r="A101" s="86" t="s">
        <v>109</v>
      </c>
      <c r="B101" s="125" t="s">
        <v>176</v>
      </c>
      <c r="C101" s="93">
        <f>C102+C103+C104+C105+C106+C108+C109+C110+C111+C112+C113</f>
        <v>0</v>
      </c>
      <c r="D101" s="93">
        <f>D102+D103+D104+D105+D106+D108+D109+D110+D111+D112+D113</f>
        <v>0</v>
      </c>
      <c r="E101" s="93">
        <f>E102+E103+E104+E105+E106+E108+E109+E110+E111+E112+E113</f>
        <v>0</v>
      </c>
    </row>
    <row r="102" spans="1:5" s="71" customFormat="1" ht="12" customHeight="1">
      <c r="A102" s="86" t="s">
        <v>99</v>
      </c>
      <c r="B102" s="32" t="s">
        <v>441</v>
      </c>
      <c r="C102" s="93"/>
      <c r="D102" s="93"/>
      <c r="E102" s="93"/>
    </row>
    <row r="103" spans="1:5" s="71" customFormat="1" ht="12" customHeight="1">
      <c r="A103" s="86" t="s">
        <v>100</v>
      </c>
      <c r="B103" s="126" t="s">
        <v>440</v>
      </c>
      <c r="C103" s="93"/>
      <c r="D103" s="93"/>
      <c r="E103" s="93"/>
    </row>
    <row r="104" spans="1:5" s="71" customFormat="1" ht="12" customHeight="1">
      <c r="A104" s="86" t="s">
        <v>110</v>
      </c>
      <c r="B104" s="126" t="s">
        <v>439</v>
      </c>
      <c r="C104" s="93"/>
      <c r="D104" s="93"/>
      <c r="E104" s="93"/>
    </row>
    <row r="105" spans="1:5" s="71" customFormat="1" ht="12" customHeight="1">
      <c r="A105" s="86" t="s">
        <v>111</v>
      </c>
      <c r="B105" s="127" t="s">
        <v>350</v>
      </c>
      <c r="C105" s="93"/>
      <c r="D105" s="93"/>
      <c r="E105" s="93"/>
    </row>
    <row r="106" spans="1:5" s="71" customFormat="1" ht="12" customHeight="1">
      <c r="A106" s="86" t="s">
        <v>112</v>
      </c>
      <c r="B106" s="128" t="s">
        <v>351</v>
      </c>
      <c r="C106" s="93"/>
      <c r="D106" s="93"/>
      <c r="E106" s="93"/>
    </row>
    <row r="107" spans="1:5" s="71" customFormat="1" ht="12" customHeight="1">
      <c r="A107" s="86" t="s">
        <v>113</v>
      </c>
      <c r="B107" s="128" t="s">
        <v>352</v>
      </c>
      <c r="C107" s="93"/>
      <c r="D107" s="93"/>
      <c r="E107" s="93"/>
    </row>
    <row r="108" spans="1:5" s="71" customFormat="1" ht="12" customHeight="1">
      <c r="A108" s="86" t="s">
        <v>115</v>
      </c>
      <c r="B108" s="127" t="s">
        <v>353</v>
      </c>
      <c r="C108" s="93"/>
      <c r="D108" s="93"/>
      <c r="E108" s="93"/>
    </row>
    <row r="109" spans="1:5" s="71" customFormat="1" ht="12" customHeight="1">
      <c r="A109" s="86" t="s">
        <v>177</v>
      </c>
      <c r="B109" s="127" t="s">
        <v>354</v>
      </c>
      <c r="C109" s="93"/>
      <c r="D109" s="93"/>
      <c r="E109" s="93"/>
    </row>
    <row r="110" spans="1:5" s="71" customFormat="1" ht="12" customHeight="1">
      <c r="A110" s="86" t="s">
        <v>348</v>
      </c>
      <c r="B110" s="128" t="s">
        <v>355</v>
      </c>
      <c r="C110" s="93"/>
      <c r="D110" s="93"/>
      <c r="E110" s="93"/>
    </row>
    <row r="111" spans="1:5" s="71" customFormat="1" ht="12" customHeight="1">
      <c r="A111" s="129" t="s">
        <v>349</v>
      </c>
      <c r="B111" s="126" t="s">
        <v>356</v>
      </c>
      <c r="C111" s="93"/>
      <c r="D111" s="93"/>
      <c r="E111" s="93"/>
    </row>
    <row r="112" spans="1:5" s="71" customFormat="1" ht="12" customHeight="1">
      <c r="A112" s="86" t="s">
        <v>437</v>
      </c>
      <c r="B112" s="126" t="s">
        <v>357</v>
      </c>
      <c r="C112" s="93"/>
      <c r="D112" s="93"/>
      <c r="E112" s="93"/>
    </row>
    <row r="113" spans="1:5" s="71" customFormat="1" ht="12" customHeight="1">
      <c r="A113" s="90" t="s">
        <v>438</v>
      </c>
      <c r="B113" s="126" t="s">
        <v>358</v>
      </c>
      <c r="C113" s="93"/>
      <c r="D113" s="93"/>
      <c r="E113" s="93"/>
    </row>
    <row r="114" spans="1:5" s="71" customFormat="1" ht="12" customHeight="1">
      <c r="A114" s="86" t="s">
        <v>442</v>
      </c>
      <c r="B114" s="124" t="s">
        <v>47</v>
      </c>
      <c r="C114" s="88">
        <f>C115+C116</f>
        <v>0</v>
      </c>
      <c r="D114" s="88">
        <f>D115+D116</f>
        <v>0</v>
      </c>
      <c r="E114" s="88">
        <f>E115+E116</f>
        <v>0</v>
      </c>
    </row>
    <row r="115" spans="1:5" s="71" customFormat="1" ht="12" customHeight="1">
      <c r="A115" s="86" t="s">
        <v>443</v>
      </c>
      <c r="B115" s="32" t="s">
        <v>445</v>
      </c>
      <c r="C115" s="88"/>
      <c r="D115" s="88"/>
      <c r="E115" s="88"/>
    </row>
    <row r="116" spans="1:5" s="71" customFormat="1" ht="12" customHeight="1">
      <c r="A116" s="86" t="s">
        <v>444</v>
      </c>
      <c r="B116" s="163" t="s">
        <v>446</v>
      </c>
      <c r="C116" s="88"/>
      <c r="D116" s="88"/>
      <c r="E116" s="88"/>
    </row>
    <row r="117" spans="1:5" s="71" customFormat="1" ht="12" customHeight="1" thickBot="1">
      <c r="A117" s="133" t="s">
        <v>17</v>
      </c>
      <c r="B117" s="134" t="s">
        <v>655</v>
      </c>
      <c r="C117" s="135">
        <f>+C118+C120+C122</f>
        <v>21844000</v>
      </c>
      <c r="D117" s="135">
        <f>+D118+D120+D122</f>
        <v>21844000</v>
      </c>
      <c r="E117" s="135">
        <f>+E118+E120+E122</f>
        <v>22844000</v>
      </c>
    </row>
    <row r="118" spans="1:5" s="71" customFormat="1" ht="12" customHeight="1">
      <c r="A118" s="83" t="s">
        <v>101</v>
      </c>
      <c r="B118" s="32" t="s">
        <v>219</v>
      </c>
      <c r="C118" s="85">
        <v>15494000</v>
      </c>
      <c r="D118" s="85">
        <v>15494000</v>
      </c>
      <c r="E118" s="85">
        <f>15494000+1000000-76200</f>
        <v>16417800</v>
      </c>
    </row>
    <row r="119" spans="1:5" s="71" customFormat="1" ht="12" customHeight="1">
      <c r="A119" s="83" t="s">
        <v>102</v>
      </c>
      <c r="B119" s="136" t="s">
        <v>362</v>
      </c>
      <c r="C119" s="85"/>
      <c r="D119" s="85"/>
      <c r="E119" s="85"/>
    </row>
    <row r="120" spans="1:5" s="71" customFormat="1" ht="12" customHeight="1">
      <c r="A120" s="83" t="s">
        <v>103</v>
      </c>
      <c r="B120" s="136" t="s">
        <v>178</v>
      </c>
      <c r="C120" s="88">
        <v>6350000</v>
      </c>
      <c r="D120" s="88">
        <v>6350000</v>
      </c>
      <c r="E120" s="88">
        <f>6350000+76200</f>
        <v>6426200</v>
      </c>
    </row>
    <row r="121" spans="1:5" s="71" customFormat="1" ht="12" customHeight="1">
      <c r="A121" s="83" t="s">
        <v>104</v>
      </c>
      <c r="B121" s="136" t="s">
        <v>363</v>
      </c>
      <c r="C121" s="137"/>
      <c r="D121" s="137"/>
      <c r="E121" s="137"/>
    </row>
    <row r="122" spans="1:5" s="71" customFormat="1" ht="12" customHeight="1">
      <c r="A122" s="83" t="s">
        <v>105</v>
      </c>
      <c r="B122" s="91" t="s">
        <v>222</v>
      </c>
      <c r="C122" s="137">
        <f>C123+C124+C125+C126+C127+C128+C129+C130</f>
        <v>0</v>
      </c>
      <c r="D122" s="137">
        <f>D123+D124+D125+D126+D127+D128+D129+D130</f>
        <v>0</v>
      </c>
      <c r="E122" s="137">
        <f>E123+E124+E125+E126+E127+E128+E129+E130</f>
        <v>0</v>
      </c>
    </row>
    <row r="123" spans="1:5" s="71" customFormat="1" ht="12" customHeight="1">
      <c r="A123" s="83" t="s">
        <v>114</v>
      </c>
      <c r="B123" s="89" t="s">
        <v>425</v>
      </c>
      <c r="C123" s="137"/>
      <c r="D123" s="137"/>
      <c r="E123" s="137"/>
    </row>
    <row r="124" spans="1:5" s="71" customFormat="1" ht="12" customHeight="1">
      <c r="A124" s="83" t="s">
        <v>116</v>
      </c>
      <c r="B124" s="138" t="s">
        <v>368</v>
      </c>
      <c r="C124" s="137"/>
      <c r="D124" s="137"/>
      <c r="E124" s="137"/>
    </row>
    <row r="125" spans="1:5" s="71" customFormat="1" ht="15.75">
      <c r="A125" s="83" t="s">
        <v>179</v>
      </c>
      <c r="B125" s="128" t="s">
        <v>352</v>
      </c>
      <c r="C125" s="137"/>
      <c r="D125" s="137"/>
      <c r="E125" s="137"/>
    </row>
    <row r="126" spans="1:5" s="71" customFormat="1" ht="12" customHeight="1">
      <c r="A126" s="83" t="s">
        <v>180</v>
      </c>
      <c r="B126" s="128" t="s">
        <v>367</v>
      </c>
      <c r="C126" s="137"/>
      <c r="D126" s="137"/>
      <c r="E126" s="137"/>
    </row>
    <row r="127" spans="1:5" s="71" customFormat="1" ht="12" customHeight="1">
      <c r="A127" s="83" t="s">
        <v>181</v>
      </c>
      <c r="B127" s="128" t="s">
        <v>366</v>
      </c>
      <c r="C127" s="137"/>
      <c r="D127" s="137"/>
      <c r="E127" s="137"/>
    </row>
    <row r="128" spans="1:5" s="71" customFormat="1" ht="12" customHeight="1">
      <c r="A128" s="83" t="s">
        <v>359</v>
      </c>
      <c r="B128" s="128" t="s">
        <v>355</v>
      </c>
      <c r="C128" s="137"/>
      <c r="D128" s="137"/>
      <c r="E128" s="137"/>
    </row>
    <row r="129" spans="1:5" s="71" customFormat="1" ht="12" customHeight="1">
      <c r="A129" s="83" t="s">
        <v>360</v>
      </c>
      <c r="B129" s="128" t="s">
        <v>365</v>
      </c>
      <c r="C129" s="137">
        <f>2000000-2000000</f>
        <v>0</v>
      </c>
      <c r="D129" s="137">
        <f>2000000-2000000</f>
        <v>0</v>
      </c>
      <c r="E129" s="137">
        <f>2000000-2000000</f>
        <v>0</v>
      </c>
    </row>
    <row r="130" spans="1:5" s="71" customFormat="1" ht="16.5" thickBot="1">
      <c r="A130" s="129" t="s">
        <v>361</v>
      </c>
      <c r="B130" s="128" t="s">
        <v>364</v>
      </c>
      <c r="C130" s="139"/>
      <c r="D130" s="139"/>
      <c r="E130" s="139"/>
    </row>
    <row r="131" spans="1:5" s="71" customFormat="1" ht="12" customHeight="1" thickBot="1">
      <c r="A131" s="79" t="s">
        <v>18</v>
      </c>
      <c r="B131" s="40" t="s">
        <v>447</v>
      </c>
      <c r="C131" s="81">
        <f>+C96+C117</f>
        <v>98776182</v>
      </c>
      <c r="D131" s="81">
        <f>+D96+D117</f>
        <v>98776182</v>
      </c>
      <c r="E131" s="81">
        <f>+E96+E117</f>
        <v>107347927</v>
      </c>
    </row>
    <row r="132" spans="1:5" s="71" customFormat="1" ht="12" customHeight="1" thickBot="1">
      <c r="A132" s="79" t="s">
        <v>19</v>
      </c>
      <c r="B132" s="40" t="s">
        <v>448</v>
      </c>
      <c r="C132" s="81">
        <f>+C133+C134+C135</f>
        <v>0</v>
      </c>
      <c r="D132" s="81">
        <f>+D133+D134+D135</f>
        <v>0</v>
      </c>
      <c r="E132" s="81">
        <f>+E133+E134+E135</f>
        <v>0</v>
      </c>
    </row>
    <row r="133" spans="1:5" s="71" customFormat="1" ht="12" customHeight="1">
      <c r="A133" s="83" t="s">
        <v>260</v>
      </c>
      <c r="B133" s="136" t="s">
        <v>455</v>
      </c>
      <c r="C133" s="137"/>
      <c r="D133" s="137"/>
      <c r="E133" s="137"/>
    </row>
    <row r="134" spans="1:5" s="71" customFormat="1" ht="12" customHeight="1">
      <c r="A134" s="83" t="s">
        <v>263</v>
      </c>
      <c r="B134" s="136" t="s">
        <v>456</v>
      </c>
      <c r="C134" s="137"/>
      <c r="D134" s="137"/>
      <c r="E134" s="137"/>
    </row>
    <row r="135" spans="1:5" s="71" customFormat="1" ht="12" customHeight="1" thickBot="1">
      <c r="A135" s="129" t="s">
        <v>264</v>
      </c>
      <c r="B135" s="136" t="s">
        <v>457</v>
      </c>
      <c r="C135" s="137"/>
      <c r="D135" s="137"/>
      <c r="E135" s="137"/>
    </row>
    <row r="136" spans="1:5" s="71" customFormat="1" ht="12" customHeight="1" thickBot="1">
      <c r="A136" s="79" t="s">
        <v>20</v>
      </c>
      <c r="B136" s="40" t="s">
        <v>449</v>
      </c>
      <c r="C136" s="81">
        <f>SUM(C137:C142)</f>
        <v>0</v>
      </c>
      <c r="D136" s="81">
        <f>SUM(D137:D142)</f>
        <v>0</v>
      </c>
      <c r="E136" s="81">
        <f>SUM(E137:E142)</f>
        <v>0</v>
      </c>
    </row>
    <row r="137" spans="1:5" s="71" customFormat="1" ht="12" customHeight="1">
      <c r="A137" s="83" t="s">
        <v>88</v>
      </c>
      <c r="B137" s="38" t="s">
        <v>458</v>
      </c>
      <c r="C137" s="137"/>
      <c r="D137" s="137"/>
      <c r="E137" s="137"/>
    </row>
    <row r="138" spans="1:5" s="71" customFormat="1" ht="12" customHeight="1">
      <c r="A138" s="83" t="s">
        <v>89</v>
      </c>
      <c r="B138" s="38" t="s">
        <v>450</v>
      </c>
      <c r="C138" s="137"/>
      <c r="D138" s="137"/>
      <c r="E138" s="137"/>
    </row>
    <row r="139" spans="1:5" s="71" customFormat="1" ht="12" customHeight="1">
      <c r="A139" s="83" t="s">
        <v>90</v>
      </c>
      <c r="B139" s="38" t="s">
        <v>451</v>
      </c>
      <c r="C139" s="137"/>
      <c r="D139" s="137"/>
      <c r="E139" s="137"/>
    </row>
    <row r="140" spans="1:5" s="71" customFormat="1" ht="12" customHeight="1">
      <c r="A140" s="83" t="s">
        <v>166</v>
      </c>
      <c r="B140" s="38" t="s">
        <v>452</v>
      </c>
      <c r="C140" s="137"/>
      <c r="D140" s="137"/>
      <c r="E140" s="137"/>
    </row>
    <row r="141" spans="1:5" s="71" customFormat="1" ht="12" customHeight="1">
      <c r="A141" s="83" t="s">
        <v>167</v>
      </c>
      <c r="B141" s="38" t="s">
        <v>453</v>
      </c>
      <c r="C141" s="137"/>
      <c r="D141" s="137"/>
      <c r="E141" s="137"/>
    </row>
    <row r="142" spans="1:5" s="71" customFormat="1" ht="12" customHeight="1" thickBot="1">
      <c r="A142" s="129" t="s">
        <v>168</v>
      </c>
      <c r="B142" s="38" t="s">
        <v>454</v>
      </c>
      <c r="C142" s="137"/>
      <c r="D142" s="137"/>
      <c r="E142" s="137"/>
    </row>
    <row r="143" spans="1:5" s="71" customFormat="1" ht="12" customHeight="1" thickBot="1">
      <c r="A143" s="79" t="s">
        <v>21</v>
      </c>
      <c r="B143" s="40" t="s">
        <v>462</v>
      </c>
      <c r="C143" s="95">
        <f>+C144+C145+C146+C147</f>
        <v>0</v>
      </c>
      <c r="D143" s="95">
        <f>+D144+D145+D146+D147</f>
        <v>0</v>
      </c>
      <c r="E143" s="95">
        <f>+E144+E145+E146+E147</f>
        <v>0</v>
      </c>
    </row>
    <row r="144" spans="1:5" s="71" customFormat="1" ht="12" customHeight="1">
      <c r="A144" s="83" t="s">
        <v>91</v>
      </c>
      <c r="B144" s="38" t="s">
        <v>369</v>
      </c>
      <c r="C144" s="137"/>
      <c r="D144" s="137"/>
      <c r="E144" s="137"/>
    </row>
    <row r="145" spans="1:5" s="71" customFormat="1" ht="12" customHeight="1">
      <c r="A145" s="83" t="s">
        <v>92</v>
      </c>
      <c r="B145" s="38" t="s">
        <v>370</v>
      </c>
      <c r="C145" s="137"/>
      <c r="D145" s="137"/>
      <c r="E145" s="137"/>
    </row>
    <row r="146" spans="1:5" s="71" customFormat="1" ht="12" customHeight="1">
      <c r="A146" s="83" t="s">
        <v>284</v>
      </c>
      <c r="B146" s="38" t="s">
        <v>463</v>
      </c>
      <c r="C146" s="137"/>
      <c r="D146" s="137"/>
      <c r="E146" s="137"/>
    </row>
    <row r="147" spans="1:5" s="71" customFormat="1" ht="12" customHeight="1" thickBot="1">
      <c r="A147" s="129" t="s">
        <v>285</v>
      </c>
      <c r="B147" s="34" t="s">
        <v>389</v>
      </c>
      <c r="C147" s="137"/>
      <c r="D147" s="137"/>
      <c r="E147" s="137"/>
    </row>
    <row r="148" spans="1:5" s="71" customFormat="1" ht="12" customHeight="1" thickBot="1">
      <c r="A148" s="79" t="s">
        <v>22</v>
      </c>
      <c r="B148" s="40" t="s">
        <v>464</v>
      </c>
      <c r="C148" s="140">
        <f>SUM(C149:C153)</f>
        <v>0</v>
      </c>
      <c r="D148" s="140">
        <f>SUM(D149:D153)</f>
        <v>0</v>
      </c>
      <c r="E148" s="140">
        <f>SUM(E149:E153)</f>
        <v>0</v>
      </c>
    </row>
    <row r="149" spans="1:5" s="71" customFormat="1" ht="12" customHeight="1">
      <c r="A149" s="83" t="s">
        <v>93</v>
      </c>
      <c r="B149" s="38" t="s">
        <v>459</v>
      </c>
      <c r="C149" s="137"/>
      <c r="D149" s="137"/>
      <c r="E149" s="137"/>
    </row>
    <row r="150" spans="1:5" s="71" customFormat="1" ht="12" customHeight="1">
      <c r="A150" s="83" t="s">
        <v>94</v>
      </c>
      <c r="B150" s="38" t="s">
        <v>466</v>
      </c>
      <c r="C150" s="137"/>
      <c r="D150" s="137"/>
      <c r="E150" s="137"/>
    </row>
    <row r="151" spans="1:5" s="71" customFormat="1" ht="12" customHeight="1">
      <c r="A151" s="83" t="s">
        <v>296</v>
      </c>
      <c r="B151" s="38" t="s">
        <v>461</v>
      </c>
      <c r="C151" s="137"/>
      <c r="D151" s="137"/>
      <c r="E151" s="137"/>
    </row>
    <row r="152" spans="1:5" s="71" customFormat="1" ht="12" customHeight="1">
      <c r="A152" s="83" t="s">
        <v>297</v>
      </c>
      <c r="B152" s="38" t="s">
        <v>467</v>
      </c>
      <c r="C152" s="137"/>
      <c r="D152" s="137"/>
      <c r="E152" s="137"/>
    </row>
    <row r="153" spans="1:5" s="71" customFormat="1" ht="12" customHeight="1" thickBot="1">
      <c r="A153" s="83" t="s">
        <v>465</v>
      </c>
      <c r="B153" s="38" t="s">
        <v>468</v>
      </c>
      <c r="C153" s="137"/>
      <c r="D153" s="137"/>
      <c r="E153" s="137"/>
    </row>
    <row r="154" spans="1:5" s="71" customFormat="1" ht="12" customHeight="1" thickBot="1">
      <c r="A154" s="79" t="s">
        <v>23</v>
      </c>
      <c r="B154" s="40" t="s">
        <v>469</v>
      </c>
      <c r="C154" s="141"/>
      <c r="D154" s="141"/>
      <c r="E154" s="141"/>
    </row>
    <row r="155" spans="1:5" s="71" customFormat="1" ht="12" customHeight="1" thickBot="1">
      <c r="A155" s="79" t="s">
        <v>24</v>
      </c>
      <c r="B155" s="40" t="s">
        <v>470</v>
      </c>
      <c r="C155" s="141"/>
      <c r="D155" s="141"/>
      <c r="E155" s="141"/>
    </row>
    <row r="156" spans="1:5" s="71" customFormat="1" ht="15" customHeight="1" thickBot="1">
      <c r="A156" s="79" t="s">
        <v>25</v>
      </c>
      <c r="B156" s="40" t="s">
        <v>472</v>
      </c>
      <c r="C156" s="142">
        <f>+C132+C136+C143+C148+C154+C155</f>
        <v>0</v>
      </c>
      <c r="D156" s="142">
        <f>+D132+D136+D143+D148+D154+D155</f>
        <v>0</v>
      </c>
      <c r="E156" s="142">
        <f>+E132+E136+E143+E148+E154+E155</f>
        <v>0</v>
      </c>
    </row>
    <row r="157" spans="1:5" s="82" customFormat="1" ht="12.95" customHeight="1" thickBot="1">
      <c r="A157" s="144" t="s">
        <v>26</v>
      </c>
      <c r="B157" s="145" t="s">
        <v>471</v>
      </c>
      <c r="C157" s="142">
        <f>+C131+C156</f>
        <v>98776182</v>
      </c>
      <c r="D157" s="142">
        <f>+D131+D156</f>
        <v>98776182</v>
      </c>
      <c r="E157" s="142">
        <f>+E131+E156</f>
        <v>107347927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80" orientation="landscape" verticalDpi="300" r:id="rId1"/>
  <headerFooter alignWithMargins="0">
    <oddFooter>&amp;P. oldal, összesen: &amp;N</oddFooter>
  </headerFooter>
  <rowBreaks count="3" manualBreakCount="3">
    <brk id="49" max="16383" man="1"/>
    <brk id="90" max="16383" man="1"/>
    <brk id="1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7030A0"/>
  </sheetPr>
  <dimension ref="A1:E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66" customWidth="1"/>
    <col min="2" max="2" width="72" style="17" customWidth="1"/>
    <col min="3" max="5" width="25" style="67" customWidth="1"/>
    <col min="6" max="16384" width="9.33203125" style="156"/>
  </cols>
  <sheetData>
    <row r="1" spans="1:5" s="148" customFormat="1" ht="16.5" customHeight="1" thickBot="1">
      <c r="A1" s="1"/>
      <c r="B1" s="149" t="s">
        <v>764</v>
      </c>
      <c r="C1" s="149"/>
      <c r="D1" s="149"/>
      <c r="E1" s="149"/>
    </row>
    <row r="2" spans="1:5" s="151" customFormat="1" ht="21" customHeight="1">
      <c r="A2" s="4" t="s">
        <v>58</v>
      </c>
      <c r="B2" s="5" t="s">
        <v>539</v>
      </c>
      <c r="C2" s="150" t="s">
        <v>51</v>
      </c>
      <c r="D2" s="150" t="s">
        <v>51</v>
      </c>
      <c r="E2" s="150" t="s">
        <v>51</v>
      </c>
    </row>
    <row r="3" spans="1:5" s="151" customFormat="1" ht="16.5" thickBot="1">
      <c r="A3" s="152" t="s">
        <v>193</v>
      </c>
      <c r="B3" s="9" t="s">
        <v>522</v>
      </c>
      <c r="C3" s="153" t="s">
        <v>428</v>
      </c>
      <c r="D3" s="153" t="s">
        <v>428</v>
      </c>
      <c r="E3" s="153" t="s">
        <v>428</v>
      </c>
    </row>
    <row r="4" spans="1:5" s="154" customFormat="1" ht="15.95" customHeight="1" thickBot="1">
      <c r="A4" s="11"/>
      <c r="B4" s="11"/>
      <c r="C4" s="12" t="s">
        <v>589</v>
      </c>
      <c r="D4" s="12" t="s">
        <v>589</v>
      </c>
      <c r="E4" s="12" t="s">
        <v>589</v>
      </c>
    </row>
    <row r="5" spans="1:5" ht="26.25" thickBot="1">
      <c r="A5" s="14" t="s">
        <v>195</v>
      </c>
      <c r="B5" s="15" t="s">
        <v>52</v>
      </c>
      <c r="C5" s="155" t="s">
        <v>688</v>
      </c>
      <c r="D5" s="305" t="s">
        <v>739</v>
      </c>
      <c r="E5" s="305" t="s">
        <v>744</v>
      </c>
    </row>
    <row r="6" spans="1:5" s="157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  <c r="E6" s="20" t="s">
        <v>488</v>
      </c>
    </row>
    <row r="7" spans="1:5" s="157" customFormat="1" ht="15.95" customHeight="1" thickBot="1">
      <c r="A7" s="22"/>
      <c r="B7" s="23" t="s">
        <v>53</v>
      </c>
      <c r="C7" s="158"/>
      <c r="D7" s="158"/>
      <c r="E7" s="158"/>
    </row>
    <row r="8" spans="1:5" s="157" customFormat="1" ht="12" customHeight="1" thickBot="1">
      <c r="A8" s="116" t="s">
        <v>16</v>
      </c>
      <c r="B8" s="80" t="s">
        <v>244</v>
      </c>
      <c r="C8" s="81">
        <f>+C9+C10+C11+C12+C13+C14</f>
        <v>0</v>
      </c>
      <c r="D8" s="81">
        <f>+D9+D10+D11+D12+D13+D14</f>
        <v>0</v>
      </c>
      <c r="E8" s="81">
        <f>+E9+E10+E11+E12+E13+E14</f>
        <v>0</v>
      </c>
    </row>
    <row r="9" spans="1:5" s="279" customFormat="1" ht="12" customHeight="1">
      <c r="A9" s="278" t="s">
        <v>95</v>
      </c>
      <c r="B9" s="84" t="s">
        <v>245</v>
      </c>
      <c r="C9" s="85"/>
      <c r="D9" s="85"/>
      <c r="E9" s="85"/>
    </row>
    <row r="10" spans="1:5" s="281" customFormat="1" ht="12" customHeight="1">
      <c r="A10" s="280" t="s">
        <v>96</v>
      </c>
      <c r="B10" s="87" t="s">
        <v>246</v>
      </c>
      <c r="C10" s="88"/>
      <c r="D10" s="88"/>
      <c r="E10" s="88"/>
    </row>
    <row r="11" spans="1:5" s="281" customFormat="1" ht="12" customHeight="1">
      <c r="A11" s="280" t="s">
        <v>97</v>
      </c>
      <c r="B11" s="87" t="s">
        <v>247</v>
      </c>
      <c r="C11" s="88"/>
      <c r="D11" s="88"/>
      <c r="E11" s="88"/>
    </row>
    <row r="12" spans="1:5" s="281" customFormat="1" ht="12" customHeight="1">
      <c r="A12" s="280" t="s">
        <v>98</v>
      </c>
      <c r="B12" s="87" t="s">
        <v>248</v>
      </c>
      <c r="C12" s="88"/>
      <c r="D12" s="88"/>
      <c r="E12" s="88"/>
    </row>
    <row r="13" spans="1:5" s="281" customFormat="1" ht="12" customHeight="1">
      <c r="A13" s="280" t="s">
        <v>141</v>
      </c>
      <c r="B13" s="87" t="s">
        <v>500</v>
      </c>
      <c r="C13" s="88"/>
      <c r="D13" s="88"/>
      <c r="E13" s="88"/>
    </row>
    <row r="14" spans="1:5" s="279" customFormat="1" ht="12" customHeight="1" thickBot="1">
      <c r="A14" s="282" t="s">
        <v>99</v>
      </c>
      <c r="B14" s="94" t="s">
        <v>430</v>
      </c>
      <c r="C14" s="88"/>
      <c r="D14" s="88"/>
      <c r="E14" s="88"/>
    </row>
    <row r="15" spans="1:5" s="279" customFormat="1" ht="12" customHeight="1" thickBot="1">
      <c r="A15" s="116" t="s">
        <v>17</v>
      </c>
      <c r="B15" s="92" t="s">
        <v>249</v>
      </c>
      <c r="C15" s="81">
        <f>+C16+C17+C18+C19+C20</f>
        <v>0</v>
      </c>
      <c r="D15" s="81">
        <f>+D16+D17+D18+D19+D20</f>
        <v>0</v>
      </c>
      <c r="E15" s="81">
        <f>+E16+E17+E18+E19+E20</f>
        <v>0</v>
      </c>
    </row>
    <row r="16" spans="1:5" s="279" customFormat="1" ht="12" customHeight="1">
      <c r="A16" s="278" t="s">
        <v>101</v>
      </c>
      <c r="B16" s="84" t="s">
        <v>250</v>
      </c>
      <c r="C16" s="85"/>
      <c r="D16" s="85"/>
      <c r="E16" s="85"/>
    </row>
    <row r="17" spans="1:5" s="279" customFormat="1" ht="12" customHeight="1">
      <c r="A17" s="280" t="s">
        <v>102</v>
      </c>
      <c r="B17" s="87" t="s">
        <v>251</v>
      </c>
      <c r="C17" s="88"/>
      <c r="D17" s="88"/>
      <c r="E17" s="88"/>
    </row>
    <row r="18" spans="1:5" s="279" customFormat="1" ht="12" customHeight="1">
      <c r="A18" s="280" t="s">
        <v>103</v>
      </c>
      <c r="B18" s="87" t="s">
        <v>419</v>
      </c>
      <c r="C18" s="88"/>
      <c r="D18" s="88"/>
      <c r="E18" s="88"/>
    </row>
    <row r="19" spans="1:5" s="279" customFormat="1" ht="12" customHeight="1">
      <c r="A19" s="280" t="s">
        <v>104</v>
      </c>
      <c r="B19" s="87" t="s">
        <v>420</v>
      </c>
      <c r="C19" s="88"/>
      <c r="D19" s="88"/>
      <c r="E19" s="88"/>
    </row>
    <row r="20" spans="1:5" s="279" customFormat="1" ht="12" customHeight="1">
      <c r="A20" s="280" t="s">
        <v>105</v>
      </c>
      <c r="B20" s="87" t="s">
        <v>252</v>
      </c>
      <c r="C20" s="88"/>
      <c r="D20" s="88"/>
      <c r="E20" s="88"/>
    </row>
    <row r="21" spans="1:5" s="281" customFormat="1" ht="12" customHeight="1" thickBot="1">
      <c r="A21" s="282" t="s">
        <v>114</v>
      </c>
      <c r="B21" s="94" t="s">
        <v>253</v>
      </c>
      <c r="C21" s="93"/>
      <c r="D21" s="93"/>
      <c r="E21" s="93"/>
    </row>
    <row r="22" spans="1:5" s="281" customFormat="1" ht="12" customHeight="1" thickBot="1">
      <c r="A22" s="116" t="s">
        <v>18</v>
      </c>
      <c r="B22" s="80" t="s">
        <v>254</v>
      </c>
      <c r="C22" s="81">
        <f>+C23+C24+C25+C26+C27</f>
        <v>0</v>
      </c>
      <c r="D22" s="81">
        <f>+D23+D24+D25+D26+D27</f>
        <v>0</v>
      </c>
      <c r="E22" s="81">
        <f>+E23+E24+E25+E26+E27</f>
        <v>0</v>
      </c>
    </row>
    <row r="23" spans="1:5" s="281" customFormat="1" ht="12" customHeight="1">
      <c r="A23" s="278" t="s">
        <v>84</v>
      </c>
      <c r="B23" s="84" t="s">
        <v>255</v>
      </c>
      <c r="C23" s="85"/>
      <c r="D23" s="85"/>
      <c r="E23" s="85"/>
    </row>
    <row r="24" spans="1:5" s="279" customFormat="1" ht="12" customHeight="1">
      <c r="A24" s="280" t="s">
        <v>85</v>
      </c>
      <c r="B24" s="87" t="s">
        <v>256</v>
      </c>
      <c r="C24" s="88"/>
      <c r="D24" s="88"/>
      <c r="E24" s="88"/>
    </row>
    <row r="25" spans="1:5" s="281" customFormat="1" ht="12" customHeight="1">
      <c r="A25" s="280" t="s">
        <v>86</v>
      </c>
      <c r="B25" s="87" t="s">
        <v>421</v>
      </c>
      <c r="C25" s="88"/>
      <c r="D25" s="88"/>
      <c r="E25" s="88"/>
    </row>
    <row r="26" spans="1:5" s="281" customFormat="1" ht="12" customHeight="1">
      <c r="A26" s="280" t="s">
        <v>87</v>
      </c>
      <c r="B26" s="87" t="s">
        <v>422</v>
      </c>
      <c r="C26" s="88"/>
      <c r="D26" s="88"/>
      <c r="E26" s="88"/>
    </row>
    <row r="27" spans="1:5" s="281" customFormat="1" ht="12" customHeight="1">
      <c r="A27" s="280" t="s">
        <v>162</v>
      </c>
      <c r="B27" s="87" t="s">
        <v>257</v>
      </c>
      <c r="C27" s="88"/>
      <c r="D27" s="88"/>
      <c r="E27" s="88"/>
    </row>
    <row r="28" spans="1:5" s="281" customFormat="1" ht="12" customHeight="1" thickBot="1">
      <c r="A28" s="282" t="s">
        <v>163</v>
      </c>
      <c r="B28" s="94" t="s">
        <v>258</v>
      </c>
      <c r="C28" s="93"/>
      <c r="D28" s="93"/>
      <c r="E28" s="93"/>
    </row>
    <row r="29" spans="1:5" s="281" customFormat="1" ht="12" customHeight="1" thickBot="1">
      <c r="A29" s="116" t="s">
        <v>164</v>
      </c>
      <c r="B29" s="80" t="s">
        <v>259</v>
      </c>
      <c r="C29" s="95">
        <f>+C30+C34+C35+C36</f>
        <v>0</v>
      </c>
      <c r="D29" s="95">
        <f>+D30+D34+D35+D36</f>
        <v>0</v>
      </c>
      <c r="E29" s="95">
        <f>+E30+E34+E35+E36</f>
        <v>0</v>
      </c>
    </row>
    <row r="30" spans="1:5" s="281" customFormat="1" ht="12" customHeight="1">
      <c r="A30" s="278" t="s">
        <v>260</v>
      </c>
      <c r="B30" s="84" t="s">
        <v>501</v>
      </c>
      <c r="C30" s="96">
        <f>+C31+C32+C33</f>
        <v>0</v>
      </c>
      <c r="D30" s="96">
        <f>+D31+D32+D33</f>
        <v>0</v>
      </c>
      <c r="E30" s="96">
        <f>+E31+E32+E33</f>
        <v>0</v>
      </c>
    </row>
    <row r="31" spans="1:5" s="281" customFormat="1" ht="12" customHeight="1">
      <c r="A31" s="280" t="s">
        <v>261</v>
      </c>
      <c r="B31" s="87" t="s">
        <v>266</v>
      </c>
      <c r="C31" s="88"/>
      <c r="D31" s="88"/>
      <c r="E31" s="88"/>
    </row>
    <row r="32" spans="1:5" s="281" customFormat="1" ht="12" customHeight="1">
      <c r="A32" s="280" t="s">
        <v>262</v>
      </c>
      <c r="B32" s="87" t="s">
        <v>267</v>
      </c>
      <c r="C32" s="88"/>
      <c r="D32" s="88"/>
      <c r="E32" s="88"/>
    </row>
    <row r="33" spans="1:5" s="281" customFormat="1" ht="12" customHeight="1">
      <c r="A33" s="280" t="s">
        <v>434</v>
      </c>
      <c r="B33" s="97" t="s">
        <v>435</v>
      </c>
      <c r="C33" s="88"/>
      <c r="D33" s="88"/>
      <c r="E33" s="88"/>
    </row>
    <row r="34" spans="1:5" s="281" customFormat="1" ht="12" customHeight="1">
      <c r="A34" s="280" t="s">
        <v>263</v>
      </c>
      <c r="B34" s="87" t="s">
        <v>268</v>
      </c>
      <c r="C34" s="88"/>
      <c r="D34" s="88"/>
      <c r="E34" s="88"/>
    </row>
    <row r="35" spans="1:5" s="281" customFormat="1" ht="12" customHeight="1">
      <c r="A35" s="280" t="s">
        <v>264</v>
      </c>
      <c r="B35" s="87" t="s">
        <v>269</v>
      </c>
      <c r="C35" s="88"/>
      <c r="D35" s="88"/>
      <c r="E35" s="88"/>
    </row>
    <row r="36" spans="1:5" s="281" customFormat="1" ht="12" customHeight="1" thickBot="1">
      <c r="A36" s="282" t="s">
        <v>265</v>
      </c>
      <c r="B36" s="94" t="s">
        <v>270</v>
      </c>
      <c r="C36" s="93"/>
      <c r="D36" s="93"/>
      <c r="E36" s="93"/>
    </row>
    <row r="37" spans="1:5" s="281" customFormat="1" ht="12" customHeight="1" thickBot="1">
      <c r="A37" s="116" t="s">
        <v>20</v>
      </c>
      <c r="B37" s="80" t="s">
        <v>431</v>
      </c>
      <c r="C37" s="81">
        <f>SUM(C38:C48)</f>
        <v>0</v>
      </c>
      <c r="D37" s="81">
        <f>SUM(D38:D48)</f>
        <v>0</v>
      </c>
      <c r="E37" s="81">
        <f>SUM(E38:E48)</f>
        <v>0</v>
      </c>
    </row>
    <row r="38" spans="1:5" s="281" customFormat="1" ht="12" customHeight="1">
      <c r="A38" s="278" t="s">
        <v>88</v>
      </c>
      <c r="B38" s="84" t="s">
        <v>273</v>
      </c>
      <c r="C38" s="85"/>
      <c r="D38" s="85"/>
      <c r="E38" s="85"/>
    </row>
    <row r="39" spans="1:5" s="281" customFormat="1" ht="12" customHeight="1">
      <c r="A39" s="280" t="s">
        <v>89</v>
      </c>
      <c r="B39" s="87" t="s">
        <v>274</v>
      </c>
      <c r="C39" s="88"/>
      <c r="D39" s="88"/>
      <c r="E39" s="88"/>
    </row>
    <row r="40" spans="1:5" s="281" customFormat="1" ht="12" customHeight="1">
      <c r="A40" s="280" t="s">
        <v>90</v>
      </c>
      <c r="B40" s="87" t="s">
        <v>275</v>
      </c>
      <c r="C40" s="88"/>
      <c r="D40" s="88"/>
      <c r="E40" s="88"/>
    </row>
    <row r="41" spans="1:5" s="281" customFormat="1" ht="12" customHeight="1">
      <c r="A41" s="280" t="s">
        <v>166</v>
      </c>
      <c r="B41" s="87" t="s">
        <v>276</v>
      </c>
      <c r="C41" s="88"/>
      <c r="D41" s="88"/>
      <c r="E41" s="88"/>
    </row>
    <row r="42" spans="1:5" s="281" customFormat="1" ht="12" customHeight="1">
      <c r="A42" s="280" t="s">
        <v>167</v>
      </c>
      <c r="B42" s="87" t="s">
        <v>277</v>
      </c>
      <c r="C42" s="88"/>
      <c r="D42" s="88"/>
      <c r="E42" s="88"/>
    </row>
    <row r="43" spans="1:5" s="281" customFormat="1" ht="12" customHeight="1">
      <c r="A43" s="280" t="s">
        <v>168</v>
      </c>
      <c r="B43" s="87" t="s">
        <v>278</v>
      </c>
      <c r="C43" s="88"/>
      <c r="D43" s="88"/>
      <c r="E43" s="88"/>
    </row>
    <row r="44" spans="1:5" s="281" customFormat="1" ht="12" customHeight="1">
      <c r="A44" s="280" t="s">
        <v>169</v>
      </c>
      <c r="B44" s="87" t="s">
        <v>279</v>
      </c>
      <c r="C44" s="88"/>
      <c r="D44" s="88"/>
      <c r="E44" s="88"/>
    </row>
    <row r="45" spans="1:5" s="281" customFormat="1" ht="12" customHeight="1">
      <c r="A45" s="280" t="s">
        <v>170</v>
      </c>
      <c r="B45" s="87" t="s">
        <v>280</v>
      </c>
      <c r="C45" s="88"/>
      <c r="D45" s="88"/>
      <c r="E45" s="88"/>
    </row>
    <row r="46" spans="1:5" s="281" customFormat="1" ht="12" customHeight="1">
      <c r="A46" s="280" t="s">
        <v>271</v>
      </c>
      <c r="B46" s="87" t="s">
        <v>281</v>
      </c>
      <c r="C46" s="98"/>
      <c r="D46" s="98"/>
      <c r="E46" s="98"/>
    </row>
    <row r="47" spans="1:5" s="281" customFormat="1" ht="12" customHeight="1">
      <c r="A47" s="282" t="s">
        <v>272</v>
      </c>
      <c r="B47" s="94" t="s">
        <v>433</v>
      </c>
      <c r="C47" s="99"/>
      <c r="D47" s="99"/>
      <c r="E47" s="99"/>
    </row>
    <row r="48" spans="1:5" s="281" customFormat="1" ht="12" customHeight="1" thickBot="1">
      <c r="A48" s="282" t="s">
        <v>432</v>
      </c>
      <c r="B48" s="94" t="s">
        <v>282</v>
      </c>
      <c r="C48" s="99"/>
      <c r="D48" s="99"/>
      <c r="E48" s="99"/>
    </row>
    <row r="49" spans="1:5" s="281" customFormat="1" ht="12" customHeight="1" thickBot="1">
      <c r="A49" s="116" t="s">
        <v>21</v>
      </c>
      <c r="B49" s="80" t="s">
        <v>283</v>
      </c>
      <c r="C49" s="81">
        <f>SUM(C50:C54)</f>
        <v>0</v>
      </c>
      <c r="D49" s="81">
        <f>SUM(D50:D54)</f>
        <v>0</v>
      </c>
      <c r="E49" s="81">
        <f>SUM(E50:E54)</f>
        <v>0</v>
      </c>
    </row>
    <row r="50" spans="1:5" s="281" customFormat="1" ht="12" customHeight="1">
      <c r="A50" s="278" t="s">
        <v>91</v>
      </c>
      <c r="B50" s="84" t="s">
        <v>287</v>
      </c>
      <c r="C50" s="100"/>
      <c r="D50" s="100"/>
      <c r="E50" s="100"/>
    </row>
    <row r="51" spans="1:5" s="281" customFormat="1" ht="12" customHeight="1">
      <c r="A51" s="280" t="s">
        <v>92</v>
      </c>
      <c r="B51" s="87" t="s">
        <v>288</v>
      </c>
      <c r="C51" s="98"/>
      <c r="D51" s="98"/>
      <c r="E51" s="98"/>
    </row>
    <row r="52" spans="1:5" s="281" customFormat="1" ht="12" customHeight="1">
      <c r="A52" s="280" t="s">
        <v>284</v>
      </c>
      <c r="B52" s="87" t="s">
        <v>289</v>
      </c>
      <c r="C52" s="98"/>
      <c r="D52" s="98"/>
      <c r="E52" s="98"/>
    </row>
    <row r="53" spans="1:5" s="281" customFormat="1" ht="12" customHeight="1">
      <c r="A53" s="280" t="s">
        <v>285</v>
      </c>
      <c r="B53" s="87" t="s">
        <v>290</v>
      </c>
      <c r="C53" s="98"/>
      <c r="D53" s="98"/>
      <c r="E53" s="98"/>
    </row>
    <row r="54" spans="1:5" s="281" customFormat="1" ht="12" customHeight="1" thickBot="1">
      <c r="A54" s="282" t="s">
        <v>286</v>
      </c>
      <c r="B54" s="94" t="s">
        <v>291</v>
      </c>
      <c r="C54" s="99"/>
      <c r="D54" s="99"/>
      <c r="E54" s="99"/>
    </row>
    <row r="55" spans="1:5" s="281" customFormat="1" ht="12" customHeight="1" thickBot="1">
      <c r="A55" s="116" t="s">
        <v>171</v>
      </c>
      <c r="B55" s="80" t="s">
        <v>292</v>
      </c>
      <c r="C55" s="81">
        <f>SUM(C56:C58)</f>
        <v>0</v>
      </c>
      <c r="D55" s="81">
        <f>SUM(D56:D58)</f>
        <v>0</v>
      </c>
      <c r="E55" s="81">
        <f>SUM(E56:E58)</f>
        <v>0</v>
      </c>
    </row>
    <row r="56" spans="1:5" s="281" customFormat="1" ht="12" customHeight="1">
      <c r="A56" s="278" t="s">
        <v>93</v>
      </c>
      <c r="B56" s="84" t="s">
        <v>293</v>
      </c>
      <c r="C56" s="85"/>
      <c r="D56" s="85"/>
      <c r="E56" s="85"/>
    </row>
    <row r="57" spans="1:5" s="281" customFormat="1" ht="12" customHeight="1">
      <c r="A57" s="280" t="s">
        <v>94</v>
      </c>
      <c r="B57" s="87" t="s">
        <v>423</v>
      </c>
      <c r="C57" s="88"/>
      <c r="D57" s="88"/>
      <c r="E57" s="88"/>
    </row>
    <row r="58" spans="1:5" s="281" customFormat="1" ht="12" customHeight="1">
      <c r="A58" s="280" t="s">
        <v>296</v>
      </c>
      <c r="B58" s="87" t="s">
        <v>294</v>
      </c>
      <c r="C58" s="88"/>
      <c r="D58" s="88"/>
      <c r="E58" s="88"/>
    </row>
    <row r="59" spans="1:5" s="281" customFormat="1" ht="12" customHeight="1" thickBot="1">
      <c r="A59" s="282" t="s">
        <v>297</v>
      </c>
      <c r="B59" s="94" t="s">
        <v>295</v>
      </c>
      <c r="C59" s="93"/>
      <c r="D59" s="93"/>
      <c r="E59" s="93"/>
    </row>
    <row r="60" spans="1:5" s="281" customFormat="1" ht="12" customHeight="1" thickBot="1">
      <c r="A60" s="116" t="s">
        <v>23</v>
      </c>
      <c r="B60" s="92" t="s">
        <v>298</v>
      </c>
      <c r="C60" s="81">
        <f>SUM(C61:C63)</f>
        <v>0</v>
      </c>
      <c r="D60" s="81">
        <f>SUM(D61:D63)</f>
        <v>0</v>
      </c>
      <c r="E60" s="81">
        <f>SUM(E61:E63)</f>
        <v>0</v>
      </c>
    </row>
    <row r="61" spans="1:5" s="281" customFormat="1" ht="12" customHeight="1">
      <c r="A61" s="278" t="s">
        <v>172</v>
      </c>
      <c r="B61" s="84" t="s">
        <v>300</v>
      </c>
      <c r="C61" s="98"/>
      <c r="D61" s="98"/>
      <c r="E61" s="98"/>
    </row>
    <row r="62" spans="1:5" s="281" customFormat="1" ht="12" customHeight="1">
      <c r="A62" s="280" t="s">
        <v>173</v>
      </c>
      <c r="B62" s="87" t="s">
        <v>424</v>
      </c>
      <c r="C62" s="98"/>
      <c r="D62" s="98"/>
      <c r="E62" s="98"/>
    </row>
    <row r="63" spans="1:5" s="281" customFormat="1" ht="12" customHeight="1">
      <c r="A63" s="280" t="s">
        <v>221</v>
      </c>
      <c r="B63" s="87" t="s">
        <v>301</v>
      </c>
      <c r="C63" s="98"/>
      <c r="D63" s="98"/>
      <c r="E63" s="98"/>
    </row>
    <row r="64" spans="1:5" s="281" customFormat="1" ht="12" customHeight="1" thickBot="1">
      <c r="A64" s="282" t="s">
        <v>299</v>
      </c>
      <c r="B64" s="94" t="s">
        <v>302</v>
      </c>
      <c r="C64" s="98"/>
      <c r="D64" s="98"/>
      <c r="E64" s="98"/>
    </row>
    <row r="65" spans="1:5" s="281" customFormat="1" ht="12" customHeight="1" thickBot="1">
      <c r="A65" s="116" t="s">
        <v>24</v>
      </c>
      <c r="B65" s="80" t="s">
        <v>303</v>
      </c>
      <c r="C65" s="95">
        <f>+C8+C15+C22+C29+C37+C49+C55+C60</f>
        <v>0</v>
      </c>
      <c r="D65" s="95">
        <f>+D8+D15+D22+D29+D37+D49+D55+D60</f>
        <v>0</v>
      </c>
      <c r="E65" s="95">
        <f>+E8+E15+E22+E29+E37+E49+E55+E60</f>
        <v>0</v>
      </c>
    </row>
    <row r="66" spans="1:5" s="281" customFormat="1" ht="12" customHeight="1" thickBot="1">
      <c r="A66" s="283" t="s">
        <v>393</v>
      </c>
      <c r="B66" s="92" t="s">
        <v>305</v>
      </c>
      <c r="C66" s="81">
        <f>SUM(C67:C69)</f>
        <v>0</v>
      </c>
      <c r="D66" s="81">
        <f>SUM(D67:D69)</f>
        <v>0</v>
      </c>
      <c r="E66" s="81">
        <f>SUM(E67:E69)</f>
        <v>0</v>
      </c>
    </row>
    <row r="67" spans="1:5" s="281" customFormat="1" ht="12" customHeight="1">
      <c r="A67" s="278" t="s">
        <v>336</v>
      </c>
      <c r="B67" s="84" t="s">
        <v>306</v>
      </c>
      <c r="C67" s="98"/>
      <c r="D67" s="98"/>
      <c r="E67" s="98"/>
    </row>
    <row r="68" spans="1:5" s="281" customFormat="1" ht="12" customHeight="1">
      <c r="A68" s="280" t="s">
        <v>345</v>
      </c>
      <c r="B68" s="87" t="s">
        <v>307</v>
      </c>
      <c r="C68" s="98"/>
      <c r="D68" s="98"/>
      <c r="E68" s="98"/>
    </row>
    <row r="69" spans="1:5" s="281" customFormat="1" ht="12" customHeight="1" thickBot="1">
      <c r="A69" s="282" t="s">
        <v>346</v>
      </c>
      <c r="B69" s="284" t="s">
        <v>308</v>
      </c>
      <c r="C69" s="98"/>
      <c r="D69" s="98"/>
      <c r="E69" s="98"/>
    </row>
    <row r="70" spans="1:5" s="281" customFormat="1" ht="12" customHeight="1" thickBot="1">
      <c r="A70" s="283" t="s">
        <v>309</v>
      </c>
      <c r="B70" s="92" t="s">
        <v>310</v>
      </c>
      <c r="C70" s="81">
        <f>SUM(C71:C74)</f>
        <v>0</v>
      </c>
      <c r="D70" s="81">
        <f>SUM(D71:D74)</f>
        <v>0</v>
      </c>
      <c r="E70" s="81">
        <f>SUM(E71:E74)</f>
        <v>0</v>
      </c>
    </row>
    <row r="71" spans="1:5" s="281" customFormat="1" ht="12" customHeight="1">
      <c r="A71" s="278" t="s">
        <v>142</v>
      </c>
      <c r="B71" s="84" t="s">
        <v>311</v>
      </c>
      <c r="C71" s="98"/>
      <c r="D71" s="98"/>
      <c r="E71" s="98"/>
    </row>
    <row r="72" spans="1:5" s="281" customFormat="1" ht="12" customHeight="1">
      <c r="A72" s="280" t="s">
        <v>143</v>
      </c>
      <c r="B72" s="87" t="s">
        <v>312</v>
      </c>
      <c r="C72" s="98"/>
      <c r="D72" s="98"/>
      <c r="E72" s="98"/>
    </row>
    <row r="73" spans="1:5" s="281" customFormat="1" ht="12" customHeight="1">
      <c r="A73" s="280" t="s">
        <v>337</v>
      </c>
      <c r="B73" s="87" t="s">
        <v>313</v>
      </c>
      <c r="C73" s="98"/>
      <c r="D73" s="98"/>
      <c r="E73" s="98"/>
    </row>
    <row r="74" spans="1:5" s="281" customFormat="1" ht="12" customHeight="1" thickBot="1">
      <c r="A74" s="282" t="s">
        <v>338</v>
      </c>
      <c r="B74" s="94" t="s">
        <v>314</v>
      </c>
      <c r="C74" s="98"/>
      <c r="D74" s="98"/>
      <c r="E74" s="98"/>
    </row>
    <row r="75" spans="1:5" s="281" customFormat="1" ht="12" customHeight="1" thickBot="1">
      <c r="A75" s="283" t="s">
        <v>315</v>
      </c>
      <c r="B75" s="92" t="s">
        <v>316</v>
      </c>
      <c r="C75" s="81">
        <f>SUM(C76:C77)</f>
        <v>0</v>
      </c>
      <c r="D75" s="81">
        <f>SUM(D76:D77)</f>
        <v>0</v>
      </c>
      <c r="E75" s="81">
        <f>SUM(E76:E77)</f>
        <v>0</v>
      </c>
    </row>
    <row r="76" spans="1:5" s="281" customFormat="1" ht="12" customHeight="1">
      <c r="A76" s="278" t="s">
        <v>339</v>
      </c>
      <c r="B76" s="84" t="s">
        <v>317</v>
      </c>
      <c r="C76" s="98"/>
      <c r="D76" s="98"/>
      <c r="E76" s="98"/>
    </row>
    <row r="77" spans="1:5" s="281" customFormat="1" ht="12" customHeight="1" thickBot="1">
      <c r="A77" s="282" t="s">
        <v>340</v>
      </c>
      <c r="B77" s="94" t="s">
        <v>318</v>
      </c>
      <c r="C77" s="98"/>
      <c r="D77" s="98"/>
      <c r="E77" s="98"/>
    </row>
    <row r="78" spans="1:5" s="279" customFormat="1" ht="12" customHeight="1" thickBot="1">
      <c r="A78" s="283" t="s">
        <v>319</v>
      </c>
      <c r="B78" s="92" t="s">
        <v>320</v>
      </c>
      <c r="C78" s="81">
        <f>SUM(C79:C81)</f>
        <v>0</v>
      </c>
      <c r="D78" s="81">
        <f>SUM(D79:D81)</f>
        <v>0</v>
      </c>
      <c r="E78" s="81">
        <f>SUM(E79:E81)</f>
        <v>0</v>
      </c>
    </row>
    <row r="79" spans="1:5" s="281" customFormat="1" ht="12" customHeight="1">
      <c r="A79" s="278" t="s">
        <v>341</v>
      </c>
      <c r="B79" s="84" t="s">
        <v>321</v>
      </c>
      <c r="C79" s="98"/>
      <c r="D79" s="98"/>
      <c r="E79" s="98"/>
    </row>
    <row r="80" spans="1:5" s="281" customFormat="1" ht="12" customHeight="1">
      <c r="A80" s="280" t="s">
        <v>342</v>
      </c>
      <c r="B80" s="87" t="s">
        <v>322</v>
      </c>
      <c r="C80" s="98"/>
      <c r="D80" s="98"/>
      <c r="E80" s="98"/>
    </row>
    <row r="81" spans="1:5" s="281" customFormat="1" ht="12" customHeight="1" thickBot="1">
      <c r="A81" s="282" t="s">
        <v>343</v>
      </c>
      <c r="B81" s="94" t="s">
        <v>323</v>
      </c>
      <c r="C81" s="98"/>
      <c r="D81" s="98"/>
      <c r="E81" s="98"/>
    </row>
    <row r="82" spans="1:5" s="281" customFormat="1" ht="12" customHeight="1" thickBot="1">
      <c r="A82" s="283" t="s">
        <v>324</v>
      </c>
      <c r="B82" s="92" t="s">
        <v>344</v>
      </c>
      <c r="C82" s="81">
        <f>SUM(C83:C86)</f>
        <v>0</v>
      </c>
      <c r="D82" s="81">
        <f>SUM(D83:D86)</f>
        <v>0</v>
      </c>
      <c r="E82" s="81">
        <f>SUM(E83:E86)</f>
        <v>0</v>
      </c>
    </row>
    <row r="83" spans="1:5" s="281" customFormat="1" ht="12" customHeight="1">
      <c r="A83" s="285" t="s">
        <v>325</v>
      </c>
      <c r="B83" s="84" t="s">
        <v>326</v>
      </c>
      <c r="C83" s="98"/>
      <c r="D83" s="98"/>
      <c r="E83" s="98"/>
    </row>
    <row r="84" spans="1:5" s="281" customFormat="1" ht="12" customHeight="1">
      <c r="A84" s="286" t="s">
        <v>327</v>
      </c>
      <c r="B84" s="87" t="s">
        <v>328</v>
      </c>
      <c r="C84" s="98"/>
      <c r="D84" s="98"/>
      <c r="E84" s="98"/>
    </row>
    <row r="85" spans="1:5" s="281" customFormat="1" ht="12" customHeight="1">
      <c r="A85" s="286" t="s">
        <v>329</v>
      </c>
      <c r="B85" s="87" t="s">
        <v>330</v>
      </c>
      <c r="C85" s="98"/>
      <c r="D85" s="98"/>
      <c r="E85" s="98"/>
    </row>
    <row r="86" spans="1:5" s="279" customFormat="1" ht="12" customHeight="1" thickBot="1">
      <c r="A86" s="287" t="s">
        <v>331</v>
      </c>
      <c r="B86" s="94" t="s">
        <v>332</v>
      </c>
      <c r="C86" s="98"/>
      <c r="D86" s="98"/>
      <c r="E86" s="98"/>
    </row>
    <row r="87" spans="1:5" s="279" customFormat="1" ht="12" customHeight="1" thickBot="1">
      <c r="A87" s="283" t="s">
        <v>333</v>
      </c>
      <c r="B87" s="92" t="s">
        <v>474</v>
      </c>
      <c r="C87" s="107"/>
      <c r="D87" s="107"/>
      <c r="E87" s="107"/>
    </row>
    <row r="88" spans="1:5" s="279" customFormat="1" ht="12" customHeight="1" thickBot="1">
      <c r="A88" s="283" t="s">
        <v>502</v>
      </c>
      <c r="B88" s="92" t="s">
        <v>334</v>
      </c>
      <c r="C88" s="107"/>
      <c r="D88" s="107"/>
      <c r="E88" s="107"/>
    </row>
    <row r="89" spans="1:5" s="279" customFormat="1" ht="12" customHeight="1" thickBot="1">
      <c r="A89" s="283" t="s">
        <v>503</v>
      </c>
      <c r="B89" s="108" t="s">
        <v>477</v>
      </c>
      <c r="C89" s="95">
        <f>+C66+C70+C75+C78+C82+C88+C87</f>
        <v>0</v>
      </c>
      <c r="D89" s="95">
        <f>+D66+D70+D75+D78+D82+D88+D87</f>
        <v>0</v>
      </c>
      <c r="E89" s="95">
        <f>+E66+E70+E75+E78+E82+E88+E87</f>
        <v>0</v>
      </c>
    </row>
    <row r="90" spans="1:5" s="279" customFormat="1" ht="12" customHeight="1" thickBot="1">
      <c r="A90" s="288" t="s">
        <v>504</v>
      </c>
      <c r="B90" s="110" t="s">
        <v>505</v>
      </c>
      <c r="C90" s="95">
        <f>+C65+C89</f>
        <v>0</v>
      </c>
      <c r="D90" s="95">
        <f>+D65+D89</f>
        <v>0</v>
      </c>
      <c r="E90" s="95">
        <f>+E65+E89</f>
        <v>0</v>
      </c>
    </row>
    <row r="91" spans="1:5" s="281" customFormat="1" ht="15" customHeight="1" thickBot="1">
      <c r="A91" s="54"/>
      <c r="B91" s="55"/>
      <c r="C91" s="56"/>
      <c r="D91" s="56"/>
      <c r="E91" s="56"/>
    </row>
    <row r="92" spans="1:5" s="157" customFormat="1" ht="26.25" thickBot="1">
      <c r="A92" s="60"/>
      <c r="B92" s="61" t="s">
        <v>54</v>
      </c>
      <c r="C92" s="155" t="s">
        <v>688</v>
      </c>
      <c r="D92" s="305" t="s">
        <v>739</v>
      </c>
      <c r="E92" s="305" t="s">
        <v>744</v>
      </c>
    </row>
    <row r="93" spans="1:5" s="289" customFormat="1" ht="12" customHeight="1" thickBot="1">
      <c r="A93" s="75" t="s">
        <v>16</v>
      </c>
      <c r="B93" s="120" t="s">
        <v>660</v>
      </c>
      <c r="C93" s="121">
        <f>+C94+C95+C96+C97+C98+C111</f>
        <v>0</v>
      </c>
      <c r="D93" s="121">
        <f>+D94+D95+D96+D97+D98+D111</f>
        <v>0</v>
      </c>
      <c r="E93" s="121">
        <f>+E94+E95+E96+E97+E98+E111</f>
        <v>0</v>
      </c>
    </row>
    <row r="94" spans="1:5" ht="12" customHeight="1">
      <c r="A94" s="290" t="s">
        <v>95</v>
      </c>
      <c r="B94" s="29" t="s">
        <v>46</v>
      </c>
      <c r="C94" s="123"/>
      <c r="D94" s="123"/>
      <c r="E94" s="123"/>
    </row>
    <row r="95" spans="1:5" ht="12" customHeight="1">
      <c r="A95" s="280" t="s">
        <v>96</v>
      </c>
      <c r="B95" s="32" t="s">
        <v>174</v>
      </c>
      <c r="C95" s="88"/>
      <c r="D95" s="88"/>
      <c r="E95" s="88"/>
    </row>
    <row r="96" spans="1:5" ht="12" customHeight="1">
      <c r="A96" s="280" t="s">
        <v>97</v>
      </c>
      <c r="B96" s="32" t="s">
        <v>133</v>
      </c>
      <c r="C96" s="93"/>
      <c r="D96" s="93"/>
      <c r="E96" s="93"/>
    </row>
    <row r="97" spans="1:5" ht="12" customHeight="1">
      <c r="A97" s="280" t="s">
        <v>98</v>
      </c>
      <c r="B97" s="124" t="s">
        <v>175</v>
      </c>
      <c r="C97" s="93"/>
      <c r="D97" s="93"/>
      <c r="E97" s="93"/>
    </row>
    <row r="98" spans="1:5" ht="12" customHeight="1">
      <c r="A98" s="280" t="s">
        <v>109</v>
      </c>
      <c r="B98" s="125" t="s">
        <v>176</v>
      </c>
      <c r="C98" s="93"/>
      <c r="D98" s="93"/>
      <c r="E98" s="93"/>
    </row>
    <row r="99" spans="1:5" ht="12" customHeight="1">
      <c r="A99" s="280" t="s">
        <v>99</v>
      </c>
      <c r="B99" s="32" t="s">
        <v>506</v>
      </c>
      <c r="C99" s="93"/>
      <c r="D99" s="93"/>
      <c r="E99" s="93"/>
    </row>
    <row r="100" spans="1:5" ht="12" customHeight="1">
      <c r="A100" s="280" t="s">
        <v>100</v>
      </c>
      <c r="B100" s="127" t="s">
        <v>440</v>
      </c>
      <c r="C100" s="93"/>
      <c r="D100" s="93"/>
      <c r="E100" s="93"/>
    </row>
    <row r="101" spans="1:5" ht="12" customHeight="1">
      <c r="A101" s="280" t="s">
        <v>110</v>
      </c>
      <c r="B101" s="127" t="s">
        <v>439</v>
      </c>
      <c r="C101" s="93"/>
      <c r="D101" s="93"/>
      <c r="E101" s="93"/>
    </row>
    <row r="102" spans="1:5" ht="12" customHeight="1">
      <c r="A102" s="280" t="s">
        <v>111</v>
      </c>
      <c r="B102" s="127" t="s">
        <v>350</v>
      </c>
      <c r="C102" s="93"/>
      <c r="D102" s="93"/>
      <c r="E102" s="93"/>
    </row>
    <row r="103" spans="1:5" ht="12" customHeight="1">
      <c r="A103" s="280" t="s">
        <v>112</v>
      </c>
      <c r="B103" s="128" t="s">
        <v>351</v>
      </c>
      <c r="C103" s="93"/>
      <c r="D103" s="93"/>
      <c r="E103" s="93"/>
    </row>
    <row r="104" spans="1:5" ht="12" customHeight="1">
      <c r="A104" s="280" t="s">
        <v>113</v>
      </c>
      <c r="B104" s="128" t="s">
        <v>352</v>
      </c>
      <c r="C104" s="93"/>
      <c r="D104" s="93"/>
      <c r="E104" s="93"/>
    </row>
    <row r="105" spans="1:5" ht="12" customHeight="1">
      <c r="A105" s="280" t="s">
        <v>115</v>
      </c>
      <c r="B105" s="127" t="s">
        <v>353</v>
      </c>
      <c r="C105" s="93"/>
      <c r="D105" s="93"/>
      <c r="E105" s="93"/>
    </row>
    <row r="106" spans="1:5" ht="12" customHeight="1">
      <c r="A106" s="280" t="s">
        <v>177</v>
      </c>
      <c r="B106" s="127" t="s">
        <v>354</v>
      </c>
      <c r="C106" s="93"/>
      <c r="D106" s="93"/>
      <c r="E106" s="93"/>
    </row>
    <row r="107" spans="1:5" ht="12" customHeight="1">
      <c r="A107" s="280" t="s">
        <v>348</v>
      </c>
      <c r="B107" s="128" t="s">
        <v>355</v>
      </c>
      <c r="C107" s="93"/>
      <c r="D107" s="93"/>
      <c r="E107" s="93"/>
    </row>
    <row r="108" spans="1:5" ht="12" customHeight="1">
      <c r="A108" s="291" t="s">
        <v>349</v>
      </c>
      <c r="B108" s="126" t="s">
        <v>356</v>
      </c>
      <c r="C108" s="93"/>
      <c r="D108" s="93"/>
      <c r="E108" s="93"/>
    </row>
    <row r="109" spans="1:5" ht="12" customHeight="1">
      <c r="A109" s="280" t="s">
        <v>437</v>
      </c>
      <c r="B109" s="126" t="s">
        <v>357</v>
      </c>
      <c r="C109" s="93"/>
      <c r="D109" s="93"/>
      <c r="E109" s="93"/>
    </row>
    <row r="110" spans="1:5" ht="12" customHeight="1">
      <c r="A110" s="280" t="s">
        <v>438</v>
      </c>
      <c r="B110" s="128" t="s">
        <v>358</v>
      </c>
      <c r="C110" s="88"/>
      <c r="D110" s="88"/>
      <c r="E110" s="88"/>
    </row>
    <row r="111" spans="1:5" ht="12" customHeight="1">
      <c r="A111" s="280" t="s">
        <v>442</v>
      </c>
      <c r="B111" s="124" t="s">
        <v>47</v>
      </c>
      <c r="C111" s="88"/>
      <c r="D111" s="88"/>
      <c r="E111" s="88"/>
    </row>
    <row r="112" spans="1:5" ht="12" customHeight="1">
      <c r="A112" s="282" t="s">
        <v>443</v>
      </c>
      <c r="B112" s="32" t="s">
        <v>507</v>
      </c>
      <c r="C112" s="93"/>
      <c r="D112" s="93"/>
      <c r="E112" s="93"/>
    </row>
    <row r="113" spans="1:5" ht="12" customHeight="1" thickBot="1">
      <c r="A113" s="292" t="s">
        <v>444</v>
      </c>
      <c r="B113" s="293" t="s">
        <v>508</v>
      </c>
      <c r="C113" s="132"/>
      <c r="D113" s="132"/>
      <c r="E113" s="132"/>
    </row>
    <row r="114" spans="1:5" ht="12" customHeight="1" thickBot="1">
      <c r="A114" s="116" t="s">
        <v>17</v>
      </c>
      <c r="B114" s="147" t="s">
        <v>655</v>
      </c>
      <c r="C114" s="81">
        <f>+C115+C117+C119</f>
        <v>0</v>
      </c>
      <c r="D114" s="81">
        <f>+D115+D117+D119</f>
        <v>0</v>
      </c>
      <c r="E114" s="81">
        <f>+E115+E117+E119</f>
        <v>0</v>
      </c>
    </row>
    <row r="115" spans="1:5" ht="12" customHeight="1">
      <c r="A115" s="278" t="s">
        <v>101</v>
      </c>
      <c r="B115" s="32" t="s">
        <v>219</v>
      </c>
      <c r="C115" s="85"/>
      <c r="D115" s="85"/>
      <c r="E115" s="85"/>
    </row>
    <row r="116" spans="1:5" ht="12" customHeight="1">
      <c r="A116" s="278" t="s">
        <v>102</v>
      </c>
      <c r="B116" s="136" t="s">
        <v>362</v>
      </c>
      <c r="C116" s="85"/>
      <c r="D116" s="85"/>
      <c r="E116" s="85"/>
    </row>
    <row r="117" spans="1:5" ht="12" customHeight="1">
      <c r="A117" s="278" t="s">
        <v>103</v>
      </c>
      <c r="B117" s="136" t="s">
        <v>178</v>
      </c>
      <c r="C117" s="88"/>
      <c r="D117" s="88"/>
      <c r="E117" s="88"/>
    </row>
    <row r="118" spans="1:5" ht="12" customHeight="1">
      <c r="A118" s="278" t="s">
        <v>104</v>
      </c>
      <c r="B118" s="136" t="s">
        <v>363</v>
      </c>
      <c r="C118" s="137"/>
      <c r="D118" s="137"/>
      <c r="E118" s="137"/>
    </row>
    <row r="119" spans="1:5" ht="12" customHeight="1">
      <c r="A119" s="278" t="s">
        <v>105</v>
      </c>
      <c r="B119" s="91" t="s">
        <v>222</v>
      </c>
      <c r="C119" s="137"/>
      <c r="D119" s="137"/>
      <c r="E119" s="137"/>
    </row>
    <row r="120" spans="1:5" ht="12" customHeight="1">
      <c r="A120" s="278" t="s">
        <v>114</v>
      </c>
      <c r="B120" s="89" t="s">
        <v>425</v>
      </c>
      <c r="C120" s="137"/>
      <c r="D120" s="137"/>
      <c r="E120" s="137"/>
    </row>
    <row r="121" spans="1:5" ht="12" customHeight="1">
      <c r="A121" s="278" t="s">
        <v>116</v>
      </c>
      <c r="B121" s="138" t="s">
        <v>368</v>
      </c>
      <c r="C121" s="137"/>
      <c r="D121" s="137"/>
      <c r="E121" s="137"/>
    </row>
    <row r="122" spans="1:5" ht="12" customHeight="1">
      <c r="A122" s="278" t="s">
        <v>179</v>
      </c>
      <c r="B122" s="128" t="s">
        <v>352</v>
      </c>
      <c r="C122" s="137"/>
      <c r="D122" s="137"/>
      <c r="E122" s="137"/>
    </row>
    <row r="123" spans="1:5" ht="12" customHeight="1">
      <c r="A123" s="278" t="s">
        <v>180</v>
      </c>
      <c r="B123" s="128" t="s">
        <v>367</v>
      </c>
      <c r="C123" s="137"/>
      <c r="D123" s="137"/>
      <c r="E123" s="137"/>
    </row>
    <row r="124" spans="1:5" ht="12" customHeight="1">
      <c r="A124" s="278" t="s">
        <v>181</v>
      </c>
      <c r="B124" s="128" t="s">
        <v>366</v>
      </c>
      <c r="C124" s="137"/>
      <c r="D124" s="137"/>
      <c r="E124" s="137"/>
    </row>
    <row r="125" spans="1:5" ht="12" customHeight="1">
      <c r="A125" s="278" t="s">
        <v>359</v>
      </c>
      <c r="B125" s="128" t="s">
        <v>355</v>
      </c>
      <c r="C125" s="137"/>
      <c r="D125" s="137"/>
      <c r="E125" s="137"/>
    </row>
    <row r="126" spans="1:5" ht="12" customHeight="1">
      <c r="A126" s="278" t="s">
        <v>360</v>
      </c>
      <c r="B126" s="128" t="s">
        <v>365</v>
      </c>
      <c r="C126" s="137"/>
      <c r="D126" s="137"/>
      <c r="E126" s="137"/>
    </row>
    <row r="127" spans="1:5" ht="12" customHeight="1" thickBot="1">
      <c r="A127" s="291" t="s">
        <v>361</v>
      </c>
      <c r="B127" s="128" t="s">
        <v>364</v>
      </c>
      <c r="C127" s="139"/>
      <c r="D127" s="139"/>
      <c r="E127" s="139"/>
    </row>
    <row r="128" spans="1:5" ht="12" customHeight="1" thickBot="1">
      <c r="A128" s="116" t="s">
        <v>18</v>
      </c>
      <c r="B128" s="40" t="s">
        <v>447</v>
      </c>
      <c r="C128" s="81">
        <f>+C93+C114</f>
        <v>0</v>
      </c>
      <c r="D128" s="81">
        <f>+D93+D114</f>
        <v>0</v>
      </c>
      <c r="E128" s="81">
        <f>+E93+E114</f>
        <v>0</v>
      </c>
    </row>
    <row r="129" spans="1:5" ht="12" customHeight="1" thickBot="1">
      <c r="A129" s="116" t="s">
        <v>19</v>
      </c>
      <c r="B129" s="40" t="s">
        <v>448</v>
      </c>
      <c r="C129" s="81">
        <f>+C130+C131+C132</f>
        <v>0</v>
      </c>
      <c r="D129" s="81">
        <f>+D130+D131+D132</f>
        <v>0</v>
      </c>
      <c r="E129" s="81">
        <f>+E130+E131+E132</f>
        <v>0</v>
      </c>
    </row>
    <row r="130" spans="1:5" s="289" customFormat="1" ht="12" customHeight="1">
      <c r="A130" s="278" t="s">
        <v>260</v>
      </c>
      <c r="B130" s="38" t="s">
        <v>511</v>
      </c>
      <c r="C130" s="137"/>
      <c r="D130" s="137"/>
      <c r="E130" s="137"/>
    </row>
    <row r="131" spans="1:5" ht="12" customHeight="1">
      <c r="A131" s="278" t="s">
        <v>263</v>
      </c>
      <c r="B131" s="38" t="s">
        <v>456</v>
      </c>
      <c r="C131" s="137"/>
      <c r="D131" s="137"/>
      <c r="E131" s="137"/>
    </row>
    <row r="132" spans="1:5" ht="12" customHeight="1" thickBot="1">
      <c r="A132" s="291" t="s">
        <v>264</v>
      </c>
      <c r="B132" s="34" t="s">
        <v>510</v>
      </c>
      <c r="C132" s="137"/>
      <c r="D132" s="137"/>
      <c r="E132" s="137"/>
    </row>
    <row r="133" spans="1:5" ht="12" customHeight="1" thickBot="1">
      <c r="A133" s="116" t="s">
        <v>20</v>
      </c>
      <c r="B133" s="40" t="s">
        <v>449</v>
      </c>
      <c r="C133" s="81">
        <f>+C134+C135+C136+C137+C138+C139</f>
        <v>0</v>
      </c>
      <c r="D133" s="81">
        <f>+D134+D135+D136+D137+D138+D139</f>
        <v>0</v>
      </c>
      <c r="E133" s="81">
        <f>+E134+E135+E136+E137+E138+E139</f>
        <v>0</v>
      </c>
    </row>
    <row r="134" spans="1:5" ht="12" customHeight="1">
      <c r="A134" s="278" t="s">
        <v>88</v>
      </c>
      <c r="B134" s="38" t="s">
        <v>458</v>
      </c>
      <c r="C134" s="137"/>
      <c r="D134" s="137"/>
      <c r="E134" s="137"/>
    </row>
    <row r="135" spans="1:5" ht="12" customHeight="1">
      <c r="A135" s="278" t="s">
        <v>89</v>
      </c>
      <c r="B135" s="38" t="s">
        <v>450</v>
      </c>
      <c r="C135" s="137"/>
      <c r="D135" s="137"/>
      <c r="E135" s="137"/>
    </row>
    <row r="136" spans="1:5" ht="12" customHeight="1">
      <c r="A136" s="278" t="s">
        <v>90</v>
      </c>
      <c r="B136" s="38" t="s">
        <v>451</v>
      </c>
      <c r="C136" s="137"/>
      <c r="D136" s="137"/>
      <c r="E136" s="137"/>
    </row>
    <row r="137" spans="1:5" ht="12" customHeight="1">
      <c r="A137" s="278" t="s">
        <v>166</v>
      </c>
      <c r="B137" s="38" t="s">
        <v>509</v>
      </c>
      <c r="C137" s="137"/>
      <c r="D137" s="137"/>
      <c r="E137" s="137"/>
    </row>
    <row r="138" spans="1:5" ht="12" customHeight="1">
      <c r="A138" s="278" t="s">
        <v>167</v>
      </c>
      <c r="B138" s="38" t="s">
        <v>453</v>
      </c>
      <c r="C138" s="137"/>
      <c r="D138" s="137"/>
      <c r="E138" s="137"/>
    </row>
    <row r="139" spans="1:5" s="289" customFormat="1" ht="12" customHeight="1" thickBot="1">
      <c r="A139" s="291" t="s">
        <v>168</v>
      </c>
      <c r="B139" s="34" t="s">
        <v>454</v>
      </c>
      <c r="C139" s="137"/>
      <c r="D139" s="137"/>
      <c r="E139" s="137"/>
    </row>
    <row r="140" spans="1:5" ht="12" customHeight="1" thickBot="1">
      <c r="A140" s="116" t="s">
        <v>21</v>
      </c>
      <c r="B140" s="40" t="s">
        <v>535</v>
      </c>
      <c r="C140" s="95">
        <f>+C141+C142+C144+C145+C143</f>
        <v>0</v>
      </c>
      <c r="D140" s="95">
        <f>+D141+D142+D144+D145+D143</f>
        <v>0</v>
      </c>
      <c r="E140" s="95">
        <f>+E141+E142+E144+E145+E143</f>
        <v>0</v>
      </c>
    </row>
    <row r="141" spans="1:5">
      <c r="A141" s="278" t="s">
        <v>91</v>
      </c>
      <c r="B141" s="38" t="s">
        <v>369</v>
      </c>
      <c r="C141" s="137"/>
      <c r="D141" s="137"/>
      <c r="E141" s="137"/>
    </row>
    <row r="142" spans="1:5" ht="12" customHeight="1">
      <c r="A142" s="278" t="s">
        <v>92</v>
      </c>
      <c r="B142" s="38" t="s">
        <v>370</v>
      </c>
      <c r="C142" s="137"/>
      <c r="D142" s="137"/>
      <c r="E142" s="137"/>
    </row>
    <row r="143" spans="1:5" s="289" customFormat="1" ht="12" customHeight="1">
      <c r="A143" s="278" t="s">
        <v>284</v>
      </c>
      <c r="B143" s="38" t="s">
        <v>534</v>
      </c>
      <c r="C143" s="137"/>
      <c r="D143" s="137"/>
      <c r="E143" s="137"/>
    </row>
    <row r="144" spans="1:5" s="289" customFormat="1" ht="12" customHeight="1">
      <c r="A144" s="278" t="s">
        <v>285</v>
      </c>
      <c r="B144" s="38" t="s">
        <v>463</v>
      </c>
      <c r="C144" s="137"/>
      <c r="D144" s="137"/>
      <c r="E144" s="137"/>
    </row>
    <row r="145" spans="1:5" s="289" customFormat="1" ht="12" customHeight="1" thickBot="1">
      <c r="A145" s="291" t="s">
        <v>286</v>
      </c>
      <c r="B145" s="34" t="s">
        <v>389</v>
      </c>
      <c r="C145" s="137"/>
      <c r="D145" s="137"/>
      <c r="E145" s="137"/>
    </row>
    <row r="146" spans="1:5" s="289" customFormat="1" ht="12" customHeight="1" thickBot="1">
      <c r="A146" s="116" t="s">
        <v>22</v>
      </c>
      <c r="B146" s="40" t="s">
        <v>464</v>
      </c>
      <c r="C146" s="140">
        <f>+C147+C148+C149+C150+C151</f>
        <v>0</v>
      </c>
      <c r="D146" s="140">
        <f>+D147+D148+D149+D150+D151</f>
        <v>0</v>
      </c>
      <c r="E146" s="140">
        <f>+E147+E148+E149+E150+E151</f>
        <v>0</v>
      </c>
    </row>
    <row r="147" spans="1:5" s="289" customFormat="1" ht="12" customHeight="1">
      <c r="A147" s="278" t="s">
        <v>93</v>
      </c>
      <c r="B147" s="38" t="s">
        <v>459</v>
      </c>
      <c r="C147" s="137"/>
      <c r="D147" s="137"/>
      <c r="E147" s="137"/>
    </row>
    <row r="148" spans="1:5" s="289" customFormat="1" ht="12" customHeight="1">
      <c r="A148" s="278" t="s">
        <v>94</v>
      </c>
      <c r="B148" s="38" t="s">
        <v>466</v>
      </c>
      <c r="C148" s="137"/>
      <c r="D148" s="137"/>
      <c r="E148" s="137"/>
    </row>
    <row r="149" spans="1:5" s="289" customFormat="1" ht="12" customHeight="1">
      <c r="A149" s="278" t="s">
        <v>296</v>
      </c>
      <c r="B149" s="38" t="s">
        <v>461</v>
      </c>
      <c r="C149" s="137"/>
      <c r="D149" s="137"/>
      <c r="E149" s="137"/>
    </row>
    <row r="150" spans="1:5" ht="12.75" customHeight="1">
      <c r="A150" s="278" t="s">
        <v>297</v>
      </c>
      <c r="B150" s="38" t="s">
        <v>512</v>
      </c>
      <c r="C150" s="137"/>
      <c r="D150" s="137"/>
      <c r="E150" s="137"/>
    </row>
    <row r="151" spans="1:5" ht="12.75" customHeight="1" thickBot="1">
      <c r="A151" s="291" t="s">
        <v>465</v>
      </c>
      <c r="B151" s="34" t="s">
        <v>468</v>
      </c>
      <c r="C151" s="139"/>
      <c r="D151" s="139"/>
      <c r="E151" s="139"/>
    </row>
    <row r="152" spans="1:5" ht="12.75" customHeight="1" thickBot="1">
      <c r="A152" s="294" t="s">
        <v>23</v>
      </c>
      <c r="B152" s="40" t="s">
        <v>469</v>
      </c>
      <c r="C152" s="140"/>
      <c r="D152" s="140"/>
      <c r="E152" s="140"/>
    </row>
    <row r="153" spans="1:5" ht="12" customHeight="1" thickBot="1">
      <c r="A153" s="294" t="s">
        <v>24</v>
      </c>
      <c r="B153" s="40" t="s">
        <v>470</v>
      </c>
      <c r="C153" s="140"/>
      <c r="D153" s="140"/>
      <c r="E153" s="140"/>
    </row>
    <row r="154" spans="1:5" ht="15" customHeight="1" thickBot="1">
      <c r="A154" s="116" t="s">
        <v>25</v>
      </c>
      <c r="B154" s="40" t="s">
        <v>472</v>
      </c>
      <c r="C154" s="142">
        <f>+C129+C133+C140+C146+C152+C153</f>
        <v>0</v>
      </c>
      <c r="D154" s="142">
        <f>+D129+D133+D140+D146+D152+D153</f>
        <v>0</v>
      </c>
      <c r="E154" s="142">
        <f>+E129+E133+E140+E146+E152+E153</f>
        <v>0</v>
      </c>
    </row>
    <row r="155" spans="1:5" ht="13.5" thickBot="1">
      <c r="A155" s="295" t="s">
        <v>26</v>
      </c>
      <c r="B155" s="145" t="s">
        <v>471</v>
      </c>
      <c r="C155" s="142">
        <f>+C128+C154</f>
        <v>0</v>
      </c>
      <c r="D155" s="142">
        <f>+D128+D154</f>
        <v>0</v>
      </c>
      <c r="E155" s="142">
        <f>+E128+E154</f>
        <v>0</v>
      </c>
    </row>
    <row r="156" spans="1:5" ht="15" customHeight="1" thickBot="1"/>
    <row r="157" spans="1:5" ht="14.25" customHeight="1" thickBot="1">
      <c r="A157" s="68" t="s">
        <v>513</v>
      </c>
      <c r="B157" s="69"/>
      <c r="C157" s="70"/>
      <c r="D157" s="70"/>
      <c r="E157" s="70"/>
    </row>
    <row r="158" spans="1:5" ht="13.5" thickBot="1">
      <c r="A158" s="68" t="s">
        <v>196</v>
      </c>
      <c r="B158" s="69"/>
      <c r="C158" s="70"/>
      <c r="D158" s="70"/>
      <c r="E158" s="70"/>
    </row>
  </sheetData>
  <sheetProtection formatCells="0"/>
  <phoneticPr fontId="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>
    <oddFooter>&amp;P. oldal, összesen: &amp;N</oddFooter>
  </headerFooter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79.1640625" style="17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 t="s">
        <v>765</v>
      </c>
      <c r="C1" s="2"/>
      <c r="D1" s="2"/>
    </row>
    <row r="2" spans="1:4" s="7" customFormat="1" ht="33" customHeight="1">
      <c r="A2" s="4" t="s">
        <v>194</v>
      </c>
      <c r="B2" s="5" t="s">
        <v>540</v>
      </c>
      <c r="C2" s="6" t="s">
        <v>56</v>
      </c>
      <c r="D2" s="6" t="s">
        <v>56</v>
      </c>
    </row>
    <row r="3" spans="1:4" s="7" customFormat="1" ht="24.75" thickBot="1">
      <c r="A3" s="8" t="s">
        <v>193</v>
      </c>
      <c r="B3" s="9" t="s">
        <v>397</v>
      </c>
      <c r="C3" s="10" t="s">
        <v>56</v>
      </c>
      <c r="D3" s="10" t="s">
        <v>56</v>
      </c>
    </row>
    <row r="4" spans="1:4" s="13" customFormat="1" ht="15.95" customHeight="1" thickBot="1">
      <c r="A4" s="11"/>
      <c r="B4" s="11"/>
      <c r="C4" s="12" t="s">
        <v>589</v>
      </c>
      <c r="D4" s="12" t="s">
        <v>589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1611140</v>
      </c>
      <c r="D8" s="26">
        <f>SUM(D9:D19)</f>
        <v>1611140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>
        <v>1050000</v>
      </c>
      <c r="D10" s="33">
        <v>1050000</v>
      </c>
    </row>
    <row r="11" spans="1:4" s="27" customFormat="1" ht="12" customHeight="1">
      <c r="A11" s="31" t="s">
        <v>97</v>
      </c>
      <c r="B11" s="32" t="s">
        <v>275</v>
      </c>
      <c r="C11" s="33">
        <v>560000</v>
      </c>
      <c r="D11" s="33">
        <v>560000</v>
      </c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>
        <v>140</v>
      </c>
      <c r="D16" s="35">
        <v>140</v>
      </c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>
        <v>1000</v>
      </c>
      <c r="D19" s="37">
        <v>1000</v>
      </c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1252761</v>
      </c>
      <c r="D20" s="26">
        <f>SUM(D21:D23)</f>
        <v>1294833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>
        <v>1252761</v>
      </c>
      <c r="D23" s="33">
        <f>1252761+42072</f>
        <v>1294833</v>
      </c>
    </row>
    <row r="24" spans="1:4" s="36" customFormat="1" ht="12" customHeight="1" thickBot="1">
      <c r="A24" s="31" t="s">
        <v>104</v>
      </c>
      <c r="B24" s="32" t="s">
        <v>515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>
        <v>5000</v>
      </c>
    </row>
    <row r="26" spans="1:4" s="36" customFormat="1" ht="12" customHeight="1" thickBot="1">
      <c r="A26" s="39" t="s">
        <v>19</v>
      </c>
      <c r="B26" s="40" t="s">
        <v>516</v>
      </c>
      <c r="C26" s="26">
        <f>+C27+C28+C29</f>
        <v>0</v>
      </c>
      <c r="D26" s="26">
        <f>+D27+D28+D29</f>
        <v>0</v>
      </c>
    </row>
    <row r="27" spans="1:4" s="36" customFormat="1" ht="12" customHeight="1">
      <c r="A27" s="42" t="s">
        <v>260</v>
      </c>
      <c r="B27" s="43" t="s">
        <v>255</v>
      </c>
      <c r="C27" s="44"/>
      <c r="D27" s="44"/>
    </row>
    <row r="28" spans="1:4" s="36" customFormat="1" ht="12" customHeight="1">
      <c r="A28" s="42" t="s">
        <v>263</v>
      </c>
      <c r="B28" s="43" t="s">
        <v>401</v>
      </c>
      <c r="C28" s="33"/>
      <c r="D28" s="33"/>
    </row>
    <row r="29" spans="1:4" s="36" customFormat="1" ht="12" customHeight="1">
      <c r="A29" s="42" t="s">
        <v>264</v>
      </c>
      <c r="B29" s="45" t="s">
        <v>404</v>
      </c>
      <c r="C29" s="33"/>
      <c r="D29" s="33"/>
    </row>
    <row r="30" spans="1:4" s="36" customFormat="1" ht="12" customHeight="1" thickBot="1">
      <c r="A30" s="31" t="s">
        <v>265</v>
      </c>
      <c r="B30" s="47" t="s">
        <v>517</v>
      </c>
      <c r="C30" s="48"/>
      <c r="D30" s="48"/>
    </row>
    <row r="31" spans="1:4" s="36" customFormat="1" ht="12" customHeight="1" thickBot="1">
      <c r="A31" s="39" t="s">
        <v>20</v>
      </c>
      <c r="B31" s="40" t="s">
        <v>405</v>
      </c>
      <c r="C31" s="26">
        <f>+C32+C33+C34</f>
        <v>0</v>
      </c>
      <c r="D31" s="26">
        <f>+D32+D33+D34</f>
        <v>0</v>
      </c>
    </row>
    <row r="32" spans="1:4" s="36" customFormat="1" ht="12" customHeight="1">
      <c r="A32" s="42" t="s">
        <v>88</v>
      </c>
      <c r="B32" s="43" t="s">
        <v>287</v>
      </c>
      <c r="C32" s="44"/>
      <c r="D32" s="44"/>
    </row>
    <row r="33" spans="1:4" s="36" customFormat="1" ht="12" customHeight="1">
      <c r="A33" s="42" t="s">
        <v>89</v>
      </c>
      <c r="B33" s="45" t="s">
        <v>288</v>
      </c>
      <c r="C33" s="46"/>
      <c r="D33" s="46"/>
    </row>
    <row r="34" spans="1:4" s="36" customFormat="1" ht="12" customHeight="1" thickBot="1">
      <c r="A34" s="31" t="s">
        <v>90</v>
      </c>
      <c r="B34" s="47" t="s">
        <v>289</v>
      </c>
      <c r="C34" s="48"/>
      <c r="D34" s="48"/>
    </row>
    <row r="35" spans="1:4" s="27" customFormat="1" ht="12" customHeight="1" thickBot="1">
      <c r="A35" s="39" t="s">
        <v>21</v>
      </c>
      <c r="B35" s="40" t="s">
        <v>374</v>
      </c>
      <c r="C35" s="41"/>
      <c r="D35" s="41"/>
    </row>
    <row r="36" spans="1:4" s="27" customFormat="1" ht="12" customHeight="1" thickBot="1">
      <c r="A36" s="39" t="s">
        <v>22</v>
      </c>
      <c r="B36" s="40" t="s">
        <v>406</v>
      </c>
      <c r="C36" s="49"/>
      <c r="D36" s="49"/>
    </row>
    <row r="37" spans="1:4" s="27" customFormat="1" ht="12" customHeight="1" thickBot="1">
      <c r="A37" s="18" t="s">
        <v>23</v>
      </c>
      <c r="B37" s="40" t="s">
        <v>407</v>
      </c>
      <c r="C37" s="50">
        <f>+C8+C20+C25+C26+C31+C35+C36</f>
        <v>2863901</v>
      </c>
      <c r="D37" s="50">
        <f>+D8+D20+D25+D26+D31+D35+D36</f>
        <v>2910973</v>
      </c>
    </row>
    <row r="38" spans="1:4" s="27" customFormat="1" ht="12" customHeight="1" thickBot="1">
      <c r="A38" s="51" t="s">
        <v>24</v>
      </c>
      <c r="B38" s="40" t="s">
        <v>408</v>
      </c>
      <c r="C38" s="50">
        <f>+C39+C40+C41</f>
        <v>121246838</v>
      </c>
      <c r="D38" s="50">
        <f>+D39+D40+D41</f>
        <v>121410281</v>
      </c>
    </row>
    <row r="39" spans="1:4" s="27" customFormat="1" ht="12" customHeight="1">
      <c r="A39" s="42" t="s">
        <v>409</v>
      </c>
      <c r="B39" s="43" t="s">
        <v>229</v>
      </c>
      <c r="C39" s="44">
        <v>3610739</v>
      </c>
      <c r="D39" s="44">
        <f>3610739+945745</f>
        <v>4556484</v>
      </c>
    </row>
    <row r="40" spans="1:4" s="27" customFormat="1" ht="12" customHeight="1">
      <c r="A40" s="42" t="s">
        <v>410</v>
      </c>
      <c r="B40" s="45" t="s">
        <v>2</v>
      </c>
      <c r="C40" s="46"/>
      <c r="D40" s="46"/>
    </row>
    <row r="41" spans="1:4" s="36" customFormat="1" ht="12" customHeight="1" thickBot="1">
      <c r="A41" s="31" t="s">
        <v>411</v>
      </c>
      <c r="B41" s="47" t="s">
        <v>412</v>
      </c>
      <c r="C41" s="48">
        <v>117636099</v>
      </c>
      <c r="D41" s="48">
        <f>117636099-945745-5000+168443</f>
        <v>116853797</v>
      </c>
    </row>
    <row r="42" spans="1:4" s="36" customFormat="1" ht="15" customHeight="1" thickBot="1">
      <c r="A42" s="51" t="s">
        <v>25</v>
      </c>
      <c r="B42" s="52" t="s">
        <v>413</v>
      </c>
      <c r="C42" s="53">
        <f>C37+C38</f>
        <v>124110739</v>
      </c>
      <c r="D42" s="53">
        <f>D37+D38</f>
        <v>124321254</v>
      </c>
    </row>
    <row r="43" spans="1:4" s="36" customFormat="1" ht="15" customHeight="1">
      <c r="A43" s="54"/>
      <c r="B43" s="55"/>
      <c r="C43" s="56"/>
      <c r="D43" s="56"/>
    </row>
    <row r="44" spans="1:4" ht="13.5" thickBot="1">
      <c r="A44" s="57"/>
      <c r="B44" s="58"/>
      <c r="C44" s="59"/>
      <c r="D44" s="59"/>
    </row>
    <row r="45" spans="1:4" s="21" customFormat="1" ht="16.5" customHeight="1" thickBot="1">
      <c r="A45" s="60"/>
      <c r="B45" s="61" t="s">
        <v>54</v>
      </c>
      <c r="C45" s="53"/>
      <c r="D45" s="53"/>
    </row>
    <row r="46" spans="1:4" s="62" customFormat="1" ht="12" customHeight="1" thickBot="1">
      <c r="A46" s="39" t="s">
        <v>16</v>
      </c>
      <c r="B46" s="40" t="s">
        <v>414</v>
      </c>
      <c r="C46" s="26">
        <f>SUM(C47:C51)</f>
        <v>123359739</v>
      </c>
      <c r="D46" s="26">
        <f>SUM(D47:D51)</f>
        <v>123570254</v>
      </c>
    </row>
    <row r="47" spans="1:4" ht="12" customHeight="1">
      <c r="A47" s="31" t="s">
        <v>95</v>
      </c>
      <c r="B47" s="38" t="s">
        <v>46</v>
      </c>
      <c r="C47" s="44">
        <v>78769100</v>
      </c>
      <c r="D47" s="44">
        <f>78769100+140700-35000+73927+957</f>
        <v>78949684</v>
      </c>
    </row>
    <row r="48" spans="1:4" ht="12" customHeight="1">
      <c r="A48" s="31" t="s">
        <v>96</v>
      </c>
      <c r="B48" s="32" t="s">
        <v>174</v>
      </c>
      <c r="C48" s="63">
        <v>16172510</v>
      </c>
      <c r="D48" s="63">
        <f>16172510+27743+29607-957</f>
        <v>16228903</v>
      </c>
    </row>
    <row r="49" spans="1:4" ht="12" customHeight="1">
      <c r="A49" s="31" t="s">
        <v>97</v>
      </c>
      <c r="B49" s="32" t="s">
        <v>133</v>
      </c>
      <c r="C49" s="63">
        <v>28418129</v>
      </c>
      <c r="D49" s="63">
        <f>28418129-2873-23589</f>
        <v>28391667</v>
      </c>
    </row>
    <row r="50" spans="1:4" ht="12" customHeight="1">
      <c r="A50" s="31" t="s">
        <v>98</v>
      </c>
      <c r="B50" s="32" t="s">
        <v>175</v>
      </c>
      <c r="C50" s="63"/>
      <c r="D50" s="63"/>
    </row>
    <row r="51" spans="1:4" ht="12" customHeight="1" thickBot="1">
      <c r="A51" s="31" t="s">
        <v>141</v>
      </c>
      <c r="B51" s="32" t="s">
        <v>176</v>
      </c>
      <c r="C51" s="63"/>
      <c r="D51" s="63"/>
    </row>
    <row r="52" spans="1:4" ht="12" customHeight="1" thickBot="1">
      <c r="A52" s="39" t="s">
        <v>17</v>
      </c>
      <c r="B52" s="40" t="s">
        <v>415</v>
      </c>
      <c r="C52" s="26">
        <f>SUM(C53:C55)</f>
        <v>751000</v>
      </c>
      <c r="D52" s="26">
        <f>SUM(D53:D55)</f>
        <v>751000</v>
      </c>
    </row>
    <row r="53" spans="1:4" s="62" customFormat="1" ht="12" customHeight="1">
      <c r="A53" s="31" t="s">
        <v>101</v>
      </c>
      <c r="B53" s="38" t="s">
        <v>219</v>
      </c>
      <c r="C53" s="44">
        <v>751000</v>
      </c>
      <c r="D53" s="44">
        <v>751000</v>
      </c>
    </row>
    <row r="54" spans="1:4" ht="12" customHeight="1">
      <c r="A54" s="31" t="s">
        <v>102</v>
      </c>
      <c r="B54" s="32" t="s">
        <v>178</v>
      </c>
      <c r="C54" s="63"/>
      <c r="D54" s="63"/>
    </row>
    <row r="55" spans="1:4" ht="12" customHeight="1">
      <c r="A55" s="31" t="s">
        <v>103</v>
      </c>
      <c r="B55" s="32" t="s">
        <v>55</v>
      </c>
      <c r="C55" s="63"/>
      <c r="D55" s="63"/>
    </row>
    <row r="56" spans="1:4" ht="12" customHeight="1" thickBot="1">
      <c r="A56" s="31" t="s">
        <v>104</v>
      </c>
      <c r="B56" s="32" t="s">
        <v>518</v>
      </c>
      <c r="C56" s="63"/>
      <c r="D56" s="63"/>
    </row>
    <row r="57" spans="1:4" ht="15" customHeight="1" thickBot="1">
      <c r="A57" s="39" t="s">
        <v>18</v>
      </c>
      <c r="B57" s="40" t="s">
        <v>12</v>
      </c>
      <c r="C57" s="41"/>
      <c r="D57" s="41"/>
    </row>
    <row r="58" spans="1:4" ht="13.5" thickBot="1">
      <c r="A58" s="39" t="s">
        <v>19</v>
      </c>
      <c r="B58" s="64" t="s">
        <v>523</v>
      </c>
      <c r="C58" s="65">
        <f>+C46+C52+C57</f>
        <v>124110739</v>
      </c>
      <c r="D58" s="65">
        <f>+D46+D52+D57</f>
        <v>124321254</v>
      </c>
    </row>
    <row r="59" spans="1:4" ht="15" customHeight="1" thickBot="1">
      <c r="C59" s="67"/>
      <c r="D59" s="67"/>
    </row>
    <row r="60" spans="1:4" ht="14.25" customHeight="1" thickBot="1">
      <c r="A60" s="68" t="s">
        <v>513</v>
      </c>
      <c r="B60" s="69"/>
      <c r="C60" s="70">
        <v>19</v>
      </c>
      <c r="D60" s="70">
        <v>19</v>
      </c>
    </row>
    <row r="61" spans="1:4" ht="13.5" thickBot="1">
      <c r="A61" s="68" t="s">
        <v>196</v>
      </c>
      <c r="B61" s="69"/>
      <c r="C61" s="70"/>
      <c r="D61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topLeftCell="B1"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79.1640625" style="17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 t="s">
        <v>766</v>
      </c>
      <c r="C1" s="2"/>
      <c r="D1" s="2"/>
    </row>
    <row r="2" spans="1:4" s="7" customFormat="1" ht="34.5" customHeight="1">
      <c r="A2" s="4" t="s">
        <v>194</v>
      </c>
      <c r="B2" s="5" t="s">
        <v>554</v>
      </c>
      <c r="C2" s="6" t="s">
        <v>56</v>
      </c>
      <c r="D2" s="6" t="s">
        <v>56</v>
      </c>
    </row>
    <row r="3" spans="1:4" s="7" customFormat="1" ht="24.75" thickBot="1">
      <c r="A3" s="8" t="s">
        <v>193</v>
      </c>
      <c r="B3" s="9" t="s">
        <v>397</v>
      </c>
      <c r="C3" s="10" t="s">
        <v>51</v>
      </c>
      <c r="D3" s="10" t="s">
        <v>51</v>
      </c>
    </row>
    <row r="4" spans="1:4" s="13" customFormat="1" ht="15.95" customHeight="1" thickBot="1">
      <c r="A4" s="11"/>
      <c r="B4" s="11"/>
      <c r="C4" s="12" t="s">
        <v>589</v>
      </c>
      <c r="D4" s="12" t="s">
        <v>589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1186140</v>
      </c>
      <c r="D8" s="26">
        <f>SUM(D9:D19)</f>
        <v>1186140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>
        <v>625000</v>
      </c>
      <c r="D10" s="33">
        <v>625000</v>
      </c>
    </row>
    <row r="11" spans="1:4" s="27" customFormat="1" ht="12" customHeight="1">
      <c r="A11" s="31" t="s">
        <v>97</v>
      </c>
      <c r="B11" s="32" t="s">
        <v>275</v>
      </c>
      <c r="C11" s="33">
        <v>560000</v>
      </c>
      <c r="D11" s="33">
        <v>560000</v>
      </c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>
        <v>140</v>
      </c>
      <c r="D16" s="35">
        <v>140</v>
      </c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>
        <v>1000</v>
      </c>
      <c r="D19" s="37">
        <v>1000</v>
      </c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799324</v>
      </c>
      <c r="D20" s="26">
        <f>SUM(D21:D23)</f>
        <v>979790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>
        <v>799324</v>
      </c>
      <c r="D23" s="33">
        <f>799324+180466</f>
        <v>979790</v>
      </c>
    </row>
    <row r="24" spans="1:4" s="36" customFormat="1" ht="12" customHeight="1" thickBot="1">
      <c r="A24" s="31" t="s">
        <v>104</v>
      </c>
      <c r="B24" s="32" t="s">
        <v>515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>
        <v>5000</v>
      </c>
    </row>
    <row r="26" spans="1:4" s="36" customFormat="1" ht="12" customHeight="1" thickBot="1">
      <c r="A26" s="39" t="s">
        <v>19</v>
      </c>
      <c r="B26" s="40" t="s">
        <v>516</v>
      </c>
      <c r="C26" s="26">
        <f>+C27+C28+C29</f>
        <v>0</v>
      </c>
      <c r="D26" s="26">
        <f>+D27+D28+D29</f>
        <v>0</v>
      </c>
    </row>
    <row r="27" spans="1:4" s="36" customFormat="1" ht="12" customHeight="1">
      <c r="A27" s="42" t="s">
        <v>260</v>
      </c>
      <c r="B27" s="43" t="s">
        <v>255</v>
      </c>
      <c r="C27" s="44"/>
      <c r="D27" s="44"/>
    </row>
    <row r="28" spans="1:4" s="36" customFormat="1" ht="12" customHeight="1">
      <c r="A28" s="42" t="s">
        <v>263</v>
      </c>
      <c r="B28" s="43" t="s">
        <v>401</v>
      </c>
      <c r="C28" s="33"/>
      <c r="D28" s="33"/>
    </row>
    <row r="29" spans="1:4" s="36" customFormat="1" ht="12" customHeight="1">
      <c r="A29" s="42" t="s">
        <v>264</v>
      </c>
      <c r="B29" s="45" t="s">
        <v>404</v>
      </c>
      <c r="C29" s="33"/>
      <c r="D29" s="33"/>
    </row>
    <row r="30" spans="1:4" s="36" customFormat="1" ht="12" customHeight="1" thickBot="1">
      <c r="A30" s="31" t="s">
        <v>265</v>
      </c>
      <c r="B30" s="47" t="s">
        <v>517</v>
      </c>
      <c r="C30" s="48"/>
      <c r="D30" s="48"/>
    </row>
    <row r="31" spans="1:4" s="36" customFormat="1" ht="12" customHeight="1" thickBot="1">
      <c r="A31" s="39" t="s">
        <v>20</v>
      </c>
      <c r="B31" s="40" t="s">
        <v>405</v>
      </c>
      <c r="C31" s="26">
        <f>+C32+C33+C34</f>
        <v>0</v>
      </c>
      <c r="D31" s="26">
        <f>+D32+D33+D34</f>
        <v>0</v>
      </c>
    </row>
    <row r="32" spans="1:4" s="36" customFormat="1" ht="12" customHeight="1">
      <c r="A32" s="42" t="s">
        <v>88</v>
      </c>
      <c r="B32" s="43" t="s">
        <v>287</v>
      </c>
      <c r="C32" s="44"/>
      <c r="D32" s="44"/>
    </row>
    <row r="33" spans="1:4" s="36" customFormat="1" ht="12" customHeight="1">
      <c r="A33" s="42" t="s">
        <v>89</v>
      </c>
      <c r="B33" s="45" t="s">
        <v>288</v>
      </c>
      <c r="C33" s="46"/>
      <c r="D33" s="46"/>
    </row>
    <row r="34" spans="1:4" s="36" customFormat="1" ht="12" customHeight="1" thickBot="1">
      <c r="A34" s="31" t="s">
        <v>90</v>
      </c>
      <c r="B34" s="47" t="s">
        <v>289</v>
      </c>
      <c r="C34" s="48"/>
      <c r="D34" s="48"/>
    </row>
    <row r="35" spans="1:4" s="27" customFormat="1" ht="12" customHeight="1" thickBot="1">
      <c r="A35" s="39" t="s">
        <v>21</v>
      </c>
      <c r="B35" s="40" t="s">
        <v>374</v>
      </c>
      <c r="C35" s="41"/>
      <c r="D35" s="41"/>
    </row>
    <row r="36" spans="1:4" s="27" customFormat="1" ht="12" customHeight="1" thickBot="1">
      <c r="A36" s="39" t="s">
        <v>22</v>
      </c>
      <c r="B36" s="40" t="s">
        <v>406</v>
      </c>
      <c r="C36" s="49"/>
      <c r="D36" s="49"/>
    </row>
    <row r="37" spans="1:4" s="27" customFormat="1" ht="12" customHeight="1" thickBot="1">
      <c r="A37" s="18" t="s">
        <v>23</v>
      </c>
      <c r="B37" s="40" t="s">
        <v>407</v>
      </c>
      <c r="C37" s="50">
        <f>+C8+C20+C25+C26+C31+C35+C36</f>
        <v>1985464</v>
      </c>
      <c r="D37" s="50">
        <f>+D8+D20+D25+D26+D31+D35+D36</f>
        <v>2170930</v>
      </c>
    </row>
    <row r="38" spans="1:4" s="27" customFormat="1" ht="12" customHeight="1" thickBot="1">
      <c r="A38" s="51" t="s">
        <v>24</v>
      </c>
      <c r="B38" s="40" t="s">
        <v>408</v>
      </c>
      <c r="C38" s="50">
        <f>+C39+C40+C41</f>
        <v>73224600</v>
      </c>
      <c r="D38" s="50">
        <f>+D39+D40+D41</f>
        <v>73219600</v>
      </c>
    </row>
    <row r="39" spans="1:4" s="27" customFormat="1" ht="12" customHeight="1">
      <c r="A39" s="42" t="s">
        <v>409</v>
      </c>
      <c r="B39" s="43" t="s">
        <v>229</v>
      </c>
      <c r="C39" s="44">
        <v>3070739</v>
      </c>
      <c r="D39" s="44">
        <f>3070739+945745</f>
        <v>4016484</v>
      </c>
    </row>
    <row r="40" spans="1:4" s="27" customFormat="1" ht="12" customHeight="1">
      <c r="A40" s="42" t="s">
        <v>410</v>
      </c>
      <c r="B40" s="45" t="s">
        <v>2</v>
      </c>
      <c r="C40" s="46"/>
      <c r="D40" s="46"/>
    </row>
    <row r="41" spans="1:4" s="36" customFormat="1" ht="12" customHeight="1" thickBot="1">
      <c r="A41" s="31" t="s">
        <v>411</v>
      </c>
      <c r="B41" s="47" t="s">
        <v>412</v>
      </c>
      <c r="C41" s="48">
        <v>70153861</v>
      </c>
      <c r="D41" s="48">
        <f>70153861-945745-5000</f>
        <v>69203116</v>
      </c>
    </row>
    <row r="42" spans="1:4" s="36" customFormat="1" ht="15" customHeight="1" thickBot="1">
      <c r="A42" s="51" t="s">
        <v>25</v>
      </c>
      <c r="B42" s="52" t="s">
        <v>413</v>
      </c>
      <c r="C42" s="53">
        <f>C37+C38</f>
        <v>75210064</v>
      </c>
      <c r="D42" s="53">
        <f>D37+D38</f>
        <v>75390530</v>
      </c>
    </row>
    <row r="43" spans="1:4" s="36" customFormat="1" ht="15" customHeight="1">
      <c r="A43" s="54"/>
      <c r="B43" s="55"/>
      <c r="C43" s="56"/>
      <c r="D43" s="56"/>
    </row>
    <row r="44" spans="1:4" ht="13.5" thickBot="1">
      <c r="A44" s="57"/>
      <c r="B44" s="58"/>
      <c r="C44" s="59"/>
      <c r="D44" s="59"/>
    </row>
    <row r="45" spans="1:4" s="21" customFormat="1" ht="16.5" customHeight="1" thickBot="1">
      <c r="A45" s="60"/>
      <c r="B45" s="61" t="s">
        <v>54</v>
      </c>
      <c r="C45" s="53"/>
      <c r="D45" s="53"/>
    </row>
    <row r="46" spans="1:4" s="62" customFormat="1" ht="12" customHeight="1" thickBot="1">
      <c r="A46" s="39" t="s">
        <v>16</v>
      </c>
      <c r="B46" s="40" t="s">
        <v>414</v>
      </c>
      <c r="C46" s="26">
        <f>SUM(C47:C51)</f>
        <v>74789064</v>
      </c>
      <c r="D46" s="26">
        <f>SUM(D47:D51)</f>
        <v>74969530</v>
      </c>
    </row>
    <row r="47" spans="1:4" ht="12" customHeight="1">
      <c r="A47" s="31" t="s">
        <v>95</v>
      </c>
      <c r="B47" s="38" t="s">
        <v>46</v>
      </c>
      <c r="C47" s="44">
        <f>42691750+632600</f>
        <v>43324350</v>
      </c>
      <c r="D47" s="44">
        <f>42691750+632600+100000+49059+957</f>
        <v>43474366</v>
      </c>
    </row>
    <row r="48" spans="1:4" ht="12" customHeight="1">
      <c r="A48" s="31" t="s">
        <v>96</v>
      </c>
      <c r="B48" s="32" t="s">
        <v>174</v>
      </c>
      <c r="C48" s="63">
        <f>8852388+115324</f>
        <v>8967712</v>
      </c>
      <c r="D48" s="63">
        <f>8852388+115324+49669-957</f>
        <v>9016424</v>
      </c>
    </row>
    <row r="49" spans="1:4" ht="12" customHeight="1">
      <c r="A49" s="31" t="s">
        <v>97</v>
      </c>
      <c r="B49" s="32" t="s">
        <v>133</v>
      </c>
      <c r="C49" s="63">
        <f>22445602+51400</f>
        <v>22497002</v>
      </c>
      <c r="D49" s="63">
        <f>22445602+51400+2866-21128</f>
        <v>22478740</v>
      </c>
    </row>
    <row r="50" spans="1:4" ht="12" customHeight="1">
      <c r="A50" s="31" t="s">
        <v>98</v>
      </c>
      <c r="B50" s="32" t="s">
        <v>175</v>
      </c>
      <c r="C50" s="63"/>
      <c r="D50" s="63"/>
    </row>
    <row r="51" spans="1:4" ht="12" customHeight="1" thickBot="1">
      <c r="A51" s="31" t="s">
        <v>141</v>
      </c>
      <c r="B51" s="32" t="s">
        <v>176</v>
      </c>
      <c r="C51" s="63"/>
      <c r="D51" s="63"/>
    </row>
    <row r="52" spans="1:4" ht="12" customHeight="1" thickBot="1">
      <c r="A52" s="39" t="s">
        <v>17</v>
      </c>
      <c r="B52" s="40" t="s">
        <v>415</v>
      </c>
      <c r="C52" s="26">
        <f>SUM(C53:C55)</f>
        <v>421000</v>
      </c>
      <c r="D52" s="26">
        <f>SUM(D53:D55)</f>
        <v>421000</v>
      </c>
    </row>
    <row r="53" spans="1:4" s="62" customFormat="1" ht="12" customHeight="1">
      <c r="A53" s="31" t="s">
        <v>101</v>
      </c>
      <c r="B53" s="38" t="s">
        <v>219</v>
      </c>
      <c r="C53" s="44">
        <v>421000</v>
      </c>
      <c r="D53" s="44">
        <v>421000</v>
      </c>
    </row>
    <row r="54" spans="1:4" ht="12" customHeight="1">
      <c r="A54" s="31" t="s">
        <v>102</v>
      </c>
      <c r="B54" s="32" t="s">
        <v>178</v>
      </c>
      <c r="C54" s="63"/>
      <c r="D54" s="63"/>
    </row>
    <row r="55" spans="1:4" ht="12" customHeight="1">
      <c r="A55" s="31" t="s">
        <v>103</v>
      </c>
      <c r="B55" s="32" t="s">
        <v>55</v>
      </c>
      <c r="C55" s="63"/>
      <c r="D55" s="63"/>
    </row>
    <row r="56" spans="1:4" ht="12" customHeight="1" thickBot="1">
      <c r="A56" s="31" t="s">
        <v>104</v>
      </c>
      <c r="B56" s="32" t="s">
        <v>518</v>
      </c>
      <c r="C56" s="63"/>
      <c r="D56" s="63"/>
    </row>
    <row r="57" spans="1:4" ht="12" customHeight="1" thickBot="1">
      <c r="A57" s="39" t="s">
        <v>18</v>
      </c>
      <c r="B57" s="40" t="s">
        <v>12</v>
      </c>
      <c r="C57" s="41"/>
      <c r="D57" s="41"/>
    </row>
    <row r="58" spans="1:4" ht="15" customHeight="1" thickBot="1">
      <c r="A58" s="39" t="s">
        <v>19</v>
      </c>
      <c r="B58" s="64" t="s">
        <v>523</v>
      </c>
      <c r="C58" s="65">
        <f>+C46+C52+C57</f>
        <v>75210064</v>
      </c>
      <c r="D58" s="65">
        <f>+D46+D52+D57</f>
        <v>75390530</v>
      </c>
    </row>
    <row r="59" spans="1:4" ht="13.5" thickBot="1">
      <c r="C59" s="67"/>
      <c r="D59" s="67"/>
    </row>
    <row r="60" spans="1:4" ht="15" customHeight="1" thickBot="1">
      <c r="A60" s="68" t="s">
        <v>513</v>
      </c>
      <c r="B60" s="69"/>
      <c r="C60" s="70">
        <v>11</v>
      </c>
      <c r="D60" s="70">
        <v>11</v>
      </c>
    </row>
    <row r="61" spans="1:4" ht="14.25" customHeight="1" thickBot="1">
      <c r="A61" s="68" t="s">
        <v>196</v>
      </c>
      <c r="B61" s="69"/>
      <c r="C61" s="70"/>
      <c r="D61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topLeftCell="B1"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79.1640625" style="17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 t="s">
        <v>767</v>
      </c>
      <c r="C1" s="2"/>
      <c r="D1" s="2"/>
    </row>
    <row r="2" spans="1:4" s="7" customFormat="1" ht="34.5" customHeight="1">
      <c r="A2" s="4" t="s">
        <v>194</v>
      </c>
      <c r="B2" s="5" t="s">
        <v>555</v>
      </c>
      <c r="C2" s="6" t="s">
        <v>56</v>
      </c>
      <c r="D2" s="6" t="s">
        <v>56</v>
      </c>
    </row>
    <row r="3" spans="1:4" s="7" customFormat="1" ht="24.75" thickBot="1">
      <c r="A3" s="8" t="s">
        <v>193</v>
      </c>
      <c r="B3" s="9" t="s">
        <v>397</v>
      </c>
      <c r="C3" s="10" t="s">
        <v>51</v>
      </c>
      <c r="D3" s="10" t="s">
        <v>51</v>
      </c>
    </row>
    <row r="4" spans="1:4" s="13" customFormat="1" ht="15.95" customHeight="1" thickBot="1">
      <c r="A4" s="11"/>
      <c r="B4" s="11"/>
      <c r="C4" s="12" t="s">
        <v>589</v>
      </c>
      <c r="D4" s="12" t="s">
        <v>589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425000</v>
      </c>
      <c r="D8" s="26">
        <f>SUM(D9:D19)</f>
        <v>425000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>
        <v>425000</v>
      </c>
      <c r="D10" s="33">
        <v>425000</v>
      </c>
    </row>
    <row r="11" spans="1:4" s="27" customFormat="1" ht="12" customHeight="1">
      <c r="A11" s="31" t="s">
        <v>97</v>
      </c>
      <c r="B11" s="32" t="s">
        <v>275</v>
      </c>
      <c r="C11" s="33"/>
      <c r="D11" s="33"/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/>
      <c r="D16" s="35"/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/>
      <c r="D19" s="37"/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453437</v>
      </c>
      <c r="D20" s="26">
        <f>SUM(D21:D23)</f>
        <v>315043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>
        <v>453437</v>
      </c>
      <c r="D23" s="33">
        <f>453437-138394</f>
        <v>315043</v>
      </c>
    </row>
    <row r="24" spans="1:4" s="36" customFormat="1" ht="12" customHeight="1" thickBot="1">
      <c r="A24" s="31" t="s">
        <v>104</v>
      </c>
      <c r="B24" s="32" t="s">
        <v>515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/>
    </row>
    <row r="26" spans="1:4" s="36" customFormat="1" ht="12" customHeight="1" thickBot="1">
      <c r="A26" s="39" t="s">
        <v>19</v>
      </c>
      <c r="B26" s="40" t="s">
        <v>516</v>
      </c>
      <c r="C26" s="26">
        <f>+C27+C28+C29</f>
        <v>0</v>
      </c>
      <c r="D26" s="26">
        <f>+D27+D28+D29</f>
        <v>0</v>
      </c>
    </row>
    <row r="27" spans="1:4" s="36" customFormat="1" ht="12" customHeight="1">
      <c r="A27" s="42" t="s">
        <v>260</v>
      </c>
      <c r="B27" s="43" t="s">
        <v>255</v>
      </c>
      <c r="C27" s="44"/>
      <c r="D27" s="44"/>
    </row>
    <row r="28" spans="1:4" s="36" customFormat="1" ht="12" customHeight="1">
      <c r="A28" s="42" t="s">
        <v>263</v>
      </c>
      <c r="B28" s="43" t="s">
        <v>401</v>
      </c>
      <c r="C28" s="33"/>
      <c r="D28" s="33"/>
    </row>
    <row r="29" spans="1:4" s="36" customFormat="1" ht="12" customHeight="1">
      <c r="A29" s="42" t="s">
        <v>264</v>
      </c>
      <c r="B29" s="45" t="s">
        <v>404</v>
      </c>
      <c r="C29" s="33"/>
      <c r="D29" s="33"/>
    </row>
    <row r="30" spans="1:4" s="36" customFormat="1" ht="12" customHeight="1" thickBot="1">
      <c r="A30" s="31" t="s">
        <v>265</v>
      </c>
      <c r="B30" s="47" t="s">
        <v>517</v>
      </c>
      <c r="C30" s="48"/>
      <c r="D30" s="48"/>
    </row>
    <row r="31" spans="1:4" s="36" customFormat="1" ht="12" customHeight="1" thickBot="1">
      <c r="A31" s="39" t="s">
        <v>20</v>
      </c>
      <c r="B31" s="40" t="s">
        <v>405</v>
      </c>
      <c r="C31" s="26">
        <f>+C32+C33+C34</f>
        <v>0</v>
      </c>
      <c r="D31" s="26">
        <f>+D32+D33+D34</f>
        <v>0</v>
      </c>
    </row>
    <row r="32" spans="1:4" s="36" customFormat="1" ht="12" customHeight="1">
      <c r="A32" s="42" t="s">
        <v>88</v>
      </c>
      <c r="B32" s="43" t="s">
        <v>287</v>
      </c>
      <c r="C32" s="44"/>
      <c r="D32" s="44"/>
    </row>
    <row r="33" spans="1:4" s="36" customFormat="1" ht="12" customHeight="1">
      <c r="A33" s="42" t="s">
        <v>89</v>
      </c>
      <c r="B33" s="45" t="s">
        <v>288</v>
      </c>
      <c r="C33" s="46"/>
      <c r="D33" s="46"/>
    </row>
    <row r="34" spans="1:4" s="36" customFormat="1" ht="12" customHeight="1" thickBot="1">
      <c r="A34" s="31" t="s">
        <v>90</v>
      </c>
      <c r="B34" s="47" t="s">
        <v>289</v>
      </c>
      <c r="C34" s="48"/>
      <c r="D34" s="48"/>
    </row>
    <row r="35" spans="1:4" s="27" customFormat="1" ht="12" customHeight="1" thickBot="1">
      <c r="A35" s="39" t="s">
        <v>21</v>
      </c>
      <c r="B35" s="40" t="s">
        <v>374</v>
      </c>
      <c r="C35" s="41"/>
      <c r="D35" s="41"/>
    </row>
    <row r="36" spans="1:4" s="27" customFormat="1" ht="12" customHeight="1" thickBot="1">
      <c r="A36" s="39" t="s">
        <v>22</v>
      </c>
      <c r="B36" s="40" t="s">
        <v>406</v>
      </c>
      <c r="C36" s="49"/>
      <c r="D36" s="49"/>
    </row>
    <row r="37" spans="1:4" s="27" customFormat="1" ht="12" customHeight="1" thickBot="1">
      <c r="A37" s="18" t="s">
        <v>23</v>
      </c>
      <c r="B37" s="40" t="s">
        <v>407</v>
      </c>
      <c r="C37" s="50">
        <f>+C8+C20+C25+C26+C31+C35+C36</f>
        <v>878437</v>
      </c>
      <c r="D37" s="50">
        <f>+D8+D20+D25+D26+D31+D35+D36</f>
        <v>740043</v>
      </c>
    </row>
    <row r="38" spans="1:4" s="27" customFormat="1" ht="12" customHeight="1" thickBot="1">
      <c r="A38" s="51" t="s">
        <v>24</v>
      </c>
      <c r="B38" s="40" t="s">
        <v>408</v>
      </c>
      <c r="C38" s="50">
        <f>+C39+C40+C41</f>
        <v>48022238</v>
      </c>
      <c r="D38" s="50">
        <f>+D39+D40+D41</f>
        <v>48190681</v>
      </c>
    </row>
    <row r="39" spans="1:4" s="27" customFormat="1" ht="12" customHeight="1">
      <c r="A39" s="42" t="s">
        <v>409</v>
      </c>
      <c r="B39" s="43" t="s">
        <v>229</v>
      </c>
      <c r="C39" s="44">
        <v>540000</v>
      </c>
      <c r="D39" s="44">
        <v>540000</v>
      </c>
    </row>
    <row r="40" spans="1:4" s="27" customFormat="1" ht="12" customHeight="1">
      <c r="A40" s="42" t="s">
        <v>410</v>
      </c>
      <c r="B40" s="45" t="s">
        <v>2</v>
      </c>
      <c r="C40" s="46"/>
      <c r="D40" s="46"/>
    </row>
    <row r="41" spans="1:4" s="36" customFormat="1" ht="12" customHeight="1" thickBot="1">
      <c r="A41" s="31" t="s">
        <v>411</v>
      </c>
      <c r="B41" s="47" t="s">
        <v>412</v>
      </c>
      <c r="C41" s="48">
        <v>47482238</v>
      </c>
      <c r="D41" s="48">
        <f>47482238+168443</f>
        <v>47650681</v>
      </c>
    </row>
    <row r="42" spans="1:4" s="36" customFormat="1" ht="15" customHeight="1" thickBot="1">
      <c r="A42" s="51" t="s">
        <v>25</v>
      </c>
      <c r="B42" s="52" t="s">
        <v>413</v>
      </c>
      <c r="C42" s="53">
        <f>+C37+C38</f>
        <v>48900675</v>
      </c>
      <c r="D42" s="53">
        <f>+D37+D38</f>
        <v>48930724</v>
      </c>
    </row>
    <row r="43" spans="1:4" s="36" customFormat="1" ht="15" customHeight="1">
      <c r="A43" s="54"/>
      <c r="B43" s="55"/>
      <c r="C43" s="56"/>
      <c r="D43" s="56"/>
    </row>
    <row r="44" spans="1:4" ht="13.5" thickBot="1">
      <c r="A44" s="57"/>
      <c r="B44" s="58"/>
      <c r="C44" s="59"/>
      <c r="D44" s="59"/>
    </row>
    <row r="45" spans="1:4" s="21" customFormat="1" ht="16.5" customHeight="1" thickBot="1">
      <c r="A45" s="60"/>
      <c r="B45" s="61" t="s">
        <v>54</v>
      </c>
      <c r="C45" s="53"/>
      <c r="D45" s="53"/>
    </row>
    <row r="46" spans="1:4" s="62" customFormat="1" ht="12" customHeight="1" thickBot="1">
      <c r="A46" s="39" t="s">
        <v>16</v>
      </c>
      <c r="B46" s="40" t="s">
        <v>414</v>
      </c>
      <c r="C46" s="26">
        <f>SUM(C47:C51)</f>
        <v>48570675</v>
      </c>
      <c r="D46" s="26">
        <f>SUM(D47:D51)</f>
        <v>48600724</v>
      </c>
    </row>
    <row r="47" spans="1:4" ht="12" customHeight="1">
      <c r="A47" s="31" t="s">
        <v>95</v>
      </c>
      <c r="B47" s="38" t="s">
        <v>46</v>
      </c>
      <c r="C47" s="44">
        <f>35078450+366300</f>
        <v>35444750</v>
      </c>
      <c r="D47" s="44">
        <f>35078450+366300+140700-135000+24868</f>
        <v>35475318</v>
      </c>
    </row>
    <row r="48" spans="1:4" ht="12" customHeight="1">
      <c r="A48" s="31" t="s">
        <v>96</v>
      </c>
      <c r="B48" s="32" t="s">
        <v>174</v>
      </c>
      <c r="C48" s="63">
        <f>7138361+66437</f>
        <v>7204798</v>
      </c>
      <c r="D48" s="63">
        <f>7138361+66437+27743-20062</f>
        <v>7212479</v>
      </c>
    </row>
    <row r="49" spans="1:4" ht="12" customHeight="1">
      <c r="A49" s="31" t="s">
        <v>97</v>
      </c>
      <c r="B49" s="32" t="s">
        <v>133</v>
      </c>
      <c r="C49" s="63">
        <f>5900427+20700</f>
        <v>5921127</v>
      </c>
      <c r="D49" s="63">
        <f>5900427+20700-5739-2461</f>
        <v>5912927</v>
      </c>
    </row>
    <row r="50" spans="1:4" ht="12" customHeight="1">
      <c r="A50" s="31" t="s">
        <v>98</v>
      </c>
      <c r="B50" s="32" t="s">
        <v>175</v>
      </c>
      <c r="C50" s="63"/>
      <c r="D50" s="63"/>
    </row>
    <row r="51" spans="1:4" ht="12" customHeight="1" thickBot="1">
      <c r="A51" s="31" t="s">
        <v>141</v>
      </c>
      <c r="B51" s="32" t="s">
        <v>176</v>
      </c>
      <c r="C51" s="63"/>
      <c r="D51" s="63"/>
    </row>
    <row r="52" spans="1:4" ht="12" customHeight="1" thickBot="1">
      <c r="A52" s="39" t="s">
        <v>17</v>
      </c>
      <c r="B52" s="40" t="s">
        <v>415</v>
      </c>
      <c r="C52" s="26">
        <f>SUM(C53:C55)</f>
        <v>330000</v>
      </c>
      <c r="D52" s="26">
        <f>SUM(D53:D55)</f>
        <v>330000</v>
      </c>
    </row>
    <row r="53" spans="1:4" s="62" customFormat="1" ht="12" customHeight="1">
      <c r="A53" s="31" t="s">
        <v>101</v>
      </c>
      <c r="B53" s="38" t="s">
        <v>219</v>
      </c>
      <c r="C53" s="44">
        <v>330000</v>
      </c>
      <c r="D53" s="44">
        <v>330000</v>
      </c>
    </row>
    <row r="54" spans="1:4" ht="12" customHeight="1">
      <c r="A54" s="31" t="s">
        <v>102</v>
      </c>
      <c r="B54" s="32" t="s">
        <v>178</v>
      </c>
      <c r="C54" s="63"/>
      <c r="D54" s="63"/>
    </row>
    <row r="55" spans="1:4" ht="12" customHeight="1">
      <c r="A55" s="31" t="s">
        <v>103</v>
      </c>
      <c r="B55" s="32" t="s">
        <v>55</v>
      </c>
      <c r="C55" s="63"/>
      <c r="D55" s="63"/>
    </row>
    <row r="56" spans="1:4" ht="12" customHeight="1" thickBot="1">
      <c r="A56" s="31" t="s">
        <v>104</v>
      </c>
      <c r="B56" s="32" t="s">
        <v>518</v>
      </c>
      <c r="C56" s="63"/>
      <c r="D56" s="63"/>
    </row>
    <row r="57" spans="1:4" ht="12" customHeight="1" thickBot="1">
      <c r="A57" s="39" t="s">
        <v>18</v>
      </c>
      <c r="B57" s="40" t="s">
        <v>12</v>
      </c>
      <c r="C57" s="41"/>
      <c r="D57" s="41"/>
    </row>
    <row r="58" spans="1:4" ht="15" customHeight="1" thickBot="1">
      <c r="A58" s="39" t="s">
        <v>19</v>
      </c>
      <c r="B58" s="64" t="s">
        <v>523</v>
      </c>
      <c r="C58" s="65">
        <f>+C46+C52+C57</f>
        <v>48900675</v>
      </c>
      <c r="D58" s="65">
        <f>+D46+D52+D57</f>
        <v>48930724</v>
      </c>
    </row>
    <row r="59" spans="1:4" ht="13.5" thickBot="1">
      <c r="C59" s="67"/>
      <c r="D59" s="67"/>
    </row>
    <row r="60" spans="1:4" ht="15" customHeight="1" thickBot="1">
      <c r="A60" s="68" t="s">
        <v>513</v>
      </c>
      <c r="B60" s="69"/>
      <c r="C60" s="70">
        <v>8</v>
      </c>
      <c r="D60" s="70">
        <v>8</v>
      </c>
    </row>
    <row r="61" spans="1:4" ht="14.25" customHeight="1" thickBot="1">
      <c r="A61" s="68" t="s">
        <v>196</v>
      </c>
      <c r="B61" s="69"/>
      <c r="C61" s="70"/>
      <c r="D61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FFC000"/>
  </sheetPr>
  <dimension ref="A1:E168"/>
  <sheetViews>
    <sheetView zoomScaleNormal="100" zoomScaleSheetLayoutView="100" workbookViewId="0">
      <selection activeCell="B1" sqref="B1"/>
    </sheetView>
  </sheetViews>
  <sheetFormatPr defaultRowHeight="15.75"/>
  <cols>
    <col min="1" max="1" width="7.1640625" style="71" bestFit="1" customWidth="1"/>
    <col min="2" max="2" width="76.5" style="71" bestFit="1" customWidth="1"/>
    <col min="3" max="5" width="21.33203125" style="146" customWidth="1"/>
    <col min="6" max="16384" width="9.33203125" style="71"/>
  </cols>
  <sheetData>
    <row r="1" spans="1:5" s="640" customFormat="1">
      <c r="B1" s="640" t="s">
        <v>757</v>
      </c>
      <c r="C1" s="641"/>
      <c r="D1" s="641"/>
      <c r="E1" s="641"/>
    </row>
    <row r="5" spans="1:5">
      <c r="B5" s="510" t="s">
        <v>690</v>
      </c>
    </row>
    <row r="6" spans="1:5">
      <c r="B6" s="510" t="s">
        <v>689</v>
      </c>
    </row>
    <row r="7" spans="1:5">
      <c r="B7" s="518" t="s">
        <v>692</v>
      </c>
    </row>
    <row r="10" spans="1:5" ht="15.95" customHeight="1">
      <c r="A10" s="692" t="s">
        <v>13</v>
      </c>
      <c r="B10" s="692"/>
      <c r="C10" s="71"/>
      <c r="D10" s="71"/>
      <c r="E10" s="71"/>
    </row>
    <row r="11" spans="1:5" ht="15.95" customHeight="1" thickBot="1">
      <c r="A11" s="691" t="s">
        <v>144</v>
      </c>
      <c r="B11" s="691"/>
      <c r="C11" s="72" t="s">
        <v>589</v>
      </c>
      <c r="D11" s="72" t="s">
        <v>589</v>
      </c>
      <c r="E11" s="72" t="s">
        <v>589</v>
      </c>
    </row>
    <row r="12" spans="1:5" ht="38.1" customHeight="1" thickBot="1">
      <c r="A12" s="73" t="s">
        <v>66</v>
      </c>
      <c r="B12" s="74" t="s">
        <v>15</v>
      </c>
      <c r="C12" s="16" t="s">
        <v>688</v>
      </c>
      <c r="D12" s="16" t="s">
        <v>739</v>
      </c>
      <c r="E12" s="16" t="s">
        <v>744</v>
      </c>
    </row>
    <row r="13" spans="1:5" s="78" customFormat="1" ht="12" customHeight="1" thickBot="1">
      <c r="A13" s="75" t="s">
        <v>486</v>
      </c>
      <c r="B13" s="76" t="s">
        <v>487</v>
      </c>
      <c r="C13" s="77" t="s">
        <v>488</v>
      </c>
      <c r="D13" s="77" t="s">
        <v>488</v>
      </c>
      <c r="E13" s="77" t="s">
        <v>488</v>
      </c>
    </row>
    <row r="14" spans="1:5" s="82" customFormat="1" ht="12" customHeight="1" thickBot="1">
      <c r="A14" s="79" t="s">
        <v>16</v>
      </c>
      <c r="B14" s="80" t="s">
        <v>244</v>
      </c>
      <c r="C14" s="81">
        <f>+C15+C16+C17+C18+C19+C20</f>
        <v>218395679</v>
      </c>
      <c r="D14" s="81">
        <f>+D15+D16+D17+D18+D19+D20</f>
        <v>218917790</v>
      </c>
      <c r="E14" s="81">
        <f>+E15+E16+E17+E18+E19+E20</f>
        <v>217376765</v>
      </c>
    </row>
    <row r="15" spans="1:5" s="82" customFormat="1" ht="12" customHeight="1">
      <c r="A15" s="83" t="s">
        <v>95</v>
      </c>
      <c r="B15" s="84" t="s">
        <v>245</v>
      </c>
      <c r="C15" s="85">
        <v>117822978</v>
      </c>
      <c r="D15" s="85">
        <v>117822978</v>
      </c>
      <c r="E15" s="85">
        <v>117822978</v>
      </c>
    </row>
    <row r="16" spans="1:5" s="82" customFormat="1" ht="12" customHeight="1">
      <c r="A16" s="86" t="s">
        <v>96</v>
      </c>
      <c r="B16" s="87" t="s">
        <v>246</v>
      </c>
      <c r="C16" s="88">
        <v>56900500</v>
      </c>
      <c r="D16" s="88">
        <v>56900500</v>
      </c>
      <c r="E16" s="88">
        <v>54085700</v>
      </c>
    </row>
    <row r="17" spans="1:5" s="82" customFormat="1" ht="12" customHeight="1">
      <c r="A17" s="86" t="s">
        <v>97</v>
      </c>
      <c r="B17" s="87" t="s">
        <v>247</v>
      </c>
      <c r="C17" s="88">
        <v>40194081</v>
      </c>
      <c r="D17" s="88">
        <v>40194081</v>
      </c>
      <c r="E17" s="88">
        <v>40042081</v>
      </c>
    </row>
    <row r="18" spans="1:5" s="82" customFormat="1" ht="12" customHeight="1">
      <c r="A18" s="86" t="s">
        <v>98</v>
      </c>
      <c r="B18" s="87" t="s">
        <v>248</v>
      </c>
      <c r="C18" s="88">
        <v>3063720</v>
      </c>
      <c r="D18" s="88">
        <f>3063720+280587</f>
        <v>3344307</v>
      </c>
      <c r="E18" s="88">
        <v>3942952</v>
      </c>
    </row>
    <row r="19" spans="1:5" s="82" customFormat="1" ht="12" customHeight="1">
      <c r="A19" s="86" t="s">
        <v>141</v>
      </c>
      <c r="B19" s="89" t="s">
        <v>429</v>
      </c>
      <c r="C19" s="88">
        <v>414400</v>
      </c>
      <c r="D19" s="88">
        <f>414400+241524</f>
        <v>655924</v>
      </c>
      <c r="E19" s="88">
        <v>1483054</v>
      </c>
    </row>
    <row r="20" spans="1:5" s="82" customFormat="1" ht="12" customHeight="1" thickBot="1">
      <c r="A20" s="90" t="s">
        <v>99</v>
      </c>
      <c r="B20" s="91" t="s">
        <v>430</v>
      </c>
      <c r="C20" s="88"/>
      <c r="D20" s="88"/>
      <c r="E20" s="88"/>
    </row>
    <row r="21" spans="1:5" s="82" customFormat="1" ht="12" customHeight="1" thickBot="1">
      <c r="A21" s="79" t="s">
        <v>17</v>
      </c>
      <c r="B21" s="92" t="s">
        <v>249</v>
      </c>
      <c r="C21" s="81">
        <f>+C22+C23+C24+C25+C26</f>
        <v>75494632</v>
      </c>
      <c r="D21" s="81">
        <f>+D22+D23+D24+D25+D26</f>
        <v>78433035</v>
      </c>
      <c r="E21" s="81">
        <f>+E22+E23+E24+E25+E26</f>
        <v>79375025</v>
      </c>
    </row>
    <row r="22" spans="1:5" s="82" customFormat="1" ht="12" customHeight="1">
      <c r="A22" s="83" t="s">
        <v>101</v>
      </c>
      <c r="B22" s="84" t="s">
        <v>250</v>
      </c>
      <c r="C22" s="85"/>
      <c r="D22" s="85"/>
      <c r="E22" s="85"/>
    </row>
    <row r="23" spans="1:5" s="82" customFormat="1" ht="12" customHeight="1">
      <c r="A23" s="86" t="s">
        <v>102</v>
      </c>
      <c r="B23" s="87" t="s">
        <v>251</v>
      </c>
      <c r="C23" s="88"/>
      <c r="D23" s="88"/>
      <c r="E23" s="88"/>
    </row>
    <row r="24" spans="1:5" s="82" customFormat="1" ht="12" customHeight="1">
      <c r="A24" s="86" t="s">
        <v>103</v>
      </c>
      <c r="B24" s="87" t="s">
        <v>419</v>
      </c>
      <c r="C24" s="88"/>
      <c r="D24" s="88"/>
      <c r="E24" s="88"/>
    </row>
    <row r="25" spans="1:5" s="82" customFormat="1" ht="12" customHeight="1">
      <c r="A25" s="86" t="s">
        <v>104</v>
      </c>
      <c r="B25" s="87" t="s">
        <v>420</v>
      </c>
      <c r="C25" s="88"/>
      <c r="D25" s="88"/>
      <c r="E25" s="88"/>
    </row>
    <row r="26" spans="1:5" s="82" customFormat="1" ht="12" customHeight="1">
      <c r="A26" s="86" t="s">
        <v>105</v>
      </c>
      <c r="B26" s="87" t="s">
        <v>252</v>
      </c>
      <c r="C26" s="88">
        <f>73241871+1252761+1000000</f>
        <v>75494632</v>
      </c>
      <c r="D26" s="88">
        <f>74062703+1252761+1000000+78540+119640+1919391</f>
        <v>78433035</v>
      </c>
      <c r="E26" s="88">
        <f>77080192+1000000+1294833</f>
        <v>79375025</v>
      </c>
    </row>
    <row r="27" spans="1:5" s="82" customFormat="1" ht="12" customHeight="1" thickBot="1">
      <c r="A27" s="90" t="s">
        <v>114</v>
      </c>
      <c r="B27" s="91" t="s">
        <v>253</v>
      </c>
      <c r="C27" s="93"/>
      <c r="D27" s="93"/>
      <c r="E27" s="93"/>
    </row>
    <row r="28" spans="1:5" s="82" customFormat="1" ht="12" customHeight="1" thickBot="1">
      <c r="A28" s="79" t="s">
        <v>18</v>
      </c>
      <c r="B28" s="80" t="s">
        <v>254</v>
      </c>
      <c r="C28" s="81">
        <f>+C29+C30+C31+C32+C33</f>
        <v>55972518</v>
      </c>
      <c r="D28" s="81">
        <f>+D29+D30+D31+D32+D33</f>
        <v>55972518</v>
      </c>
      <c r="E28" s="81">
        <f>+E29+E30+E31+E32+E33</f>
        <v>63789960</v>
      </c>
    </row>
    <row r="29" spans="1:5" s="82" customFormat="1" ht="12" customHeight="1">
      <c r="A29" s="83" t="s">
        <v>84</v>
      </c>
      <c r="B29" s="84" t="s">
        <v>255</v>
      </c>
      <c r="C29" s="85"/>
      <c r="D29" s="85"/>
      <c r="E29" s="85"/>
    </row>
    <row r="30" spans="1:5" s="82" customFormat="1" ht="12" customHeight="1">
      <c r="A30" s="86" t="s">
        <v>85</v>
      </c>
      <c r="B30" s="87" t="s">
        <v>256</v>
      </c>
      <c r="C30" s="88"/>
      <c r="D30" s="88"/>
      <c r="E30" s="88"/>
    </row>
    <row r="31" spans="1:5" s="82" customFormat="1" ht="12" customHeight="1">
      <c r="A31" s="86" t="s">
        <v>86</v>
      </c>
      <c r="B31" s="87" t="s">
        <v>421</v>
      </c>
      <c r="C31" s="88"/>
      <c r="D31" s="88"/>
      <c r="E31" s="88"/>
    </row>
    <row r="32" spans="1:5" s="82" customFormat="1" ht="12" customHeight="1">
      <c r="A32" s="86" t="s">
        <v>87</v>
      </c>
      <c r="B32" s="87" t="s">
        <v>422</v>
      </c>
      <c r="C32" s="88"/>
      <c r="D32" s="88"/>
      <c r="E32" s="88"/>
    </row>
    <row r="33" spans="1:5" s="82" customFormat="1" ht="12" customHeight="1">
      <c r="A33" s="86" t="s">
        <v>162</v>
      </c>
      <c r="B33" s="87" t="s">
        <v>257</v>
      </c>
      <c r="C33" s="88">
        <v>55972518</v>
      </c>
      <c r="D33" s="88">
        <v>55972518</v>
      </c>
      <c r="E33" s="88">
        <f>63789960</f>
        <v>63789960</v>
      </c>
    </row>
    <row r="34" spans="1:5" s="82" customFormat="1" ht="12" customHeight="1" thickBot="1">
      <c r="A34" s="90" t="s">
        <v>163</v>
      </c>
      <c r="B34" s="94" t="s">
        <v>258</v>
      </c>
      <c r="C34" s="93"/>
      <c r="D34" s="93"/>
      <c r="E34" s="93"/>
    </row>
    <row r="35" spans="1:5" s="82" customFormat="1" ht="12" customHeight="1" thickBot="1">
      <c r="A35" s="79" t="s">
        <v>164</v>
      </c>
      <c r="B35" s="80" t="s">
        <v>259</v>
      </c>
      <c r="C35" s="95">
        <f>+C36+C40+C41+C42</f>
        <v>129930000</v>
      </c>
      <c r="D35" s="95">
        <f>+D36+D40+D41+D42</f>
        <v>129930000</v>
      </c>
      <c r="E35" s="95">
        <f>+E36+E40+E41+E42</f>
        <v>129935000</v>
      </c>
    </row>
    <row r="36" spans="1:5" s="82" customFormat="1" ht="12" customHeight="1">
      <c r="A36" s="83" t="s">
        <v>260</v>
      </c>
      <c r="B36" s="159" t="s">
        <v>436</v>
      </c>
      <c r="C36" s="96">
        <f>+C37+C38+C39</f>
        <v>94400000</v>
      </c>
      <c r="D36" s="96">
        <f>+D37+D38+D39</f>
        <v>94400000</v>
      </c>
      <c r="E36" s="96">
        <f>+E37+E38+E39</f>
        <v>94400000</v>
      </c>
    </row>
    <row r="37" spans="1:5" s="82" customFormat="1" ht="12" customHeight="1">
      <c r="A37" s="86" t="s">
        <v>261</v>
      </c>
      <c r="B37" s="160" t="s">
        <v>604</v>
      </c>
      <c r="C37" s="88">
        <v>56400000</v>
      </c>
      <c r="D37" s="88">
        <v>56400000</v>
      </c>
      <c r="E37" s="88">
        <v>56400000</v>
      </c>
    </row>
    <row r="38" spans="1:5" s="82" customFormat="1" ht="12" customHeight="1">
      <c r="A38" s="86" t="s">
        <v>262</v>
      </c>
      <c r="B38" s="160" t="s">
        <v>605</v>
      </c>
      <c r="C38" s="88"/>
      <c r="D38" s="88"/>
      <c r="E38" s="88"/>
    </row>
    <row r="39" spans="1:5" s="82" customFormat="1" ht="12" customHeight="1">
      <c r="A39" s="86" t="s">
        <v>434</v>
      </c>
      <c r="B39" s="161" t="s">
        <v>435</v>
      </c>
      <c r="C39" s="88">
        <v>38000000</v>
      </c>
      <c r="D39" s="88">
        <v>38000000</v>
      </c>
      <c r="E39" s="88">
        <v>38000000</v>
      </c>
    </row>
    <row r="40" spans="1:5" s="82" customFormat="1" ht="12" customHeight="1">
      <c r="A40" s="86" t="s">
        <v>263</v>
      </c>
      <c r="B40" s="160" t="s">
        <v>268</v>
      </c>
      <c r="C40" s="88">
        <v>7400000</v>
      </c>
      <c r="D40" s="88">
        <v>7400000</v>
      </c>
      <c r="E40" s="88">
        <v>7400000</v>
      </c>
    </row>
    <row r="41" spans="1:5" s="82" customFormat="1" ht="12" customHeight="1">
      <c r="A41" s="86" t="s">
        <v>264</v>
      </c>
      <c r="B41" s="160" t="s">
        <v>582</v>
      </c>
      <c r="C41" s="88">
        <v>27500000</v>
      </c>
      <c r="D41" s="88">
        <v>27500000</v>
      </c>
      <c r="E41" s="88">
        <v>27500000</v>
      </c>
    </row>
    <row r="42" spans="1:5" s="82" customFormat="1" ht="12" customHeight="1" thickBot="1">
      <c r="A42" s="90" t="s">
        <v>265</v>
      </c>
      <c r="B42" s="162" t="s">
        <v>270</v>
      </c>
      <c r="C42" s="93">
        <v>630000</v>
      </c>
      <c r="D42" s="93">
        <v>630000</v>
      </c>
      <c r="E42" s="93">
        <f>630000+5000</f>
        <v>635000</v>
      </c>
    </row>
    <row r="43" spans="1:5" s="82" customFormat="1" ht="12" customHeight="1" thickBot="1">
      <c r="A43" s="79" t="s">
        <v>20</v>
      </c>
      <c r="B43" s="80" t="s">
        <v>431</v>
      </c>
      <c r="C43" s="81">
        <f>SUM(C44:C54)</f>
        <v>45238605</v>
      </c>
      <c r="D43" s="81">
        <f>SUM(D44:D54)</f>
        <v>45238605</v>
      </c>
      <c r="E43" s="81">
        <f>SUM(E44:E54)</f>
        <v>36537594</v>
      </c>
    </row>
    <row r="44" spans="1:5" s="82" customFormat="1" ht="12" customHeight="1">
      <c r="A44" s="83" t="s">
        <v>88</v>
      </c>
      <c r="B44" s="84" t="s">
        <v>273</v>
      </c>
      <c r="C44" s="85"/>
      <c r="D44" s="85"/>
      <c r="E44" s="85"/>
    </row>
    <row r="45" spans="1:5" s="82" customFormat="1" ht="12" customHeight="1">
      <c r="A45" s="86" t="s">
        <v>89</v>
      </c>
      <c r="B45" s="87" t="s">
        <v>274</v>
      </c>
      <c r="C45" s="88">
        <f>94800709-79573589+1050000+2120000</f>
        <v>18397120</v>
      </c>
      <c r="D45" s="88">
        <f>94800709-79573589+1050000+2120000</f>
        <v>18397120</v>
      </c>
      <c r="E45" s="88">
        <f>8295754+2120000+1050000</f>
        <v>11465754</v>
      </c>
    </row>
    <row r="46" spans="1:5" s="82" customFormat="1" ht="12" customHeight="1">
      <c r="A46" s="86" t="s">
        <v>90</v>
      </c>
      <c r="B46" s="87" t="s">
        <v>275</v>
      </c>
      <c r="C46" s="88">
        <f>2400000+560000+400000</f>
        <v>3360000</v>
      </c>
      <c r="D46" s="88">
        <f>2400000+560000+400000</f>
        <v>3360000</v>
      </c>
      <c r="E46" s="88">
        <f>2400000+400000+560000</f>
        <v>3360000</v>
      </c>
    </row>
    <row r="47" spans="1:5" s="82" customFormat="1" ht="12" customHeight="1">
      <c r="A47" s="86" t="s">
        <v>166</v>
      </c>
      <c r="B47" s="87" t="s">
        <v>276</v>
      </c>
      <c r="C47" s="88"/>
      <c r="D47" s="88"/>
      <c r="E47" s="88"/>
    </row>
    <row r="48" spans="1:5" s="82" customFormat="1" ht="12" customHeight="1">
      <c r="A48" s="86" t="s">
        <v>167</v>
      </c>
      <c r="B48" s="87" t="s">
        <v>277</v>
      </c>
      <c r="C48" s="88">
        <v>1500000</v>
      </c>
      <c r="D48" s="88">
        <v>1500000</v>
      </c>
      <c r="E48" s="88">
        <f>1500000</f>
        <v>1500000</v>
      </c>
    </row>
    <row r="49" spans="1:5" s="82" customFormat="1" ht="12" customHeight="1">
      <c r="A49" s="86" t="s">
        <v>168</v>
      </c>
      <c r="B49" s="87" t="s">
        <v>278</v>
      </c>
      <c r="C49" s="88">
        <f>26748983-21484869+2282276</f>
        <v>7546390</v>
      </c>
      <c r="D49" s="88">
        <f>26748983-21484869+2282276</f>
        <v>7546390</v>
      </c>
      <c r="E49" s="88">
        <f>5674921</f>
        <v>5674921</v>
      </c>
    </row>
    <row r="50" spans="1:5" s="82" customFormat="1" ht="12" customHeight="1">
      <c r="A50" s="86" t="s">
        <v>169</v>
      </c>
      <c r="B50" s="87" t="s">
        <v>279</v>
      </c>
      <c r="C50" s="88">
        <v>14000000</v>
      </c>
      <c r="D50" s="88">
        <v>14000000</v>
      </c>
      <c r="E50" s="88">
        <f>14000000</f>
        <v>14000000</v>
      </c>
    </row>
    <row r="51" spans="1:5" s="82" customFormat="1" ht="12" customHeight="1">
      <c r="A51" s="86" t="s">
        <v>170</v>
      </c>
      <c r="B51" s="87" t="s">
        <v>280</v>
      </c>
      <c r="C51" s="88">
        <f>20000+140+100</f>
        <v>20240</v>
      </c>
      <c r="D51" s="88">
        <f>20000+140+100</f>
        <v>20240</v>
      </c>
      <c r="E51" s="88">
        <f>20000+100+140</f>
        <v>20240</v>
      </c>
    </row>
    <row r="52" spans="1:5" s="82" customFormat="1" ht="12" customHeight="1">
      <c r="A52" s="86" t="s">
        <v>271</v>
      </c>
      <c r="B52" s="87" t="s">
        <v>281</v>
      </c>
      <c r="C52" s="98"/>
      <c r="D52" s="98"/>
      <c r="E52" s="98"/>
    </row>
    <row r="53" spans="1:5" s="82" customFormat="1" ht="12" customHeight="1">
      <c r="A53" s="90" t="s">
        <v>272</v>
      </c>
      <c r="B53" s="94" t="s">
        <v>433</v>
      </c>
      <c r="C53" s="99"/>
      <c r="D53" s="99"/>
      <c r="E53" s="99"/>
    </row>
    <row r="54" spans="1:5" s="82" customFormat="1" ht="12" customHeight="1" thickBot="1">
      <c r="A54" s="90" t="s">
        <v>432</v>
      </c>
      <c r="B54" s="91" t="s">
        <v>282</v>
      </c>
      <c r="C54" s="99">
        <f>412855+1000+1000</f>
        <v>414855</v>
      </c>
      <c r="D54" s="99">
        <f>412855+1000+1000</f>
        <v>414855</v>
      </c>
      <c r="E54" s="99">
        <f>495679+20000+1000</f>
        <v>516679</v>
      </c>
    </row>
    <row r="55" spans="1:5" s="82" customFormat="1" ht="12" customHeight="1" thickBot="1">
      <c r="A55" s="79" t="s">
        <v>21</v>
      </c>
      <c r="B55" s="80" t="s">
        <v>283</v>
      </c>
      <c r="C55" s="81">
        <f>SUM(C56:C60)</f>
        <v>0</v>
      </c>
      <c r="D55" s="81">
        <f>SUM(D56:D60)</f>
        <v>0</v>
      </c>
      <c r="E55" s="81">
        <f>SUM(E56:E60)</f>
        <v>0</v>
      </c>
    </row>
    <row r="56" spans="1:5" s="82" customFormat="1" ht="12" customHeight="1">
      <c r="A56" s="83" t="s">
        <v>91</v>
      </c>
      <c r="B56" s="84" t="s">
        <v>287</v>
      </c>
      <c r="C56" s="100"/>
      <c r="D56" s="100"/>
      <c r="E56" s="100"/>
    </row>
    <row r="57" spans="1:5" s="82" customFormat="1" ht="12" customHeight="1">
      <c r="A57" s="86" t="s">
        <v>92</v>
      </c>
      <c r="B57" s="87" t="s">
        <v>288</v>
      </c>
      <c r="C57" s="98"/>
      <c r="D57" s="98"/>
      <c r="E57" s="98"/>
    </row>
    <row r="58" spans="1:5" s="82" customFormat="1" ht="12" customHeight="1">
      <c r="A58" s="86" t="s">
        <v>284</v>
      </c>
      <c r="B58" s="87" t="s">
        <v>289</v>
      </c>
      <c r="C58" s="98"/>
      <c r="D58" s="98"/>
      <c r="E58" s="98"/>
    </row>
    <row r="59" spans="1:5" s="82" customFormat="1" ht="12" customHeight="1">
      <c r="A59" s="86" t="s">
        <v>285</v>
      </c>
      <c r="B59" s="87" t="s">
        <v>290</v>
      </c>
      <c r="C59" s="98"/>
      <c r="D59" s="98"/>
      <c r="E59" s="98"/>
    </row>
    <row r="60" spans="1:5" s="82" customFormat="1" ht="12" customHeight="1" thickBot="1">
      <c r="A60" s="90" t="s">
        <v>286</v>
      </c>
      <c r="B60" s="91" t="s">
        <v>291</v>
      </c>
      <c r="C60" s="99"/>
      <c r="D60" s="99"/>
      <c r="E60" s="99"/>
    </row>
    <row r="61" spans="1:5" s="82" customFormat="1" ht="12" customHeight="1" thickBot="1">
      <c r="A61" s="79" t="s">
        <v>171</v>
      </c>
      <c r="B61" s="80" t="s">
        <v>292</v>
      </c>
      <c r="C61" s="81">
        <f>SUM(C62:C64)</f>
        <v>0</v>
      </c>
      <c r="D61" s="81">
        <f>SUM(D62:D64)</f>
        <v>0</v>
      </c>
      <c r="E61" s="81">
        <f>SUM(E62:E64)</f>
        <v>0</v>
      </c>
    </row>
    <row r="62" spans="1:5" s="82" customFormat="1" ht="12" customHeight="1">
      <c r="A62" s="83" t="s">
        <v>93</v>
      </c>
      <c r="B62" s="84" t="s">
        <v>293</v>
      </c>
      <c r="C62" s="85"/>
      <c r="D62" s="85"/>
      <c r="E62" s="85"/>
    </row>
    <row r="63" spans="1:5" s="82" customFormat="1" ht="12" customHeight="1">
      <c r="A63" s="86" t="s">
        <v>94</v>
      </c>
      <c r="B63" s="87" t="s">
        <v>423</v>
      </c>
      <c r="C63" s="88"/>
      <c r="D63" s="88"/>
      <c r="E63" s="88"/>
    </row>
    <row r="64" spans="1:5" s="82" customFormat="1" ht="12" customHeight="1">
      <c r="A64" s="86" t="s">
        <v>296</v>
      </c>
      <c r="B64" s="87" t="s">
        <v>294</v>
      </c>
      <c r="C64" s="88"/>
      <c r="D64" s="88"/>
      <c r="E64" s="88"/>
    </row>
    <row r="65" spans="1:5" s="82" customFormat="1" ht="12" customHeight="1" thickBot="1">
      <c r="A65" s="90" t="s">
        <v>297</v>
      </c>
      <c r="B65" s="91" t="s">
        <v>295</v>
      </c>
      <c r="C65" s="93"/>
      <c r="D65" s="93"/>
      <c r="E65" s="93"/>
    </row>
    <row r="66" spans="1:5" s="82" customFormat="1" ht="12" customHeight="1" thickBot="1">
      <c r="A66" s="79" t="s">
        <v>23</v>
      </c>
      <c r="B66" s="92" t="s">
        <v>298</v>
      </c>
      <c r="C66" s="81">
        <f>SUM(C67:C69)</f>
        <v>120000</v>
      </c>
      <c r="D66" s="81">
        <f>SUM(D67:D69)</f>
        <v>120000</v>
      </c>
      <c r="E66" s="81">
        <f>SUM(E67:E69)</f>
        <v>120000</v>
      </c>
    </row>
    <row r="67" spans="1:5" s="82" customFormat="1" ht="12" customHeight="1">
      <c r="A67" s="83" t="s">
        <v>172</v>
      </c>
      <c r="B67" s="84" t="s">
        <v>300</v>
      </c>
      <c r="C67" s="98"/>
      <c r="D67" s="98"/>
      <c r="E67" s="98"/>
    </row>
    <row r="68" spans="1:5" s="82" customFormat="1" ht="12" customHeight="1">
      <c r="A68" s="86" t="s">
        <v>173</v>
      </c>
      <c r="B68" s="87" t="s">
        <v>424</v>
      </c>
      <c r="C68" s="98">
        <v>120000</v>
      </c>
      <c r="D68" s="98">
        <v>120000</v>
      </c>
      <c r="E68" s="98">
        <f>120000</f>
        <v>120000</v>
      </c>
    </row>
    <row r="69" spans="1:5" s="82" customFormat="1" ht="12" customHeight="1">
      <c r="A69" s="86" t="s">
        <v>221</v>
      </c>
      <c r="B69" s="87" t="s">
        <v>301</v>
      </c>
      <c r="C69" s="98"/>
      <c r="D69" s="98"/>
      <c r="E69" s="98"/>
    </row>
    <row r="70" spans="1:5" s="82" customFormat="1" ht="12" customHeight="1" thickBot="1">
      <c r="A70" s="90" t="s">
        <v>299</v>
      </c>
      <c r="B70" s="91" t="s">
        <v>302</v>
      </c>
      <c r="C70" s="98"/>
      <c r="D70" s="98"/>
      <c r="E70" s="98"/>
    </row>
    <row r="71" spans="1:5" s="82" customFormat="1" ht="12" customHeight="1" thickBot="1">
      <c r="A71" s="101" t="s">
        <v>475</v>
      </c>
      <c r="B71" s="80" t="s">
        <v>303</v>
      </c>
      <c r="C71" s="95">
        <f>+C14+C21+C28+C35+C43+C55+C61+C66</f>
        <v>525151434</v>
      </c>
      <c r="D71" s="95">
        <f>+D14+D21+D28+D35+D43+D55+D61+D66</f>
        <v>528611948</v>
      </c>
      <c r="E71" s="95">
        <f>+E14+E21+E28+E35+E43+E55+E61+E66</f>
        <v>527134344</v>
      </c>
    </row>
    <row r="72" spans="1:5" s="82" customFormat="1" ht="12" customHeight="1" thickBot="1">
      <c r="A72" s="102" t="s">
        <v>304</v>
      </c>
      <c r="B72" s="92" t="s">
        <v>305</v>
      </c>
      <c r="C72" s="81">
        <f>SUM(C73:C75)</f>
        <v>0</v>
      </c>
      <c r="D72" s="81">
        <f>SUM(D73:D75)</f>
        <v>0</v>
      </c>
      <c r="E72" s="81">
        <f>SUM(E73:E75)</f>
        <v>0</v>
      </c>
    </row>
    <row r="73" spans="1:5" s="82" customFormat="1" ht="12" customHeight="1">
      <c r="A73" s="83" t="s">
        <v>336</v>
      </c>
      <c r="B73" s="84" t="s">
        <v>306</v>
      </c>
      <c r="C73" s="98"/>
      <c r="D73" s="98"/>
      <c r="E73" s="98"/>
    </row>
    <row r="74" spans="1:5" s="82" customFormat="1" ht="12" customHeight="1">
      <c r="A74" s="86" t="s">
        <v>345</v>
      </c>
      <c r="B74" s="87" t="s">
        <v>307</v>
      </c>
      <c r="C74" s="98"/>
      <c r="D74" s="98"/>
      <c r="E74" s="98"/>
    </row>
    <row r="75" spans="1:5" s="82" customFormat="1" ht="12" customHeight="1" thickBot="1">
      <c r="A75" s="90" t="s">
        <v>346</v>
      </c>
      <c r="B75" s="103" t="s">
        <v>460</v>
      </c>
      <c r="C75" s="98"/>
      <c r="D75" s="98"/>
      <c r="E75" s="98"/>
    </row>
    <row r="76" spans="1:5" s="82" customFormat="1" ht="12" customHeight="1" thickBot="1">
      <c r="A76" s="102" t="s">
        <v>309</v>
      </c>
      <c r="B76" s="92" t="s">
        <v>310</v>
      </c>
      <c r="C76" s="81">
        <f>SUM(C77:C80)</f>
        <v>0</v>
      </c>
      <c r="D76" s="81">
        <f>SUM(D77:D80)</f>
        <v>0</v>
      </c>
      <c r="E76" s="81">
        <f>SUM(E77:E80)</f>
        <v>0</v>
      </c>
    </row>
    <row r="77" spans="1:5" s="82" customFormat="1" ht="12" customHeight="1">
      <c r="A77" s="83" t="s">
        <v>142</v>
      </c>
      <c r="B77" s="84" t="s">
        <v>311</v>
      </c>
      <c r="C77" s="98"/>
      <c r="D77" s="98"/>
      <c r="E77" s="98"/>
    </row>
    <row r="78" spans="1:5" s="82" customFormat="1" ht="12" customHeight="1">
      <c r="A78" s="86" t="s">
        <v>143</v>
      </c>
      <c r="B78" s="87" t="s">
        <v>312</v>
      </c>
      <c r="C78" s="98"/>
      <c r="D78" s="98"/>
      <c r="E78" s="98"/>
    </row>
    <row r="79" spans="1:5" s="82" customFormat="1" ht="12" customHeight="1">
      <c r="A79" s="86" t="s">
        <v>337</v>
      </c>
      <c r="B79" s="87" t="s">
        <v>313</v>
      </c>
      <c r="C79" s="98"/>
      <c r="D79" s="98"/>
      <c r="E79" s="98"/>
    </row>
    <row r="80" spans="1:5" s="82" customFormat="1" ht="12" customHeight="1" thickBot="1">
      <c r="A80" s="90" t="s">
        <v>338</v>
      </c>
      <c r="B80" s="91" t="s">
        <v>314</v>
      </c>
      <c r="C80" s="98"/>
      <c r="D80" s="98"/>
      <c r="E80" s="98"/>
    </row>
    <row r="81" spans="1:5" s="82" customFormat="1" ht="12" customHeight="1" thickBot="1">
      <c r="A81" s="102" t="s">
        <v>315</v>
      </c>
      <c r="B81" s="92" t="s">
        <v>316</v>
      </c>
      <c r="C81" s="81">
        <f>SUM(C82:C83)</f>
        <v>609665168</v>
      </c>
      <c r="D81" s="81">
        <f>SUM(D82:D83)</f>
        <v>609665168</v>
      </c>
      <c r="E81" s="81">
        <f>SUM(E82:E83)</f>
        <v>610260913</v>
      </c>
    </row>
    <row r="82" spans="1:5" s="82" customFormat="1" ht="12" customHeight="1">
      <c r="A82" s="83" t="s">
        <v>339</v>
      </c>
      <c r="B82" s="84" t="s">
        <v>317</v>
      </c>
      <c r="C82" s="98">
        <f>606054429+3610739</f>
        <v>609665168</v>
      </c>
      <c r="D82" s="98">
        <f>606054429+3610739</f>
        <v>609665168</v>
      </c>
      <c r="E82" s="98">
        <f>605704429+4556484</f>
        <v>610260913</v>
      </c>
    </row>
    <row r="83" spans="1:5" s="82" customFormat="1" ht="12" customHeight="1" thickBot="1">
      <c r="A83" s="90" t="s">
        <v>340</v>
      </c>
      <c r="B83" s="91" t="s">
        <v>318</v>
      </c>
      <c r="C83" s="98"/>
      <c r="D83" s="98"/>
      <c r="E83" s="98"/>
    </row>
    <row r="84" spans="1:5" s="82" customFormat="1" ht="12" customHeight="1" thickBot="1">
      <c r="A84" s="102" t="s">
        <v>319</v>
      </c>
      <c r="B84" s="92" t="s">
        <v>320</v>
      </c>
      <c r="C84" s="81">
        <f>SUM(C85:C87)</f>
        <v>0</v>
      </c>
      <c r="D84" s="81">
        <f>SUM(D85:D87)</f>
        <v>72564</v>
      </c>
      <c r="E84" s="81">
        <f>SUM(E85:E87)</f>
        <v>72564</v>
      </c>
    </row>
    <row r="85" spans="1:5" s="82" customFormat="1" ht="12" customHeight="1">
      <c r="A85" s="83" t="s">
        <v>341</v>
      </c>
      <c r="B85" s="84" t="s">
        <v>321</v>
      </c>
      <c r="C85" s="98"/>
      <c r="D85" s="98">
        <v>72564</v>
      </c>
      <c r="E85" s="98">
        <f>72564</f>
        <v>72564</v>
      </c>
    </row>
    <row r="86" spans="1:5" s="82" customFormat="1" ht="12" customHeight="1">
      <c r="A86" s="86" t="s">
        <v>342</v>
      </c>
      <c r="B86" s="87" t="s">
        <v>322</v>
      </c>
      <c r="C86" s="98"/>
      <c r="D86" s="98"/>
      <c r="E86" s="98"/>
    </row>
    <row r="87" spans="1:5" s="82" customFormat="1" ht="12" customHeight="1" thickBot="1">
      <c r="A87" s="90" t="s">
        <v>343</v>
      </c>
      <c r="B87" s="91" t="s">
        <v>323</v>
      </c>
      <c r="C87" s="98"/>
      <c r="D87" s="98"/>
      <c r="E87" s="98"/>
    </row>
    <row r="88" spans="1:5" s="82" customFormat="1" ht="12" customHeight="1" thickBot="1">
      <c r="A88" s="102" t="s">
        <v>324</v>
      </c>
      <c r="B88" s="92" t="s">
        <v>344</v>
      </c>
      <c r="C88" s="81">
        <f>SUM(C89:C92)</f>
        <v>0</v>
      </c>
      <c r="D88" s="81">
        <f>SUM(D89:D92)</f>
        <v>0</v>
      </c>
      <c r="E88" s="81">
        <f>SUM(E89:E92)</f>
        <v>0</v>
      </c>
    </row>
    <row r="89" spans="1:5" s="82" customFormat="1" ht="12" customHeight="1">
      <c r="A89" s="104" t="s">
        <v>325</v>
      </c>
      <c r="B89" s="84" t="s">
        <v>326</v>
      </c>
      <c r="C89" s="98"/>
      <c r="D89" s="98"/>
      <c r="E89" s="98"/>
    </row>
    <row r="90" spans="1:5" s="82" customFormat="1" ht="12" customHeight="1">
      <c r="A90" s="105" t="s">
        <v>327</v>
      </c>
      <c r="B90" s="87" t="s">
        <v>328</v>
      </c>
      <c r="C90" s="98"/>
      <c r="D90" s="98"/>
      <c r="E90" s="98"/>
    </row>
    <row r="91" spans="1:5" s="82" customFormat="1" ht="12" customHeight="1">
      <c r="A91" s="105" t="s">
        <v>329</v>
      </c>
      <c r="B91" s="87" t="s">
        <v>330</v>
      </c>
      <c r="C91" s="98"/>
      <c r="D91" s="98"/>
      <c r="E91" s="98"/>
    </row>
    <row r="92" spans="1:5" s="82" customFormat="1" ht="12" customHeight="1" thickBot="1">
      <c r="A92" s="106" t="s">
        <v>331</v>
      </c>
      <c r="B92" s="91" t="s">
        <v>332</v>
      </c>
      <c r="C92" s="98"/>
      <c r="D92" s="98"/>
      <c r="E92" s="98"/>
    </row>
    <row r="93" spans="1:5" s="82" customFormat="1" ht="12" customHeight="1" thickBot="1">
      <c r="A93" s="102" t="s">
        <v>333</v>
      </c>
      <c r="B93" s="92" t="s">
        <v>474</v>
      </c>
      <c r="C93" s="107"/>
      <c r="D93" s="107"/>
      <c r="E93" s="107"/>
    </row>
    <row r="94" spans="1:5" s="82" customFormat="1" ht="13.5" customHeight="1" thickBot="1">
      <c r="A94" s="102" t="s">
        <v>335</v>
      </c>
      <c r="B94" s="92" t="s">
        <v>334</v>
      </c>
      <c r="C94" s="107"/>
      <c r="D94" s="107"/>
      <c r="E94" s="107"/>
    </row>
    <row r="95" spans="1:5" s="82" customFormat="1" ht="15.75" customHeight="1" thickBot="1">
      <c r="A95" s="102" t="s">
        <v>347</v>
      </c>
      <c r="B95" s="108" t="s">
        <v>477</v>
      </c>
      <c r="C95" s="95">
        <f>+C72+C76+C81+C84+C88+C94+C93</f>
        <v>609665168</v>
      </c>
      <c r="D95" s="95">
        <f>+D72+D76+D81+D84+D88+D94+D93</f>
        <v>609737732</v>
      </c>
      <c r="E95" s="95">
        <f>+E72+E76+E81+E84+E88+E94+E93</f>
        <v>610333477</v>
      </c>
    </row>
    <row r="96" spans="1:5" s="82" customFormat="1" ht="16.5" customHeight="1" thickBot="1">
      <c r="A96" s="109" t="s">
        <v>476</v>
      </c>
      <c r="B96" s="110" t="s">
        <v>478</v>
      </c>
      <c r="C96" s="95">
        <f>+C71+C95</f>
        <v>1134816602</v>
      </c>
      <c r="D96" s="95">
        <f>+D71+D95</f>
        <v>1138349680</v>
      </c>
      <c r="E96" s="95">
        <f>+E71+E95</f>
        <v>1137467821</v>
      </c>
    </row>
    <row r="97" spans="1:5" s="82" customFormat="1" ht="83.25" customHeight="1">
      <c r="A97" s="111"/>
      <c r="B97" s="112"/>
      <c r="C97" s="113"/>
      <c r="D97" s="113"/>
      <c r="E97" s="113"/>
    </row>
    <row r="98" spans="1:5" ht="16.5" customHeight="1">
      <c r="A98" s="692" t="s">
        <v>44</v>
      </c>
      <c r="B98" s="692"/>
      <c r="C98" s="71"/>
      <c r="D98" s="71"/>
      <c r="E98" s="71"/>
    </row>
    <row r="99" spans="1:5" s="115" customFormat="1" ht="16.5" customHeight="1" thickBot="1">
      <c r="A99" s="693" t="s">
        <v>145</v>
      </c>
      <c r="B99" s="693"/>
      <c r="C99" s="114"/>
      <c r="D99" s="114"/>
      <c r="E99" s="114"/>
    </row>
    <row r="100" spans="1:5" ht="38.1" customHeight="1" thickBot="1">
      <c r="A100" s="73" t="s">
        <v>66</v>
      </c>
      <c r="B100" s="74" t="s">
        <v>45</v>
      </c>
      <c r="C100" s="155" t="s">
        <v>688</v>
      </c>
      <c r="D100" s="16" t="s">
        <v>739</v>
      </c>
      <c r="E100" s="16" t="s">
        <v>744</v>
      </c>
    </row>
    <row r="101" spans="1:5" s="78" customFormat="1" ht="12" customHeight="1" thickBot="1">
      <c r="A101" s="116" t="s">
        <v>486</v>
      </c>
      <c r="B101" s="117" t="s">
        <v>487</v>
      </c>
      <c r="C101" s="118" t="s">
        <v>488</v>
      </c>
      <c r="D101" s="118" t="s">
        <v>488</v>
      </c>
      <c r="E101" s="118" t="s">
        <v>488</v>
      </c>
    </row>
    <row r="102" spans="1:5" ht="12" customHeight="1" thickBot="1">
      <c r="A102" s="119" t="s">
        <v>16</v>
      </c>
      <c r="B102" s="120" t="s">
        <v>654</v>
      </c>
      <c r="C102" s="121">
        <f>C103+C104+C105+C106+C107+C120</f>
        <v>632246845</v>
      </c>
      <c r="D102" s="121">
        <f>D103+D104+D105+D106+D107+D120</f>
        <v>636443959</v>
      </c>
      <c r="E102" s="121">
        <f>E103+E104+E105+E106+E107+E120</f>
        <v>636860716</v>
      </c>
    </row>
    <row r="103" spans="1:5" ht="12" customHeight="1">
      <c r="A103" s="122" t="s">
        <v>95</v>
      </c>
      <c r="B103" s="29" t="s">
        <v>46</v>
      </c>
      <c r="C103" s="123">
        <f>76128455-13518800+78769100+14125510</f>
        <v>155504265</v>
      </c>
      <c r="D103" s="123">
        <f>76780695-13518800+78769100+14125510</f>
        <v>156156505</v>
      </c>
      <c r="E103" s="123">
        <f>63205944+14644305+78949684</f>
        <v>156799933</v>
      </c>
    </row>
    <row r="104" spans="1:5" ht="12" customHeight="1">
      <c r="A104" s="86" t="s">
        <v>96</v>
      </c>
      <c r="B104" s="32" t="s">
        <v>174</v>
      </c>
      <c r="C104" s="88">
        <f>16384694-2792432+16172510+3315011</f>
        <v>33079783</v>
      </c>
      <c r="D104" s="88">
        <f>16448286-2792432+16172510+3315011</f>
        <v>33143375</v>
      </c>
      <c r="E104" s="88">
        <f>13653397+3420746+16228903</f>
        <v>33303046</v>
      </c>
    </row>
    <row r="105" spans="1:5" ht="12" customHeight="1">
      <c r="A105" s="86" t="s">
        <v>97</v>
      </c>
      <c r="B105" s="32" t="s">
        <v>133</v>
      </c>
      <c r="C105" s="93">
        <f>213143994-60620950+28418129+27475210</f>
        <v>208416383</v>
      </c>
      <c r="D105" s="93">
        <f>213143994-60620950+28418129+27475210+635000+101600</f>
        <v>209152983</v>
      </c>
      <c r="E105" s="93">
        <f>179403962+27475210+28391667</f>
        <v>235270839</v>
      </c>
    </row>
    <row r="106" spans="1:5" ht="12" customHeight="1">
      <c r="A106" s="86" t="s">
        <v>98</v>
      </c>
      <c r="B106" s="124" t="s">
        <v>175</v>
      </c>
      <c r="C106" s="93">
        <f>9710000</f>
        <v>9710000</v>
      </c>
      <c r="D106" s="93">
        <f>9710000</f>
        <v>9710000</v>
      </c>
      <c r="E106" s="93">
        <f>9710000</f>
        <v>9710000</v>
      </c>
    </row>
    <row r="107" spans="1:5" ht="12" customHeight="1">
      <c r="A107" s="86" t="s">
        <v>109</v>
      </c>
      <c r="B107" s="125" t="s">
        <v>176</v>
      </c>
      <c r="C107" s="93">
        <f>C108+C109+C110+C111+C112+C113+C114+C115+C116+C117+C118+C119</f>
        <v>151918362</v>
      </c>
      <c r="D107" s="93">
        <f>D108+D109+D110+D111+D112+D113+D114+D115+D116+D117+D118+D119</f>
        <v>155906226</v>
      </c>
      <c r="E107" s="93">
        <f>E108+E109+E110+E111+E112+E113+E114+E115+E116+E117+E118+E119</f>
        <v>156786215</v>
      </c>
    </row>
    <row r="108" spans="1:5" ht="12" customHeight="1">
      <c r="A108" s="86" t="s">
        <v>99</v>
      </c>
      <c r="B108" s="32" t="s">
        <v>441</v>
      </c>
      <c r="C108" s="93"/>
      <c r="D108" s="93"/>
      <c r="E108" s="93"/>
    </row>
    <row r="109" spans="1:5" ht="12" customHeight="1">
      <c r="A109" s="86" t="s">
        <v>100</v>
      </c>
      <c r="B109" s="126" t="s">
        <v>440</v>
      </c>
      <c r="C109" s="93"/>
      <c r="D109" s="93"/>
      <c r="E109" s="93"/>
    </row>
    <row r="110" spans="1:5" ht="12" customHeight="1">
      <c r="A110" s="86" t="s">
        <v>110</v>
      </c>
      <c r="B110" s="126" t="s">
        <v>439</v>
      </c>
      <c r="C110" s="93">
        <f>272642</f>
        <v>272642</v>
      </c>
      <c r="D110" s="93">
        <f>272642</f>
        <v>272642</v>
      </c>
      <c r="E110" s="93">
        <f>272642</f>
        <v>272642</v>
      </c>
    </row>
    <row r="111" spans="1:5" ht="12" customHeight="1">
      <c r="A111" s="86" t="s">
        <v>111</v>
      </c>
      <c r="B111" s="127" t="s">
        <v>350</v>
      </c>
      <c r="C111" s="93"/>
      <c r="D111" s="93"/>
      <c r="E111" s="93"/>
    </row>
    <row r="112" spans="1:5" ht="12" customHeight="1">
      <c r="A112" s="86" t="s">
        <v>112</v>
      </c>
      <c r="B112" s="128" t="s">
        <v>351</v>
      </c>
      <c r="C112" s="93"/>
      <c r="D112" s="93"/>
      <c r="E112" s="93"/>
    </row>
    <row r="113" spans="1:5" ht="12" customHeight="1">
      <c r="A113" s="86" t="s">
        <v>113</v>
      </c>
      <c r="B113" s="128" t="s">
        <v>352</v>
      </c>
      <c r="C113" s="93"/>
      <c r="D113" s="93"/>
      <c r="E113" s="93"/>
    </row>
    <row r="114" spans="1:5" ht="12" customHeight="1">
      <c r="A114" s="86" t="s">
        <v>115</v>
      </c>
      <c r="B114" s="127" t="s">
        <v>353</v>
      </c>
      <c r="C114" s="93">
        <f>112674020</f>
        <v>112674020</v>
      </c>
      <c r="D114" s="93">
        <f>112674020+3987864</f>
        <v>116661884</v>
      </c>
      <c r="E114" s="93">
        <f>117511873</f>
        <v>117511873</v>
      </c>
    </row>
    <row r="115" spans="1:5" ht="12" customHeight="1">
      <c r="A115" s="86" t="s">
        <v>177</v>
      </c>
      <c r="B115" s="127" t="s">
        <v>354</v>
      </c>
      <c r="C115" s="93"/>
      <c r="D115" s="93"/>
      <c r="E115" s="93"/>
    </row>
    <row r="116" spans="1:5" ht="12" customHeight="1">
      <c r="A116" s="86" t="s">
        <v>348</v>
      </c>
      <c r="B116" s="128" t="s">
        <v>355</v>
      </c>
      <c r="C116" s="93"/>
      <c r="D116" s="93"/>
      <c r="E116" s="93"/>
    </row>
    <row r="117" spans="1:5" ht="12" customHeight="1">
      <c r="A117" s="129" t="s">
        <v>349</v>
      </c>
      <c r="B117" s="126" t="s">
        <v>356</v>
      </c>
      <c r="C117" s="93"/>
      <c r="D117" s="93"/>
      <c r="E117" s="93"/>
    </row>
    <row r="118" spans="1:5" ht="12" customHeight="1">
      <c r="A118" s="86" t="s">
        <v>437</v>
      </c>
      <c r="B118" s="126" t="s">
        <v>357</v>
      </c>
      <c r="C118" s="93"/>
      <c r="D118" s="93"/>
      <c r="E118" s="93"/>
    </row>
    <row r="119" spans="1:5" ht="12" customHeight="1">
      <c r="A119" s="90" t="s">
        <v>438</v>
      </c>
      <c r="B119" s="126" t="s">
        <v>358</v>
      </c>
      <c r="C119" s="93">
        <f>38971700</f>
        <v>38971700</v>
      </c>
      <c r="D119" s="93">
        <f>38971700</f>
        <v>38971700</v>
      </c>
      <c r="E119" s="93">
        <v>39001700</v>
      </c>
    </row>
    <row r="120" spans="1:5" ht="12" customHeight="1">
      <c r="A120" s="86" t="s">
        <v>442</v>
      </c>
      <c r="B120" s="124" t="s">
        <v>47</v>
      </c>
      <c r="C120" s="88">
        <f>C121+C122</f>
        <v>73618052</v>
      </c>
      <c r="D120" s="88">
        <f>D121+D122</f>
        <v>72374870</v>
      </c>
      <c r="E120" s="88">
        <f>E121+E122</f>
        <v>44990683</v>
      </c>
    </row>
    <row r="121" spans="1:5" ht="12" customHeight="1">
      <c r="A121" s="86" t="s">
        <v>443</v>
      </c>
      <c r="B121" s="32" t="s">
        <v>445</v>
      </c>
      <c r="C121" s="88">
        <v>44412474</v>
      </c>
      <c r="D121" s="88">
        <f>44517474+78540+119640+280587+241524+1919391-3987864</f>
        <v>43169292</v>
      </c>
      <c r="E121" s="88">
        <v>5198937</v>
      </c>
    </row>
    <row r="122" spans="1:5" ht="12" customHeight="1" thickBot="1">
      <c r="A122" s="130" t="s">
        <v>444</v>
      </c>
      <c r="B122" s="131" t="s">
        <v>446</v>
      </c>
      <c r="C122" s="132">
        <v>29205578</v>
      </c>
      <c r="D122" s="132">
        <v>29205578</v>
      </c>
      <c r="E122" s="132">
        <f>39791746</f>
        <v>39791746</v>
      </c>
    </row>
    <row r="123" spans="1:5" ht="12" customHeight="1" thickBot="1">
      <c r="A123" s="133" t="s">
        <v>17</v>
      </c>
      <c r="B123" s="134" t="s">
        <v>655</v>
      </c>
      <c r="C123" s="135">
        <f>+C124+C126+C128</f>
        <v>494609179</v>
      </c>
      <c r="D123" s="135">
        <f>+D124+D126+D128</f>
        <v>493872579</v>
      </c>
      <c r="E123" s="135">
        <f>+E124+E126+E128</f>
        <v>492573963</v>
      </c>
    </row>
    <row r="124" spans="1:5" ht="12" customHeight="1">
      <c r="A124" s="83" t="s">
        <v>101</v>
      </c>
      <c r="B124" s="32" t="s">
        <v>219</v>
      </c>
      <c r="C124" s="85">
        <f>369875414-15494000+751000+2876220</f>
        <v>358008634</v>
      </c>
      <c r="D124" s="85">
        <f>369875414-15494000+751000+2876220-635000-101600</f>
        <v>357272034</v>
      </c>
      <c r="E124" s="85">
        <f>340915080+3287489+751000</f>
        <v>344953569</v>
      </c>
    </row>
    <row r="125" spans="1:5" ht="12" customHeight="1">
      <c r="A125" s="83" t="s">
        <v>102</v>
      </c>
      <c r="B125" s="136" t="s">
        <v>362</v>
      </c>
      <c r="C125" s="85"/>
      <c r="D125" s="85"/>
      <c r="E125" s="85"/>
    </row>
    <row r="126" spans="1:5" ht="12" customHeight="1">
      <c r="A126" s="83" t="s">
        <v>103</v>
      </c>
      <c r="B126" s="136" t="s">
        <v>178</v>
      </c>
      <c r="C126" s="88">
        <f>142950545-6350000</f>
        <v>136600545</v>
      </c>
      <c r="D126" s="88">
        <f>142950545-6350000</f>
        <v>136600545</v>
      </c>
      <c r="E126" s="88">
        <f>147620394</f>
        <v>147620394</v>
      </c>
    </row>
    <row r="127" spans="1:5" ht="12" customHeight="1">
      <c r="A127" s="83" t="s">
        <v>104</v>
      </c>
      <c r="B127" s="136" t="s">
        <v>363</v>
      </c>
      <c r="C127" s="137"/>
      <c r="D127" s="137"/>
      <c r="E127" s="137"/>
    </row>
    <row r="128" spans="1:5" ht="12" customHeight="1">
      <c r="A128" s="83" t="s">
        <v>105</v>
      </c>
      <c r="B128" s="91" t="s">
        <v>222</v>
      </c>
      <c r="C128" s="137">
        <f>C129+C130+C131+C132+C133+C134+C135+C136</f>
        <v>0</v>
      </c>
      <c r="D128" s="137">
        <f>D129+D130+D131+D132+D133+D134+D135+D136</f>
        <v>0</v>
      </c>
      <c r="E128" s="137">
        <f>E129+E130+E131+E132+E133+E134+E135+E136</f>
        <v>0</v>
      </c>
    </row>
    <row r="129" spans="1:5" ht="12" customHeight="1">
      <c r="A129" s="83" t="s">
        <v>114</v>
      </c>
      <c r="B129" s="89" t="s">
        <v>425</v>
      </c>
      <c r="C129" s="137"/>
      <c r="D129" s="137"/>
      <c r="E129" s="137"/>
    </row>
    <row r="130" spans="1:5" ht="12" customHeight="1">
      <c r="A130" s="83" t="s">
        <v>116</v>
      </c>
      <c r="B130" s="138" t="s">
        <v>368</v>
      </c>
      <c r="C130" s="137"/>
      <c r="D130" s="137"/>
      <c r="E130" s="137"/>
    </row>
    <row r="131" spans="1:5">
      <c r="A131" s="83" t="s">
        <v>179</v>
      </c>
      <c r="B131" s="128" t="s">
        <v>352</v>
      </c>
      <c r="C131" s="137"/>
      <c r="D131" s="137"/>
      <c r="E131" s="137"/>
    </row>
    <row r="132" spans="1:5" ht="12" customHeight="1">
      <c r="A132" s="83" t="s">
        <v>180</v>
      </c>
      <c r="B132" s="128" t="s">
        <v>367</v>
      </c>
      <c r="C132" s="137"/>
      <c r="D132" s="137"/>
      <c r="E132" s="137"/>
    </row>
    <row r="133" spans="1:5" ht="12" customHeight="1">
      <c r="A133" s="83" t="s">
        <v>181</v>
      </c>
      <c r="B133" s="128" t="s">
        <v>366</v>
      </c>
      <c r="C133" s="137"/>
      <c r="D133" s="137"/>
      <c r="E133" s="137"/>
    </row>
    <row r="134" spans="1:5" ht="12" customHeight="1">
      <c r="A134" s="83" t="s">
        <v>359</v>
      </c>
      <c r="B134" s="128" t="s">
        <v>355</v>
      </c>
      <c r="C134" s="137"/>
      <c r="D134" s="137"/>
      <c r="E134" s="137"/>
    </row>
    <row r="135" spans="1:5" ht="12" customHeight="1">
      <c r="A135" s="83" t="s">
        <v>360</v>
      </c>
      <c r="B135" s="128" t="s">
        <v>365</v>
      </c>
      <c r="C135" s="137"/>
      <c r="D135" s="137"/>
      <c r="E135" s="137"/>
    </row>
    <row r="136" spans="1:5" ht="16.5" thickBot="1">
      <c r="A136" s="129" t="s">
        <v>361</v>
      </c>
      <c r="B136" s="128" t="s">
        <v>364</v>
      </c>
      <c r="C136" s="139"/>
      <c r="D136" s="139"/>
      <c r="E136" s="139"/>
    </row>
    <row r="137" spans="1:5" ht="12" customHeight="1" thickBot="1">
      <c r="A137" s="79" t="s">
        <v>18</v>
      </c>
      <c r="B137" s="40" t="s">
        <v>447</v>
      </c>
      <c r="C137" s="81">
        <f>+C102+C123</f>
        <v>1126856024</v>
      </c>
      <c r="D137" s="81">
        <f>+D102+D123</f>
        <v>1130316538</v>
      </c>
      <c r="E137" s="81">
        <f>+E102+E123</f>
        <v>1129434679</v>
      </c>
    </row>
    <row r="138" spans="1:5" ht="12" customHeight="1" thickBot="1">
      <c r="A138" s="79" t="s">
        <v>19</v>
      </c>
      <c r="B138" s="40" t="s">
        <v>448</v>
      </c>
      <c r="C138" s="81">
        <f>+C139+C140+C141</f>
        <v>0</v>
      </c>
      <c r="D138" s="81">
        <f>+D139+D140+D141</f>
        <v>0</v>
      </c>
      <c r="E138" s="81">
        <f>+E139+E140+E141</f>
        <v>0</v>
      </c>
    </row>
    <row r="139" spans="1:5" ht="12" customHeight="1">
      <c r="A139" s="83" t="s">
        <v>260</v>
      </c>
      <c r="B139" s="136" t="s">
        <v>455</v>
      </c>
      <c r="C139" s="137"/>
      <c r="D139" s="137"/>
      <c r="E139" s="137"/>
    </row>
    <row r="140" spans="1:5" ht="12" customHeight="1">
      <c r="A140" s="83" t="s">
        <v>263</v>
      </c>
      <c r="B140" s="136" t="s">
        <v>456</v>
      </c>
      <c r="C140" s="137"/>
      <c r="D140" s="137"/>
      <c r="E140" s="137"/>
    </row>
    <row r="141" spans="1:5" ht="12" customHeight="1" thickBot="1">
      <c r="A141" s="129" t="s">
        <v>264</v>
      </c>
      <c r="B141" s="136" t="s">
        <v>457</v>
      </c>
      <c r="C141" s="137"/>
      <c r="D141" s="137"/>
      <c r="E141" s="137"/>
    </row>
    <row r="142" spans="1:5" ht="12" customHeight="1" thickBot="1">
      <c r="A142" s="79" t="s">
        <v>20</v>
      </c>
      <c r="B142" s="40" t="s">
        <v>449</v>
      </c>
      <c r="C142" s="81">
        <f>SUM(C143:C148)</f>
        <v>0</v>
      </c>
      <c r="D142" s="81">
        <f>SUM(D143:D148)</f>
        <v>0</v>
      </c>
      <c r="E142" s="81">
        <f>SUM(E143:E148)</f>
        <v>0</v>
      </c>
    </row>
    <row r="143" spans="1:5" ht="12" customHeight="1">
      <c r="A143" s="83" t="s">
        <v>88</v>
      </c>
      <c r="B143" s="38" t="s">
        <v>458</v>
      </c>
      <c r="C143" s="137"/>
      <c r="D143" s="137"/>
      <c r="E143" s="137"/>
    </row>
    <row r="144" spans="1:5" ht="12" customHeight="1">
      <c r="A144" s="83" t="s">
        <v>89</v>
      </c>
      <c r="B144" s="38" t="s">
        <v>450</v>
      </c>
      <c r="C144" s="137"/>
      <c r="D144" s="137"/>
      <c r="E144" s="137"/>
    </row>
    <row r="145" spans="1:5" ht="12" customHeight="1">
      <c r="A145" s="83" t="s">
        <v>90</v>
      </c>
      <c r="B145" s="38" t="s">
        <v>451</v>
      </c>
      <c r="C145" s="137"/>
      <c r="D145" s="137"/>
      <c r="E145" s="137"/>
    </row>
    <row r="146" spans="1:5" ht="12" customHeight="1">
      <c r="A146" s="83" t="s">
        <v>166</v>
      </c>
      <c r="B146" s="38" t="s">
        <v>452</v>
      </c>
      <c r="C146" s="137"/>
      <c r="D146" s="137"/>
      <c r="E146" s="137"/>
    </row>
    <row r="147" spans="1:5" ht="12" customHeight="1">
      <c r="A147" s="83" t="s">
        <v>167</v>
      </c>
      <c r="B147" s="38" t="s">
        <v>453</v>
      </c>
      <c r="C147" s="137"/>
      <c r="D147" s="137"/>
      <c r="E147" s="137"/>
    </row>
    <row r="148" spans="1:5" ht="12" customHeight="1" thickBot="1">
      <c r="A148" s="129" t="s">
        <v>168</v>
      </c>
      <c r="B148" s="38" t="s">
        <v>454</v>
      </c>
      <c r="C148" s="137"/>
      <c r="D148" s="137"/>
      <c r="E148" s="137"/>
    </row>
    <row r="149" spans="1:5" ht="12" customHeight="1" thickBot="1">
      <c r="A149" s="79" t="s">
        <v>21</v>
      </c>
      <c r="B149" s="40" t="s">
        <v>462</v>
      </c>
      <c r="C149" s="95">
        <f>+C150+C151+C152+C153</f>
        <v>7960578</v>
      </c>
      <c r="D149" s="95">
        <f>+D150+D151+D152+D153</f>
        <v>8033142</v>
      </c>
      <c r="E149" s="95">
        <f>+E150+E151+E152+E153</f>
        <v>8033142</v>
      </c>
    </row>
    <row r="150" spans="1:5" ht="12" customHeight="1">
      <c r="A150" s="83" t="s">
        <v>91</v>
      </c>
      <c r="B150" s="38" t="s">
        <v>369</v>
      </c>
      <c r="C150" s="137"/>
      <c r="D150" s="137"/>
      <c r="E150" s="137"/>
    </row>
    <row r="151" spans="1:5" ht="12" customHeight="1">
      <c r="A151" s="83" t="s">
        <v>92</v>
      </c>
      <c r="B151" s="38" t="s">
        <v>370</v>
      </c>
      <c r="C151" s="137">
        <f>7960578</f>
        <v>7960578</v>
      </c>
      <c r="D151" s="137">
        <f>7960578+72564</f>
        <v>8033142</v>
      </c>
      <c r="E151" s="137">
        <f>8033142</f>
        <v>8033142</v>
      </c>
    </row>
    <row r="152" spans="1:5" ht="12" customHeight="1">
      <c r="A152" s="83" t="s">
        <v>284</v>
      </c>
      <c r="B152" s="38" t="s">
        <v>463</v>
      </c>
      <c r="C152" s="137"/>
      <c r="D152" s="137"/>
      <c r="E152" s="137"/>
    </row>
    <row r="153" spans="1:5" ht="12" customHeight="1" thickBot="1">
      <c r="A153" s="129" t="s">
        <v>285</v>
      </c>
      <c r="B153" s="34" t="s">
        <v>389</v>
      </c>
      <c r="C153" s="137"/>
      <c r="D153" s="137"/>
      <c r="E153" s="137"/>
    </row>
    <row r="154" spans="1:5" ht="12" customHeight="1" thickBot="1">
      <c r="A154" s="79" t="s">
        <v>22</v>
      </c>
      <c r="B154" s="40" t="s">
        <v>464</v>
      </c>
      <c r="C154" s="140">
        <f>SUM(C155:C159)</f>
        <v>0</v>
      </c>
      <c r="D154" s="140">
        <f>SUM(D155:D159)</f>
        <v>0</v>
      </c>
      <c r="E154" s="140">
        <f>SUM(E155:E159)</f>
        <v>0</v>
      </c>
    </row>
    <row r="155" spans="1:5" ht="12" customHeight="1">
      <c r="A155" s="83" t="s">
        <v>93</v>
      </c>
      <c r="B155" s="38" t="s">
        <v>459</v>
      </c>
      <c r="C155" s="137"/>
      <c r="D155" s="137"/>
      <c r="E155" s="137"/>
    </row>
    <row r="156" spans="1:5" ht="12" customHeight="1">
      <c r="A156" s="83" t="s">
        <v>94</v>
      </c>
      <c r="B156" s="38" t="s">
        <v>466</v>
      </c>
      <c r="C156" s="137"/>
      <c r="D156" s="137"/>
      <c r="E156" s="137"/>
    </row>
    <row r="157" spans="1:5" ht="12" customHeight="1">
      <c r="A157" s="83" t="s">
        <v>296</v>
      </c>
      <c r="B157" s="38" t="s">
        <v>461</v>
      </c>
      <c r="C157" s="137"/>
      <c r="D157" s="137"/>
      <c r="E157" s="137"/>
    </row>
    <row r="158" spans="1:5" ht="12" customHeight="1">
      <c r="A158" s="83" t="s">
        <v>297</v>
      </c>
      <c r="B158" s="38" t="s">
        <v>467</v>
      </c>
      <c r="C158" s="137"/>
      <c r="D158" s="137"/>
      <c r="E158" s="137"/>
    </row>
    <row r="159" spans="1:5" ht="12" customHeight="1" thickBot="1">
      <c r="A159" s="83" t="s">
        <v>465</v>
      </c>
      <c r="B159" s="38" t="s">
        <v>468</v>
      </c>
      <c r="C159" s="137"/>
      <c r="D159" s="137"/>
      <c r="E159" s="137"/>
    </row>
    <row r="160" spans="1:5" ht="12" customHeight="1" thickBot="1">
      <c r="A160" s="79" t="s">
        <v>23</v>
      </c>
      <c r="B160" s="40" t="s">
        <v>469</v>
      </c>
      <c r="C160" s="141"/>
      <c r="D160" s="141"/>
      <c r="E160" s="141"/>
    </row>
    <row r="161" spans="1:5" ht="12" customHeight="1" thickBot="1">
      <c r="A161" s="79" t="s">
        <v>24</v>
      </c>
      <c r="B161" s="40" t="s">
        <v>544</v>
      </c>
      <c r="C161" s="141">
        <v>0</v>
      </c>
      <c r="D161" s="141"/>
      <c r="E161" s="141"/>
    </row>
    <row r="162" spans="1:5" ht="15" customHeight="1" thickBot="1">
      <c r="A162" s="79" t="s">
        <v>25</v>
      </c>
      <c r="B162" s="40" t="s">
        <v>472</v>
      </c>
      <c r="C162" s="142">
        <f>+C138+C142+C149+C154+C160+C161</f>
        <v>7960578</v>
      </c>
      <c r="D162" s="142">
        <f>+D138+D142+D149+D154+D160+D161</f>
        <v>8033142</v>
      </c>
      <c r="E162" s="142">
        <f>+E138+E142+E149+E154+E160+E161</f>
        <v>8033142</v>
      </c>
    </row>
    <row r="163" spans="1:5" s="82" customFormat="1" ht="12.95" customHeight="1" thickBot="1">
      <c r="A163" s="144" t="s">
        <v>26</v>
      </c>
      <c r="B163" s="145" t="s">
        <v>471</v>
      </c>
      <c r="C163" s="142">
        <f>+C137+C162</f>
        <v>1134816602</v>
      </c>
      <c r="D163" s="142">
        <f>+D137+D162</f>
        <v>1138349680</v>
      </c>
      <c r="E163" s="142">
        <f>+E137+E162</f>
        <v>1137467821</v>
      </c>
    </row>
    <row r="164" spans="1:5" ht="7.5" customHeight="1"/>
    <row r="165" spans="1:5">
      <c r="A165" s="694" t="s">
        <v>371</v>
      </c>
      <c r="B165" s="694"/>
      <c r="C165" s="71"/>
      <c r="D165" s="71"/>
      <c r="E165" s="71"/>
    </row>
    <row r="166" spans="1:5" ht="15" customHeight="1" thickBot="1">
      <c r="A166" s="691" t="s">
        <v>146</v>
      </c>
      <c r="B166" s="691"/>
      <c r="C166" s="72" t="s">
        <v>220</v>
      </c>
      <c r="D166" s="72" t="s">
        <v>220</v>
      </c>
      <c r="E166" s="72" t="s">
        <v>220</v>
      </c>
    </row>
    <row r="167" spans="1:5" ht="13.5" customHeight="1" thickBot="1">
      <c r="A167" s="79">
        <v>1</v>
      </c>
      <c r="B167" s="147" t="s">
        <v>473</v>
      </c>
      <c r="C167" s="81">
        <f>+C71-C137</f>
        <v>-601704590</v>
      </c>
      <c r="D167" s="81">
        <f>+D71-D137</f>
        <v>-601704590</v>
      </c>
      <c r="E167" s="81">
        <f>+E71-E137</f>
        <v>-602300335</v>
      </c>
    </row>
    <row r="168" spans="1:5" ht="27.75" customHeight="1" thickBot="1">
      <c r="A168" s="79" t="s">
        <v>17</v>
      </c>
      <c r="B168" s="147" t="s">
        <v>479</v>
      </c>
      <c r="C168" s="81">
        <f>+C95-C162</f>
        <v>601704590</v>
      </c>
      <c r="D168" s="81">
        <f>+D95-D162</f>
        <v>601704590</v>
      </c>
      <c r="E168" s="81">
        <f>+E95-E162</f>
        <v>602300335</v>
      </c>
    </row>
  </sheetData>
  <mergeCells count="6">
    <mergeCell ref="A165:B165"/>
    <mergeCell ref="A166:B166"/>
    <mergeCell ref="A10:B10"/>
    <mergeCell ref="A11:B11"/>
    <mergeCell ref="A98:B98"/>
    <mergeCell ref="A99:B99"/>
  </mergeCells>
  <phoneticPr fontId="6" type="noConversion"/>
  <printOptions horizontalCentered="1"/>
  <pageMargins left="0.19685039370078741" right="0.19685039370078741" top="0.19685039370078741" bottom="0.19685039370078741" header="0.78740157480314965" footer="0.59055118110236227"/>
  <pageSetup paperSize="9" scale="76" orientation="portrait" r:id="rId1"/>
  <headerFooter differentOddEven="1">
    <oddHeader xml:space="preserve">&amp;R&amp;"Times New Roman CE,Félkövér dőlt"&amp;11 </oddHeader>
    <oddFooter>&amp;P. oldal, összesen: &amp;N</oddFooter>
  </headerFooter>
  <rowBreaks count="2" manualBreakCount="2">
    <brk id="71" max="4" man="1"/>
    <brk id="9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79.1640625" style="17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 t="s">
        <v>768</v>
      </c>
      <c r="C1" s="2"/>
      <c r="D1" s="2"/>
    </row>
    <row r="2" spans="1:4" s="7" customFormat="1" ht="33" customHeight="1">
      <c r="A2" s="4" t="s">
        <v>194</v>
      </c>
      <c r="B2" s="5" t="s">
        <v>540</v>
      </c>
      <c r="C2" s="6" t="s">
        <v>56</v>
      </c>
      <c r="D2" s="6" t="s">
        <v>56</v>
      </c>
    </row>
    <row r="3" spans="1:4" s="7" customFormat="1" ht="24.75" thickBot="1">
      <c r="A3" s="8" t="s">
        <v>193</v>
      </c>
      <c r="B3" s="9" t="s">
        <v>416</v>
      </c>
      <c r="C3" s="10" t="s">
        <v>56</v>
      </c>
      <c r="D3" s="10" t="s">
        <v>56</v>
      </c>
    </row>
    <row r="4" spans="1:4" s="13" customFormat="1" ht="15.95" customHeight="1" thickBot="1">
      <c r="A4" s="11"/>
      <c r="B4" s="11"/>
      <c r="C4" s="12" t="s">
        <v>589</v>
      </c>
      <c r="D4" s="12" t="s">
        <v>589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1611140</v>
      </c>
      <c r="D8" s="26">
        <f>SUM(D9:D19)</f>
        <v>1611140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>
        <v>1050000</v>
      </c>
      <c r="D10" s="33">
        <v>1050000</v>
      </c>
    </row>
    <row r="11" spans="1:4" s="27" customFormat="1" ht="12" customHeight="1">
      <c r="A11" s="31" t="s">
        <v>97</v>
      </c>
      <c r="B11" s="32" t="s">
        <v>275</v>
      </c>
      <c r="C11" s="33">
        <v>560000</v>
      </c>
      <c r="D11" s="33">
        <v>560000</v>
      </c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>
        <v>140</v>
      </c>
      <c r="D16" s="35">
        <v>140</v>
      </c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>
        <v>1000</v>
      </c>
      <c r="D19" s="37">
        <v>1000</v>
      </c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1252761</v>
      </c>
      <c r="D20" s="26">
        <f>SUM(D21:D23)</f>
        <v>1294833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>
        <v>1252761</v>
      </c>
      <c r="D23" s="33">
        <f>1252761+42072</f>
        <v>1294833</v>
      </c>
    </row>
    <row r="24" spans="1:4" s="36" customFormat="1" ht="12" customHeight="1" thickBot="1">
      <c r="A24" s="31" t="s">
        <v>104</v>
      </c>
      <c r="B24" s="32" t="s">
        <v>515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>
        <v>5000</v>
      </c>
    </row>
    <row r="26" spans="1:4" s="36" customFormat="1" ht="12" customHeight="1" thickBot="1">
      <c r="A26" s="39" t="s">
        <v>19</v>
      </c>
      <c r="B26" s="40" t="s">
        <v>516</v>
      </c>
      <c r="C26" s="26">
        <f>+C27+C28+C29</f>
        <v>0</v>
      </c>
      <c r="D26" s="26">
        <f>+D27+D28+D29</f>
        <v>0</v>
      </c>
    </row>
    <row r="27" spans="1:4" s="36" customFormat="1" ht="12" customHeight="1">
      <c r="A27" s="42" t="s">
        <v>260</v>
      </c>
      <c r="B27" s="43" t="s">
        <v>255</v>
      </c>
      <c r="C27" s="44"/>
      <c r="D27" s="44"/>
    </row>
    <row r="28" spans="1:4" s="36" customFormat="1" ht="12" customHeight="1">
      <c r="A28" s="42" t="s">
        <v>263</v>
      </c>
      <c r="B28" s="43" t="s">
        <v>401</v>
      </c>
      <c r="C28" s="33"/>
      <c r="D28" s="33"/>
    </row>
    <row r="29" spans="1:4" s="36" customFormat="1" ht="12" customHeight="1">
      <c r="A29" s="42" t="s">
        <v>264</v>
      </c>
      <c r="B29" s="45" t="s">
        <v>404</v>
      </c>
      <c r="C29" s="33"/>
      <c r="D29" s="33"/>
    </row>
    <row r="30" spans="1:4" s="36" customFormat="1" ht="12" customHeight="1" thickBot="1">
      <c r="A30" s="31" t="s">
        <v>265</v>
      </c>
      <c r="B30" s="47" t="s">
        <v>517</v>
      </c>
      <c r="C30" s="48"/>
      <c r="D30" s="48"/>
    </row>
    <row r="31" spans="1:4" s="36" customFormat="1" ht="12" customHeight="1" thickBot="1">
      <c r="A31" s="39" t="s">
        <v>20</v>
      </c>
      <c r="B31" s="40" t="s">
        <v>405</v>
      </c>
      <c r="C31" s="26">
        <f>+C32+C33+C34</f>
        <v>0</v>
      </c>
      <c r="D31" s="26">
        <f>+D32+D33+D34</f>
        <v>0</v>
      </c>
    </row>
    <row r="32" spans="1:4" s="36" customFormat="1" ht="12" customHeight="1">
      <c r="A32" s="42" t="s">
        <v>88</v>
      </c>
      <c r="B32" s="43" t="s">
        <v>287</v>
      </c>
      <c r="C32" s="44"/>
      <c r="D32" s="44"/>
    </row>
    <row r="33" spans="1:4" s="36" customFormat="1" ht="12" customHeight="1">
      <c r="A33" s="42" t="s">
        <v>89</v>
      </c>
      <c r="B33" s="45" t="s">
        <v>288</v>
      </c>
      <c r="C33" s="46"/>
      <c r="D33" s="46"/>
    </row>
    <row r="34" spans="1:4" s="36" customFormat="1" ht="12" customHeight="1" thickBot="1">
      <c r="A34" s="31" t="s">
        <v>90</v>
      </c>
      <c r="B34" s="47" t="s">
        <v>289</v>
      </c>
      <c r="C34" s="48"/>
      <c r="D34" s="48"/>
    </row>
    <row r="35" spans="1:4" s="27" customFormat="1" ht="12" customHeight="1" thickBot="1">
      <c r="A35" s="39" t="s">
        <v>21</v>
      </c>
      <c r="B35" s="40" t="s">
        <v>374</v>
      </c>
      <c r="C35" s="41"/>
      <c r="D35" s="41"/>
    </row>
    <row r="36" spans="1:4" s="27" customFormat="1" ht="12" customHeight="1" thickBot="1">
      <c r="A36" s="39" t="s">
        <v>22</v>
      </c>
      <c r="B36" s="40" t="s">
        <v>406</v>
      </c>
      <c r="C36" s="49"/>
      <c r="D36" s="49"/>
    </row>
    <row r="37" spans="1:4" s="27" customFormat="1" ht="12" customHeight="1" thickBot="1">
      <c r="A37" s="18" t="s">
        <v>23</v>
      </c>
      <c r="B37" s="40" t="s">
        <v>407</v>
      </c>
      <c r="C37" s="50">
        <f>+C8+C20+C25+C26+C31+C35+C36</f>
        <v>2863901</v>
      </c>
      <c r="D37" s="50">
        <f>+D8+D20+D25+D26+D31+D35+D36</f>
        <v>2910973</v>
      </c>
    </row>
    <row r="38" spans="1:4" s="27" customFormat="1" ht="12" customHeight="1" thickBot="1">
      <c r="A38" s="51" t="s">
        <v>24</v>
      </c>
      <c r="B38" s="40" t="s">
        <v>408</v>
      </c>
      <c r="C38" s="50">
        <f>+C39+C40+C41</f>
        <v>121246838</v>
      </c>
      <c r="D38" s="50">
        <f>+D39+D40+D41</f>
        <v>121410281</v>
      </c>
    </row>
    <row r="39" spans="1:4" s="27" customFormat="1" ht="12" customHeight="1">
      <c r="A39" s="42" t="s">
        <v>409</v>
      </c>
      <c r="B39" s="43" t="s">
        <v>229</v>
      </c>
      <c r="C39" s="44">
        <v>3610739</v>
      </c>
      <c r="D39" s="44">
        <f>3610739+945745</f>
        <v>4556484</v>
      </c>
    </row>
    <row r="40" spans="1:4" s="27" customFormat="1" ht="12" customHeight="1">
      <c r="A40" s="42" t="s">
        <v>410</v>
      </c>
      <c r="B40" s="45" t="s">
        <v>2</v>
      </c>
      <c r="C40" s="46"/>
      <c r="D40" s="46"/>
    </row>
    <row r="41" spans="1:4" s="36" customFormat="1" ht="12" customHeight="1" thickBot="1">
      <c r="A41" s="31" t="s">
        <v>411</v>
      </c>
      <c r="B41" s="47" t="s">
        <v>412</v>
      </c>
      <c r="C41" s="48">
        <v>117636099</v>
      </c>
      <c r="D41" s="48">
        <f>117636099-945745-5000+168443</f>
        <v>116853797</v>
      </c>
    </row>
    <row r="42" spans="1:4" s="36" customFormat="1" ht="15" customHeight="1" thickBot="1">
      <c r="A42" s="51" t="s">
        <v>25</v>
      </c>
      <c r="B42" s="52" t="s">
        <v>413</v>
      </c>
      <c r="C42" s="53">
        <f>C37+C38</f>
        <v>124110739</v>
      </c>
      <c r="D42" s="53">
        <f>D37+D38</f>
        <v>124321254</v>
      </c>
    </row>
    <row r="43" spans="1:4" s="36" customFormat="1" ht="15" customHeight="1">
      <c r="A43" s="54"/>
      <c r="B43" s="55"/>
      <c r="C43" s="56"/>
      <c r="D43" s="56"/>
    </row>
    <row r="44" spans="1:4" ht="13.5" thickBot="1">
      <c r="A44" s="57"/>
      <c r="B44" s="58"/>
      <c r="C44" s="59"/>
      <c r="D44" s="59"/>
    </row>
    <row r="45" spans="1:4" s="21" customFormat="1" ht="16.5" customHeight="1" thickBot="1">
      <c r="A45" s="60"/>
      <c r="B45" s="61" t="s">
        <v>54</v>
      </c>
      <c r="C45" s="53"/>
      <c r="D45" s="53"/>
    </row>
    <row r="46" spans="1:4" s="62" customFormat="1" ht="12" customHeight="1" thickBot="1">
      <c r="A46" s="39" t="s">
        <v>16</v>
      </c>
      <c r="B46" s="40" t="s">
        <v>414</v>
      </c>
      <c r="C46" s="26">
        <f>SUM(C47:C51)</f>
        <v>123359739</v>
      </c>
      <c r="D46" s="26">
        <f>SUM(D47:D51)</f>
        <v>123570254</v>
      </c>
    </row>
    <row r="47" spans="1:4" ht="12" customHeight="1">
      <c r="A47" s="31" t="s">
        <v>95</v>
      </c>
      <c r="B47" s="38" t="s">
        <v>46</v>
      </c>
      <c r="C47" s="44">
        <v>78769100</v>
      </c>
      <c r="D47" s="44">
        <f>78769100+140700-35000+73927+957</f>
        <v>78949684</v>
      </c>
    </row>
    <row r="48" spans="1:4" ht="12" customHeight="1">
      <c r="A48" s="31" t="s">
        <v>96</v>
      </c>
      <c r="B48" s="32" t="s">
        <v>174</v>
      </c>
      <c r="C48" s="63">
        <v>16172510</v>
      </c>
      <c r="D48" s="63">
        <f>16172510+27743+29607-957</f>
        <v>16228903</v>
      </c>
    </row>
    <row r="49" spans="1:4" ht="12" customHeight="1">
      <c r="A49" s="31" t="s">
        <v>97</v>
      </c>
      <c r="B49" s="32" t="s">
        <v>133</v>
      </c>
      <c r="C49" s="63">
        <v>28418129</v>
      </c>
      <c r="D49" s="63">
        <f>28418129-2873-23589</f>
        <v>28391667</v>
      </c>
    </row>
    <row r="50" spans="1:4" ht="12" customHeight="1">
      <c r="A50" s="31" t="s">
        <v>98</v>
      </c>
      <c r="B50" s="32" t="s">
        <v>175</v>
      </c>
      <c r="C50" s="63"/>
      <c r="D50" s="63"/>
    </row>
    <row r="51" spans="1:4" ht="12" customHeight="1" thickBot="1">
      <c r="A51" s="31" t="s">
        <v>141</v>
      </c>
      <c r="B51" s="32" t="s">
        <v>176</v>
      </c>
      <c r="C51" s="63"/>
      <c r="D51" s="63"/>
    </row>
    <row r="52" spans="1:4" ht="12" customHeight="1" thickBot="1">
      <c r="A52" s="39" t="s">
        <v>17</v>
      </c>
      <c r="B52" s="40" t="s">
        <v>415</v>
      </c>
      <c r="C52" s="26">
        <f>SUM(C53:C55)</f>
        <v>751000</v>
      </c>
      <c r="D52" s="26">
        <f>SUM(D53:D55)</f>
        <v>751000</v>
      </c>
    </row>
    <row r="53" spans="1:4" s="62" customFormat="1" ht="12" customHeight="1">
      <c r="A53" s="31" t="s">
        <v>101</v>
      </c>
      <c r="B53" s="38" t="s">
        <v>219</v>
      </c>
      <c r="C53" s="44">
        <v>751000</v>
      </c>
      <c r="D53" s="44">
        <v>751000</v>
      </c>
    </row>
    <row r="54" spans="1:4" ht="12" customHeight="1">
      <c r="A54" s="31" t="s">
        <v>102</v>
      </c>
      <c r="B54" s="32" t="s">
        <v>178</v>
      </c>
      <c r="C54" s="63"/>
      <c r="D54" s="63"/>
    </row>
    <row r="55" spans="1:4" ht="12" customHeight="1">
      <c r="A55" s="31" t="s">
        <v>103</v>
      </c>
      <c r="B55" s="32" t="s">
        <v>55</v>
      </c>
      <c r="C55" s="63"/>
      <c r="D55" s="63"/>
    </row>
    <row r="56" spans="1:4" ht="12" customHeight="1" thickBot="1">
      <c r="A56" s="31" t="s">
        <v>104</v>
      </c>
      <c r="B56" s="32" t="s">
        <v>518</v>
      </c>
      <c r="C56" s="63"/>
      <c r="D56" s="63"/>
    </row>
    <row r="57" spans="1:4" ht="15" customHeight="1" thickBot="1">
      <c r="A57" s="39" t="s">
        <v>18</v>
      </c>
      <c r="B57" s="40" t="s">
        <v>12</v>
      </c>
      <c r="C57" s="41"/>
      <c r="D57" s="41"/>
    </row>
    <row r="58" spans="1:4" ht="13.5" thickBot="1">
      <c r="A58" s="39" t="s">
        <v>19</v>
      </c>
      <c r="B58" s="64" t="s">
        <v>523</v>
      </c>
      <c r="C58" s="65">
        <f>+C46+C52+C57</f>
        <v>124110739</v>
      </c>
      <c r="D58" s="65">
        <f>+D46+D52+D57</f>
        <v>124321254</v>
      </c>
    </row>
    <row r="59" spans="1:4" ht="15" customHeight="1" thickBot="1">
      <c r="C59" s="67"/>
      <c r="D59" s="67"/>
    </row>
    <row r="60" spans="1:4" ht="14.25" customHeight="1" thickBot="1">
      <c r="A60" s="68" t="s">
        <v>513</v>
      </c>
      <c r="B60" s="69"/>
      <c r="C60" s="70">
        <v>19</v>
      </c>
      <c r="D60" s="70">
        <v>19</v>
      </c>
    </row>
    <row r="61" spans="1:4" ht="13.5" thickBot="1">
      <c r="A61" s="68" t="s">
        <v>196</v>
      </c>
      <c r="B61" s="69"/>
      <c r="C61" s="70"/>
      <c r="D61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topLeftCell="B1"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79.1640625" style="17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 t="s">
        <v>769</v>
      </c>
      <c r="C1" s="2"/>
      <c r="D1" s="2"/>
    </row>
    <row r="2" spans="1:4" s="7" customFormat="1" ht="25.5" customHeight="1">
      <c r="A2" s="4" t="s">
        <v>194</v>
      </c>
      <c r="B2" s="5" t="s">
        <v>540</v>
      </c>
      <c r="C2" s="6" t="s">
        <v>56</v>
      </c>
      <c r="D2" s="6" t="s">
        <v>56</v>
      </c>
    </row>
    <row r="3" spans="1:4" s="7" customFormat="1" ht="24.75" thickBot="1">
      <c r="A3" s="8" t="s">
        <v>193</v>
      </c>
      <c r="B3" s="9" t="s">
        <v>417</v>
      </c>
      <c r="C3" s="10" t="s">
        <v>57</v>
      </c>
      <c r="D3" s="10" t="s">
        <v>57</v>
      </c>
    </row>
    <row r="4" spans="1:4" s="13" customFormat="1" ht="15.95" customHeight="1" thickBot="1">
      <c r="A4" s="11"/>
      <c r="B4" s="11"/>
      <c r="C4" s="12" t="s">
        <v>589</v>
      </c>
      <c r="D4" s="12" t="s">
        <v>589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0</v>
      </c>
      <c r="D8" s="26">
        <f>SUM(D9:D19)</f>
        <v>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/>
      <c r="D10" s="33"/>
    </row>
    <row r="11" spans="1:4" s="27" customFormat="1" ht="12" customHeight="1">
      <c r="A11" s="31" t="s">
        <v>97</v>
      </c>
      <c r="B11" s="32" t="s">
        <v>275</v>
      </c>
      <c r="C11" s="33"/>
      <c r="D11" s="33"/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/>
      <c r="D16" s="35"/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/>
      <c r="D19" s="37"/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0</v>
      </c>
      <c r="D20" s="26">
        <f>SUM(D21:D23)</f>
        <v>0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/>
      <c r="D23" s="33"/>
    </row>
    <row r="24" spans="1:4" s="36" customFormat="1" ht="12" customHeight="1" thickBot="1">
      <c r="A24" s="31" t="s">
        <v>104</v>
      </c>
      <c r="B24" s="32" t="s">
        <v>515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/>
    </row>
    <row r="26" spans="1:4" s="36" customFormat="1" ht="12" customHeight="1" thickBot="1">
      <c r="A26" s="39" t="s">
        <v>19</v>
      </c>
      <c r="B26" s="40" t="s">
        <v>516</v>
      </c>
      <c r="C26" s="26">
        <f>+C27+C28+C29</f>
        <v>0</v>
      </c>
      <c r="D26" s="26">
        <f>+D27+D28+D29</f>
        <v>0</v>
      </c>
    </row>
    <row r="27" spans="1:4" s="36" customFormat="1" ht="12" customHeight="1">
      <c r="A27" s="42" t="s">
        <v>260</v>
      </c>
      <c r="B27" s="43" t="s">
        <v>255</v>
      </c>
      <c r="C27" s="44"/>
      <c r="D27" s="44"/>
    </row>
    <row r="28" spans="1:4" s="36" customFormat="1" ht="12" customHeight="1">
      <c r="A28" s="42" t="s">
        <v>263</v>
      </c>
      <c r="B28" s="43" t="s">
        <v>401</v>
      </c>
      <c r="C28" s="33"/>
      <c r="D28" s="33"/>
    </row>
    <row r="29" spans="1:4" s="36" customFormat="1" ht="12" customHeight="1">
      <c r="A29" s="42" t="s">
        <v>264</v>
      </c>
      <c r="B29" s="45" t="s">
        <v>404</v>
      </c>
      <c r="C29" s="33"/>
      <c r="D29" s="33"/>
    </row>
    <row r="30" spans="1:4" s="36" customFormat="1" ht="12" customHeight="1" thickBot="1">
      <c r="A30" s="31" t="s">
        <v>265</v>
      </c>
      <c r="B30" s="47" t="s">
        <v>517</v>
      </c>
      <c r="C30" s="48"/>
      <c r="D30" s="48"/>
    </row>
    <row r="31" spans="1:4" s="36" customFormat="1" ht="12" customHeight="1" thickBot="1">
      <c r="A31" s="39" t="s">
        <v>20</v>
      </c>
      <c r="B31" s="40" t="s">
        <v>405</v>
      </c>
      <c r="C31" s="26">
        <f>+C32+C33+C34</f>
        <v>0</v>
      </c>
      <c r="D31" s="26">
        <f>+D32+D33+D34</f>
        <v>0</v>
      </c>
    </row>
    <row r="32" spans="1:4" s="36" customFormat="1" ht="12" customHeight="1">
      <c r="A32" s="42" t="s">
        <v>88</v>
      </c>
      <c r="B32" s="43" t="s">
        <v>287</v>
      </c>
      <c r="C32" s="44"/>
      <c r="D32" s="44"/>
    </row>
    <row r="33" spans="1:4" s="36" customFormat="1" ht="12" customHeight="1">
      <c r="A33" s="42" t="s">
        <v>89</v>
      </c>
      <c r="B33" s="45" t="s">
        <v>288</v>
      </c>
      <c r="C33" s="46"/>
      <c r="D33" s="46"/>
    </row>
    <row r="34" spans="1:4" s="36" customFormat="1" ht="12" customHeight="1" thickBot="1">
      <c r="A34" s="31" t="s">
        <v>90</v>
      </c>
      <c r="B34" s="47" t="s">
        <v>289</v>
      </c>
      <c r="C34" s="48"/>
      <c r="D34" s="48"/>
    </row>
    <row r="35" spans="1:4" s="27" customFormat="1" ht="12" customHeight="1" thickBot="1">
      <c r="A35" s="39" t="s">
        <v>21</v>
      </c>
      <c r="B35" s="40" t="s">
        <v>374</v>
      </c>
      <c r="C35" s="41"/>
      <c r="D35" s="41"/>
    </row>
    <row r="36" spans="1:4" s="27" customFormat="1" ht="12" customHeight="1" thickBot="1">
      <c r="A36" s="39" t="s">
        <v>22</v>
      </c>
      <c r="B36" s="40" t="s">
        <v>406</v>
      </c>
      <c r="C36" s="49"/>
      <c r="D36" s="49"/>
    </row>
    <row r="37" spans="1:4" s="27" customFormat="1" ht="12" customHeight="1" thickBot="1">
      <c r="A37" s="18" t="s">
        <v>23</v>
      </c>
      <c r="B37" s="40" t="s">
        <v>407</v>
      </c>
      <c r="C37" s="50">
        <f>+C8+C20+C25+C26+C31+C35+C36</f>
        <v>0</v>
      </c>
      <c r="D37" s="50">
        <f>+D8+D20+D25+D26+D31+D35+D36</f>
        <v>0</v>
      </c>
    </row>
    <row r="38" spans="1:4" s="27" customFormat="1" ht="12" customHeight="1" thickBot="1">
      <c r="A38" s="51" t="s">
        <v>24</v>
      </c>
      <c r="B38" s="40" t="s">
        <v>408</v>
      </c>
      <c r="C38" s="50">
        <f>+C39+C40+C41</f>
        <v>0</v>
      </c>
      <c r="D38" s="50">
        <f>+D39+D40+D41</f>
        <v>0</v>
      </c>
    </row>
    <row r="39" spans="1:4" s="27" customFormat="1" ht="12" customHeight="1">
      <c r="A39" s="42" t="s">
        <v>409</v>
      </c>
      <c r="B39" s="43" t="s">
        <v>229</v>
      </c>
      <c r="C39" s="44"/>
      <c r="D39" s="44"/>
    </row>
    <row r="40" spans="1:4" s="27" customFormat="1" ht="12" customHeight="1">
      <c r="A40" s="42" t="s">
        <v>410</v>
      </c>
      <c r="B40" s="45" t="s">
        <v>2</v>
      </c>
      <c r="C40" s="46"/>
      <c r="D40" s="46"/>
    </row>
    <row r="41" spans="1:4" s="36" customFormat="1" ht="12" customHeight="1" thickBot="1">
      <c r="A41" s="31" t="s">
        <v>411</v>
      </c>
      <c r="B41" s="47" t="s">
        <v>412</v>
      </c>
      <c r="C41" s="48"/>
      <c r="D41" s="48"/>
    </row>
    <row r="42" spans="1:4" s="36" customFormat="1" ht="15" customHeight="1" thickBot="1">
      <c r="A42" s="51" t="s">
        <v>25</v>
      </c>
      <c r="B42" s="52" t="s">
        <v>413</v>
      </c>
      <c r="C42" s="53">
        <f>+C37+C38</f>
        <v>0</v>
      </c>
      <c r="D42" s="53">
        <f>+D37+D38</f>
        <v>0</v>
      </c>
    </row>
    <row r="43" spans="1:4" s="36" customFormat="1" ht="15" customHeight="1">
      <c r="A43" s="54"/>
      <c r="B43" s="55"/>
      <c r="C43" s="56"/>
      <c r="D43" s="56"/>
    </row>
    <row r="44" spans="1:4" ht="13.5" thickBot="1">
      <c r="A44" s="57"/>
      <c r="B44" s="58"/>
      <c r="C44" s="59"/>
      <c r="D44" s="59"/>
    </row>
    <row r="45" spans="1:4" s="21" customFormat="1" ht="16.5" customHeight="1" thickBot="1">
      <c r="A45" s="60"/>
      <c r="B45" s="61" t="s">
        <v>54</v>
      </c>
      <c r="C45" s="53"/>
      <c r="D45" s="53"/>
    </row>
    <row r="46" spans="1:4" s="62" customFormat="1" ht="12" customHeight="1" thickBot="1">
      <c r="A46" s="39" t="s">
        <v>16</v>
      </c>
      <c r="B46" s="40" t="s">
        <v>414</v>
      </c>
      <c r="C46" s="26">
        <f>SUM(C47:C51)</f>
        <v>0</v>
      </c>
      <c r="D46" s="26">
        <f>SUM(D47:D51)</f>
        <v>0</v>
      </c>
    </row>
    <row r="47" spans="1:4" ht="12" customHeight="1">
      <c r="A47" s="31" t="s">
        <v>95</v>
      </c>
      <c r="B47" s="38" t="s">
        <v>46</v>
      </c>
      <c r="C47" s="44"/>
      <c r="D47" s="44"/>
    </row>
    <row r="48" spans="1:4" ht="12" customHeight="1">
      <c r="A48" s="31" t="s">
        <v>96</v>
      </c>
      <c r="B48" s="32" t="s">
        <v>174</v>
      </c>
      <c r="C48" s="63"/>
      <c r="D48" s="63"/>
    </row>
    <row r="49" spans="1:4" ht="12" customHeight="1">
      <c r="A49" s="31" t="s">
        <v>97</v>
      </c>
      <c r="B49" s="32" t="s">
        <v>133</v>
      </c>
      <c r="C49" s="63"/>
      <c r="D49" s="63"/>
    </row>
    <row r="50" spans="1:4" ht="12" customHeight="1">
      <c r="A50" s="31" t="s">
        <v>98</v>
      </c>
      <c r="B50" s="32" t="s">
        <v>175</v>
      </c>
      <c r="C50" s="63"/>
      <c r="D50" s="63"/>
    </row>
    <row r="51" spans="1:4" ht="12" customHeight="1" thickBot="1">
      <c r="A51" s="31" t="s">
        <v>141</v>
      </c>
      <c r="B51" s="32" t="s">
        <v>176</v>
      </c>
      <c r="C51" s="63"/>
      <c r="D51" s="63"/>
    </row>
    <row r="52" spans="1:4" ht="12" customHeight="1" thickBot="1">
      <c r="A52" s="39" t="s">
        <v>17</v>
      </c>
      <c r="B52" s="40" t="s">
        <v>415</v>
      </c>
      <c r="C52" s="26">
        <f>SUM(C53:C55)</f>
        <v>0</v>
      </c>
      <c r="D52" s="26">
        <f>SUM(D53:D55)</f>
        <v>0</v>
      </c>
    </row>
    <row r="53" spans="1:4" s="62" customFormat="1" ht="12" customHeight="1">
      <c r="A53" s="31" t="s">
        <v>101</v>
      </c>
      <c r="B53" s="38" t="s">
        <v>219</v>
      </c>
      <c r="C53" s="44"/>
      <c r="D53" s="44"/>
    </row>
    <row r="54" spans="1:4" ht="12" customHeight="1">
      <c r="A54" s="31" t="s">
        <v>102</v>
      </c>
      <c r="B54" s="32" t="s">
        <v>178</v>
      </c>
      <c r="C54" s="63"/>
      <c r="D54" s="63"/>
    </row>
    <row r="55" spans="1:4" ht="12" customHeight="1">
      <c r="A55" s="31" t="s">
        <v>103</v>
      </c>
      <c r="B55" s="32" t="s">
        <v>55</v>
      </c>
      <c r="C55" s="63"/>
      <c r="D55" s="63"/>
    </row>
    <row r="56" spans="1:4" ht="12" customHeight="1" thickBot="1">
      <c r="A56" s="31" t="s">
        <v>104</v>
      </c>
      <c r="B56" s="32" t="s">
        <v>518</v>
      </c>
      <c r="C56" s="63"/>
      <c r="D56" s="63"/>
    </row>
    <row r="57" spans="1:4" ht="15" customHeight="1" thickBot="1">
      <c r="A57" s="39" t="s">
        <v>18</v>
      </c>
      <c r="B57" s="40" t="s">
        <v>12</v>
      </c>
      <c r="C57" s="41"/>
      <c r="D57" s="41"/>
    </row>
    <row r="58" spans="1:4" ht="13.5" thickBot="1">
      <c r="A58" s="39" t="s">
        <v>19</v>
      </c>
      <c r="B58" s="64" t="s">
        <v>523</v>
      </c>
      <c r="C58" s="65">
        <f>+C46+C52+C57</f>
        <v>0</v>
      </c>
      <c r="D58" s="65">
        <f>+D46+D52+D57</f>
        <v>0</v>
      </c>
    </row>
    <row r="59" spans="1:4" ht="15" customHeight="1" thickBot="1">
      <c r="C59" s="67"/>
      <c r="D59" s="67"/>
    </row>
    <row r="60" spans="1:4" ht="14.25" customHeight="1" thickBot="1">
      <c r="A60" s="68" t="s">
        <v>513</v>
      </c>
      <c r="B60" s="69"/>
      <c r="C60" s="70"/>
      <c r="D60" s="70"/>
    </row>
    <row r="61" spans="1:4" ht="13.5" thickBot="1">
      <c r="A61" s="68" t="s">
        <v>196</v>
      </c>
      <c r="B61" s="69"/>
      <c r="C61" s="70"/>
      <c r="D61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79.1640625" style="17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 t="s">
        <v>770</v>
      </c>
      <c r="C1" s="2"/>
      <c r="D1" s="2"/>
    </row>
    <row r="2" spans="1:4" s="7" customFormat="1" ht="33" customHeight="1">
      <c r="A2" s="4" t="s">
        <v>194</v>
      </c>
      <c r="B2" s="5" t="s">
        <v>540</v>
      </c>
      <c r="C2" s="6" t="s">
        <v>56</v>
      </c>
      <c r="D2" s="6" t="s">
        <v>56</v>
      </c>
    </row>
    <row r="3" spans="1:4" s="7" customFormat="1" ht="24.75" thickBot="1">
      <c r="A3" s="8" t="s">
        <v>193</v>
      </c>
      <c r="B3" s="9" t="s">
        <v>524</v>
      </c>
      <c r="C3" s="10" t="s">
        <v>428</v>
      </c>
      <c r="D3" s="10" t="s">
        <v>428</v>
      </c>
    </row>
    <row r="4" spans="1:4" s="13" customFormat="1" ht="15.95" customHeight="1" thickBot="1">
      <c r="A4" s="11"/>
      <c r="B4" s="11"/>
      <c r="C4" s="12" t="s">
        <v>589</v>
      </c>
      <c r="D4" s="12" t="s">
        <v>589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0</v>
      </c>
      <c r="D8" s="26">
        <f>SUM(D9:D19)</f>
        <v>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/>
      <c r="D10" s="33"/>
    </row>
    <row r="11" spans="1:4" s="27" customFormat="1" ht="12" customHeight="1">
      <c r="A11" s="31" t="s">
        <v>97</v>
      </c>
      <c r="B11" s="32" t="s">
        <v>275</v>
      </c>
      <c r="C11" s="33"/>
      <c r="D11" s="33"/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/>
      <c r="D16" s="35"/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/>
      <c r="D19" s="37"/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0</v>
      </c>
      <c r="D20" s="26">
        <f>SUM(D21:D23)</f>
        <v>0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/>
      <c r="D23" s="33"/>
    </row>
    <row r="24" spans="1:4" s="36" customFormat="1" ht="12" customHeight="1" thickBot="1">
      <c r="A24" s="31" t="s">
        <v>104</v>
      </c>
      <c r="B24" s="32" t="s">
        <v>515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/>
    </row>
    <row r="26" spans="1:4" s="36" customFormat="1" ht="12" customHeight="1" thickBot="1">
      <c r="A26" s="39" t="s">
        <v>19</v>
      </c>
      <c r="B26" s="40" t="s">
        <v>516</v>
      </c>
      <c r="C26" s="26">
        <f>+C27+C28+C29</f>
        <v>0</v>
      </c>
      <c r="D26" s="26">
        <f>+D27+D28+D29</f>
        <v>0</v>
      </c>
    </row>
    <row r="27" spans="1:4" s="36" customFormat="1" ht="12" customHeight="1">
      <c r="A27" s="42" t="s">
        <v>260</v>
      </c>
      <c r="B27" s="43" t="s">
        <v>255</v>
      </c>
      <c r="C27" s="44"/>
      <c r="D27" s="44"/>
    </row>
    <row r="28" spans="1:4" s="36" customFormat="1" ht="12" customHeight="1">
      <c r="A28" s="42" t="s">
        <v>263</v>
      </c>
      <c r="B28" s="43" t="s">
        <v>401</v>
      </c>
      <c r="C28" s="33"/>
      <c r="D28" s="33"/>
    </row>
    <row r="29" spans="1:4" s="36" customFormat="1" ht="12" customHeight="1">
      <c r="A29" s="42" t="s">
        <v>264</v>
      </c>
      <c r="B29" s="45" t="s">
        <v>404</v>
      </c>
      <c r="C29" s="33"/>
      <c r="D29" s="33"/>
    </row>
    <row r="30" spans="1:4" s="36" customFormat="1" ht="12" customHeight="1" thickBot="1">
      <c r="A30" s="31" t="s">
        <v>265</v>
      </c>
      <c r="B30" s="47" t="s">
        <v>517</v>
      </c>
      <c r="C30" s="48"/>
      <c r="D30" s="48"/>
    </row>
    <row r="31" spans="1:4" s="36" customFormat="1" ht="12" customHeight="1" thickBot="1">
      <c r="A31" s="39" t="s">
        <v>20</v>
      </c>
      <c r="B31" s="40" t="s">
        <v>405</v>
      </c>
      <c r="C31" s="26">
        <f>+C32+C33+C34</f>
        <v>0</v>
      </c>
      <c r="D31" s="26">
        <f>+D32+D33+D34</f>
        <v>0</v>
      </c>
    </row>
    <row r="32" spans="1:4" s="36" customFormat="1" ht="12" customHeight="1">
      <c r="A32" s="42" t="s">
        <v>88</v>
      </c>
      <c r="B32" s="43" t="s">
        <v>287</v>
      </c>
      <c r="C32" s="44"/>
      <c r="D32" s="44"/>
    </row>
    <row r="33" spans="1:4" s="36" customFormat="1" ht="12" customHeight="1">
      <c r="A33" s="42" t="s">
        <v>89</v>
      </c>
      <c r="B33" s="45" t="s">
        <v>288</v>
      </c>
      <c r="C33" s="46"/>
      <c r="D33" s="46"/>
    </row>
    <row r="34" spans="1:4" s="36" customFormat="1" ht="12" customHeight="1" thickBot="1">
      <c r="A34" s="31" t="s">
        <v>90</v>
      </c>
      <c r="B34" s="47" t="s">
        <v>289</v>
      </c>
      <c r="C34" s="48"/>
      <c r="D34" s="48"/>
    </row>
    <row r="35" spans="1:4" s="27" customFormat="1" ht="12" customHeight="1" thickBot="1">
      <c r="A35" s="39" t="s">
        <v>21</v>
      </c>
      <c r="B35" s="40" t="s">
        <v>374</v>
      </c>
      <c r="C35" s="41"/>
      <c r="D35" s="41"/>
    </row>
    <row r="36" spans="1:4" s="27" customFormat="1" ht="12" customHeight="1" thickBot="1">
      <c r="A36" s="39" t="s">
        <v>22</v>
      </c>
      <c r="B36" s="40" t="s">
        <v>406</v>
      </c>
      <c r="C36" s="49"/>
      <c r="D36" s="49"/>
    </row>
    <row r="37" spans="1:4" s="27" customFormat="1" ht="12" customHeight="1" thickBot="1">
      <c r="A37" s="18" t="s">
        <v>23</v>
      </c>
      <c r="B37" s="40" t="s">
        <v>407</v>
      </c>
      <c r="C37" s="50">
        <f>+C8+C20+C25+C26+C31+C35+C36</f>
        <v>0</v>
      </c>
      <c r="D37" s="50">
        <f>+D8+D20+D25+D26+D31+D35+D36</f>
        <v>0</v>
      </c>
    </row>
    <row r="38" spans="1:4" s="27" customFormat="1" ht="12" customHeight="1" thickBot="1">
      <c r="A38" s="51" t="s">
        <v>24</v>
      </c>
      <c r="B38" s="40" t="s">
        <v>408</v>
      </c>
      <c r="C38" s="50">
        <f>+C39+C40+C41</f>
        <v>0</v>
      </c>
      <c r="D38" s="50">
        <f>+D39+D40+D41</f>
        <v>0</v>
      </c>
    </row>
    <row r="39" spans="1:4" s="27" customFormat="1" ht="12" customHeight="1">
      <c r="A39" s="42" t="s">
        <v>409</v>
      </c>
      <c r="B39" s="43" t="s">
        <v>229</v>
      </c>
      <c r="C39" s="44"/>
      <c r="D39" s="44"/>
    </row>
    <row r="40" spans="1:4" s="27" customFormat="1" ht="12" customHeight="1">
      <c r="A40" s="42" t="s">
        <v>410</v>
      </c>
      <c r="B40" s="45" t="s">
        <v>2</v>
      </c>
      <c r="C40" s="46"/>
      <c r="D40" s="46"/>
    </row>
    <row r="41" spans="1:4" s="36" customFormat="1" ht="12" customHeight="1" thickBot="1">
      <c r="A41" s="31" t="s">
        <v>411</v>
      </c>
      <c r="B41" s="47" t="s">
        <v>412</v>
      </c>
      <c r="C41" s="48"/>
      <c r="D41" s="48"/>
    </row>
    <row r="42" spans="1:4" s="36" customFormat="1" ht="15" customHeight="1" thickBot="1">
      <c r="A42" s="51" t="s">
        <v>25</v>
      </c>
      <c r="B42" s="52" t="s">
        <v>413</v>
      </c>
      <c r="C42" s="53">
        <f>+C37+C38</f>
        <v>0</v>
      </c>
      <c r="D42" s="53">
        <f>+D37+D38</f>
        <v>0</v>
      </c>
    </row>
    <row r="43" spans="1:4" s="36" customFormat="1" ht="15" customHeight="1">
      <c r="A43" s="54"/>
      <c r="B43" s="55"/>
      <c r="C43" s="56"/>
      <c r="D43" s="56"/>
    </row>
    <row r="44" spans="1:4" ht="13.5" thickBot="1">
      <c r="A44" s="57"/>
      <c r="B44" s="58"/>
      <c r="C44" s="59"/>
      <c r="D44" s="59"/>
    </row>
    <row r="45" spans="1:4" s="21" customFormat="1" ht="16.5" customHeight="1" thickBot="1">
      <c r="A45" s="60"/>
      <c r="B45" s="61" t="s">
        <v>54</v>
      </c>
      <c r="C45" s="53"/>
      <c r="D45" s="53"/>
    </row>
    <row r="46" spans="1:4" s="62" customFormat="1" ht="12" customHeight="1" thickBot="1">
      <c r="A46" s="39" t="s">
        <v>16</v>
      </c>
      <c r="B46" s="40" t="s">
        <v>414</v>
      </c>
      <c r="C46" s="26">
        <f>SUM(C47:C51)</f>
        <v>0</v>
      </c>
      <c r="D46" s="26">
        <f>SUM(D47:D51)</f>
        <v>0</v>
      </c>
    </row>
    <row r="47" spans="1:4" ht="12" customHeight="1">
      <c r="A47" s="31" t="s">
        <v>95</v>
      </c>
      <c r="B47" s="38" t="s">
        <v>46</v>
      </c>
      <c r="C47" s="44"/>
      <c r="D47" s="44"/>
    </row>
    <row r="48" spans="1:4" ht="12" customHeight="1">
      <c r="A48" s="31" t="s">
        <v>96</v>
      </c>
      <c r="B48" s="32" t="s">
        <v>174</v>
      </c>
      <c r="C48" s="63"/>
      <c r="D48" s="63"/>
    </row>
    <row r="49" spans="1:4" ht="12" customHeight="1">
      <c r="A49" s="31" t="s">
        <v>97</v>
      </c>
      <c r="B49" s="32" t="s">
        <v>133</v>
      </c>
      <c r="C49" s="63"/>
      <c r="D49" s="63"/>
    </row>
    <row r="50" spans="1:4" ht="12" customHeight="1">
      <c r="A50" s="31" t="s">
        <v>98</v>
      </c>
      <c r="B50" s="32" t="s">
        <v>175</v>
      </c>
      <c r="C50" s="63"/>
      <c r="D50" s="63"/>
    </row>
    <row r="51" spans="1:4" ht="12" customHeight="1" thickBot="1">
      <c r="A51" s="31" t="s">
        <v>141</v>
      </c>
      <c r="B51" s="32" t="s">
        <v>176</v>
      </c>
      <c r="C51" s="63"/>
      <c r="D51" s="63"/>
    </row>
    <row r="52" spans="1:4" ht="12" customHeight="1" thickBot="1">
      <c r="A52" s="39" t="s">
        <v>17</v>
      </c>
      <c r="B52" s="40" t="s">
        <v>415</v>
      </c>
      <c r="C52" s="26">
        <f>SUM(C53:C55)</f>
        <v>0</v>
      </c>
      <c r="D52" s="26">
        <f>SUM(D53:D55)</f>
        <v>0</v>
      </c>
    </row>
    <row r="53" spans="1:4" s="62" customFormat="1" ht="12" customHeight="1">
      <c r="A53" s="31" t="s">
        <v>101</v>
      </c>
      <c r="B53" s="38" t="s">
        <v>219</v>
      </c>
      <c r="C53" s="44"/>
      <c r="D53" s="44"/>
    </row>
    <row r="54" spans="1:4" ht="12" customHeight="1">
      <c r="A54" s="31" t="s">
        <v>102</v>
      </c>
      <c r="B54" s="32" t="s">
        <v>178</v>
      </c>
      <c r="C54" s="63"/>
      <c r="D54" s="63"/>
    </row>
    <row r="55" spans="1:4" ht="12" customHeight="1">
      <c r="A55" s="31" t="s">
        <v>103</v>
      </c>
      <c r="B55" s="32" t="s">
        <v>55</v>
      </c>
      <c r="C55" s="63"/>
      <c r="D55" s="63"/>
    </row>
    <row r="56" spans="1:4" ht="12" customHeight="1" thickBot="1">
      <c r="A56" s="31" t="s">
        <v>104</v>
      </c>
      <c r="B56" s="32" t="s">
        <v>518</v>
      </c>
      <c r="C56" s="63"/>
      <c r="D56" s="63"/>
    </row>
    <row r="57" spans="1:4" ht="15" customHeight="1" thickBot="1">
      <c r="A57" s="39" t="s">
        <v>18</v>
      </c>
      <c r="B57" s="40" t="s">
        <v>12</v>
      </c>
      <c r="C57" s="41"/>
      <c r="D57" s="41"/>
    </row>
    <row r="58" spans="1:4" ht="13.5" thickBot="1">
      <c r="A58" s="39" t="s">
        <v>19</v>
      </c>
      <c r="B58" s="64" t="s">
        <v>523</v>
      </c>
      <c r="C58" s="65">
        <f>+C46+C52+C57</f>
        <v>0</v>
      </c>
      <c r="D58" s="65">
        <f>+D46+D52+D57</f>
        <v>0</v>
      </c>
    </row>
    <row r="59" spans="1:4" ht="15" customHeight="1" thickBot="1">
      <c r="C59" s="67"/>
      <c r="D59" s="67"/>
    </row>
    <row r="60" spans="1:4" ht="14.25" customHeight="1" thickBot="1">
      <c r="A60" s="68" t="s">
        <v>513</v>
      </c>
      <c r="B60" s="69"/>
      <c r="C60" s="70"/>
      <c r="D60" s="70"/>
    </row>
    <row r="61" spans="1:4" ht="13.5" thickBot="1">
      <c r="A61" s="68" t="s">
        <v>196</v>
      </c>
      <c r="B61" s="69"/>
      <c r="C61" s="70"/>
      <c r="D61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tabSelected="1"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79.1640625" style="17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/>
      <c r="C1" s="2"/>
      <c r="D1" s="2"/>
    </row>
    <row r="2" spans="1:4" s="7" customFormat="1" ht="33.75" customHeight="1">
      <c r="A2" s="4" t="s">
        <v>194</v>
      </c>
      <c r="B2" s="5" t="s">
        <v>541</v>
      </c>
      <c r="C2" s="6" t="s">
        <v>57</v>
      </c>
      <c r="D2" s="6" t="s">
        <v>57</v>
      </c>
    </row>
    <row r="3" spans="1:4" s="7" customFormat="1" ht="24.75" thickBot="1">
      <c r="A3" s="8" t="s">
        <v>193</v>
      </c>
      <c r="B3" s="9" t="s">
        <v>397</v>
      </c>
      <c r="C3" s="10" t="s">
        <v>51</v>
      </c>
      <c r="D3" s="10" t="s">
        <v>51</v>
      </c>
    </row>
    <row r="4" spans="1:4" s="13" customFormat="1" ht="15.95" customHeight="1" thickBot="1">
      <c r="A4" s="11"/>
      <c r="B4" s="11"/>
      <c r="C4" s="12" t="s">
        <v>600</v>
      </c>
      <c r="D4" s="12" t="s">
        <v>600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2521100</v>
      </c>
      <c r="D8" s="26">
        <f>SUM(D9:D19)</f>
        <v>2540100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>
        <v>2120000</v>
      </c>
      <c r="D10" s="33">
        <v>2120000</v>
      </c>
    </row>
    <row r="11" spans="1:4" s="27" customFormat="1" ht="12" customHeight="1">
      <c r="A11" s="31" t="s">
        <v>97</v>
      </c>
      <c r="B11" s="32" t="s">
        <v>275</v>
      </c>
      <c r="C11" s="33">
        <f>110000+290000</f>
        <v>400000</v>
      </c>
      <c r="D11" s="33">
        <f>110000+290000</f>
        <v>400000</v>
      </c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>
        <v>100</v>
      </c>
      <c r="D16" s="35">
        <v>100</v>
      </c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>
        <v>1000</v>
      </c>
      <c r="D19" s="37">
        <f>1000+19000</f>
        <v>20000</v>
      </c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1000000</v>
      </c>
      <c r="D20" s="26">
        <f>SUM(D21:D23)</f>
        <v>1000000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>
        <v>1000000</v>
      </c>
      <c r="D23" s="33">
        <v>1000000</v>
      </c>
    </row>
    <row r="24" spans="1:4" s="36" customFormat="1" ht="12" customHeight="1" thickBot="1">
      <c r="A24" s="31" t="s">
        <v>104</v>
      </c>
      <c r="B24" s="32" t="s">
        <v>519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/>
    </row>
    <row r="26" spans="1:4" s="36" customFormat="1" ht="12" customHeight="1" thickBot="1">
      <c r="A26" s="39" t="s">
        <v>19</v>
      </c>
      <c r="B26" s="40" t="s">
        <v>403</v>
      </c>
      <c r="C26" s="26">
        <f>+C27+C28</f>
        <v>0</v>
      </c>
      <c r="D26" s="26">
        <f>+D27+D28</f>
        <v>0</v>
      </c>
    </row>
    <row r="27" spans="1:4" s="36" customFormat="1" ht="12" customHeight="1">
      <c r="A27" s="42" t="s">
        <v>260</v>
      </c>
      <c r="B27" s="43" t="s">
        <v>401</v>
      </c>
      <c r="C27" s="44"/>
      <c r="D27" s="44"/>
    </row>
    <row r="28" spans="1:4" s="36" customFormat="1" ht="12" customHeight="1">
      <c r="A28" s="42" t="s">
        <v>263</v>
      </c>
      <c r="B28" s="45" t="s">
        <v>404</v>
      </c>
      <c r="C28" s="46"/>
      <c r="D28" s="46"/>
    </row>
    <row r="29" spans="1:4" s="36" customFormat="1" ht="12" customHeight="1" thickBot="1">
      <c r="A29" s="31" t="s">
        <v>264</v>
      </c>
      <c r="B29" s="47" t="s">
        <v>520</v>
      </c>
      <c r="C29" s="48"/>
      <c r="D29" s="48"/>
    </row>
    <row r="30" spans="1:4" s="36" customFormat="1" ht="12" customHeight="1" thickBot="1">
      <c r="A30" s="39" t="s">
        <v>20</v>
      </c>
      <c r="B30" s="40" t="s">
        <v>405</v>
      </c>
      <c r="C30" s="26">
        <f>+C31+C32+C33</f>
        <v>0</v>
      </c>
      <c r="D30" s="26">
        <f>+D31+D32+D33</f>
        <v>0</v>
      </c>
    </row>
    <row r="31" spans="1:4" s="36" customFormat="1" ht="12" customHeight="1">
      <c r="A31" s="42" t="s">
        <v>88</v>
      </c>
      <c r="B31" s="43" t="s">
        <v>287</v>
      </c>
      <c r="C31" s="44"/>
      <c r="D31" s="44"/>
    </row>
    <row r="32" spans="1:4" s="36" customFormat="1" ht="12" customHeight="1">
      <c r="A32" s="42" t="s">
        <v>89</v>
      </c>
      <c r="B32" s="45" t="s">
        <v>288</v>
      </c>
      <c r="C32" s="46"/>
      <c r="D32" s="46"/>
    </row>
    <row r="33" spans="1:4" s="36" customFormat="1" ht="12" customHeight="1" thickBot="1">
      <c r="A33" s="31" t="s">
        <v>90</v>
      </c>
      <c r="B33" s="47" t="s">
        <v>289</v>
      </c>
      <c r="C33" s="48"/>
      <c r="D33" s="48"/>
    </row>
    <row r="34" spans="1:4" s="27" customFormat="1" ht="12" customHeight="1" thickBot="1">
      <c r="A34" s="39" t="s">
        <v>21</v>
      </c>
      <c r="B34" s="40" t="s">
        <v>374</v>
      </c>
      <c r="C34" s="41"/>
      <c r="D34" s="41"/>
    </row>
    <row r="35" spans="1:4" s="27" customFormat="1" ht="12" customHeight="1" thickBot="1">
      <c r="A35" s="39" t="s">
        <v>22</v>
      </c>
      <c r="B35" s="40" t="s">
        <v>406</v>
      </c>
      <c r="C35" s="49"/>
      <c r="D35" s="49"/>
    </row>
    <row r="36" spans="1:4" s="27" customFormat="1" ht="12" customHeight="1" thickBot="1">
      <c r="A36" s="18" t="s">
        <v>23</v>
      </c>
      <c r="B36" s="40" t="s">
        <v>521</v>
      </c>
      <c r="C36" s="50">
        <f>+C8+C20+C25+C26+C30+C34+C35</f>
        <v>3521100</v>
      </c>
      <c r="D36" s="50">
        <f>+D8+D20+D25+D26+D30+D34+D35</f>
        <v>3540100</v>
      </c>
    </row>
    <row r="37" spans="1:4" s="27" customFormat="1" ht="12" customHeight="1" thickBot="1">
      <c r="A37" s="51" t="s">
        <v>24</v>
      </c>
      <c r="B37" s="40" t="s">
        <v>408</v>
      </c>
      <c r="C37" s="50">
        <f>+C38+C39+C40</f>
        <v>44270851</v>
      </c>
      <c r="D37" s="50">
        <f>+D38+D39+D40</f>
        <v>45287650</v>
      </c>
    </row>
    <row r="38" spans="1:4" s="27" customFormat="1" ht="12" customHeight="1">
      <c r="A38" s="42" t="s">
        <v>409</v>
      </c>
      <c r="B38" s="43" t="s">
        <v>229</v>
      </c>
      <c r="C38" s="44"/>
      <c r="D38" s="44"/>
    </row>
    <row r="39" spans="1:4" s="27" customFormat="1" ht="12" customHeight="1">
      <c r="A39" s="42" t="s">
        <v>410</v>
      </c>
      <c r="B39" s="45" t="s">
        <v>2</v>
      </c>
      <c r="C39" s="46"/>
      <c r="D39" s="46"/>
    </row>
    <row r="40" spans="1:4" s="36" customFormat="1" ht="12" customHeight="1" thickBot="1">
      <c r="A40" s="31" t="s">
        <v>411</v>
      </c>
      <c r="B40" s="47" t="s">
        <v>412</v>
      </c>
      <c r="C40" s="48">
        <v>44270851</v>
      </c>
      <c r="D40" s="48">
        <f>44270851+411269-19000+624530</f>
        <v>45287650</v>
      </c>
    </row>
    <row r="41" spans="1:4" s="36" customFormat="1" ht="15" customHeight="1" thickBot="1">
      <c r="A41" s="51" t="s">
        <v>25</v>
      </c>
      <c r="B41" s="52" t="s">
        <v>413</v>
      </c>
      <c r="C41" s="53">
        <f>+C36+C37</f>
        <v>47791951</v>
      </c>
      <c r="D41" s="53">
        <f>+D36+D37</f>
        <v>48827750</v>
      </c>
    </row>
    <row r="42" spans="1:4" s="36" customFormat="1" ht="15" customHeight="1">
      <c r="A42" s="54"/>
      <c r="B42" s="55"/>
      <c r="C42" s="56"/>
      <c r="D42" s="56"/>
    </row>
    <row r="43" spans="1:4" ht="13.5" thickBot="1">
      <c r="A43" s="57"/>
      <c r="B43" s="58"/>
      <c r="C43" s="59"/>
      <c r="D43" s="59"/>
    </row>
    <row r="44" spans="1:4" s="21" customFormat="1" ht="16.5" customHeight="1" thickBot="1">
      <c r="A44" s="60"/>
      <c r="B44" s="61" t="s">
        <v>54</v>
      </c>
      <c r="C44" s="53"/>
      <c r="D44" s="53"/>
    </row>
    <row r="45" spans="1:4" s="62" customFormat="1" ht="12" customHeight="1" thickBot="1">
      <c r="A45" s="39" t="s">
        <v>16</v>
      </c>
      <c r="B45" s="40" t="s">
        <v>414</v>
      </c>
      <c r="C45" s="26">
        <f>SUM(C46:C50)</f>
        <v>44915731</v>
      </c>
      <c r="D45" s="26">
        <f>SUM(D46:D50)</f>
        <v>45540261</v>
      </c>
    </row>
    <row r="46" spans="1:4" ht="12" customHeight="1">
      <c r="A46" s="31" t="s">
        <v>95</v>
      </c>
      <c r="B46" s="38" t="s">
        <v>46</v>
      </c>
      <c r="C46" s="44">
        <v>14125510</v>
      </c>
      <c r="D46" s="44">
        <f>14125510+487750+31045</f>
        <v>14644305</v>
      </c>
    </row>
    <row r="47" spans="1:4" ht="12" customHeight="1">
      <c r="A47" s="31" t="s">
        <v>96</v>
      </c>
      <c r="B47" s="32" t="s">
        <v>174</v>
      </c>
      <c r="C47" s="63">
        <v>3315011</v>
      </c>
      <c r="D47" s="63">
        <f>3315011+95111+10624</f>
        <v>3420746</v>
      </c>
    </row>
    <row r="48" spans="1:4" ht="12" customHeight="1">
      <c r="A48" s="31" t="s">
        <v>97</v>
      </c>
      <c r="B48" s="32" t="s">
        <v>133</v>
      </c>
      <c r="C48" s="63">
        <v>27475210</v>
      </c>
      <c r="D48" s="63">
        <f>27475210</f>
        <v>27475210</v>
      </c>
    </row>
    <row r="49" spans="1:4" ht="12" customHeight="1">
      <c r="A49" s="31" t="s">
        <v>98</v>
      </c>
      <c r="B49" s="32" t="s">
        <v>175</v>
      </c>
      <c r="C49" s="63"/>
      <c r="D49" s="63"/>
    </row>
    <row r="50" spans="1:4" ht="12" customHeight="1" thickBot="1">
      <c r="A50" s="31" t="s">
        <v>141</v>
      </c>
      <c r="B50" s="32" t="s">
        <v>176</v>
      </c>
      <c r="C50" s="63"/>
      <c r="D50" s="63"/>
    </row>
    <row r="51" spans="1:4" ht="12" customHeight="1" thickBot="1">
      <c r="A51" s="39" t="s">
        <v>17</v>
      </c>
      <c r="B51" s="40" t="s">
        <v>415</v>
      </c>
      <c r="C51" s="26">
        <f>SUM(C52:C54)</f>
        <v>2876220</v>
      </c>
      <c r="D51" s="26">
        <f>SUM(D52:D54)</f>
        <v>3287489</v>
      </c>
    </row>
    <row r="52" spans="1:4" s="62" customFormat="1" ht="12" customHeight="1">
      <c r="A52" s="31" t="s">
        <v>101</v>
      </c>
      <c r="B52" s="38" t="s">
        <v>219</v>
      </c>
      <c r="C52" s="44">
        <v>2876220</v>
      </c>
      <c r="D52" s="44">
        <f>2876220+411269</f>
        <v>3287489</v>
      </c>
    </row>
    <row r="53" spans="1:4" ht="12" customHeight="1">
      <c r="A53" s="31" t="s">
        <v>102</v>
      </c>
      <c r="B53" s="32" t="s">
        <v>178</v>
      </c>
      <c r="C53" s="63"/>
      <c r="D53" s="63"/>
    </row>
    <row r="54" spans="1:4" ht="12" customHeight="1">
      <c r="A54" s="31" t="s">
        <v>103</v>
      </c>
      <c r="B54" s="32" t="s">
        <v>55</v>
      </c>
      <c r="C54" s="63"/>
      <c r="D54" s="63"/>
    </row>
    <row r="55" spans="1:4" ht="12" customHeight="1" thickBot="1">
      <c r="A55" s="31" t="s">
        <v>104</v>
      </c>
      <c r="B55" s="32" t="s">
        <v>518</v>
      </c>
      <c r="C55" s="63"/>
      <c r="D55" s="63"/>
    </row>
    <row r="56" spans="1:4" ht="15" customHeight="1" thickBot="1">
      <c r="A56" s="39" t="s">
        <v>18</v>
      </c>
      <c r="B56" s="40" t="s">
        <v>12</v>
      </c>
      <c r="C56" s="41"/>
      <c r="D56" s="41"/>
    </row>
    <row r="57" spans="1:4" ht="13.5" thickBot="1">
      <c r="A57" s="39" t="s">
        <v>19</v>
      </c>
      <c r="B57" s="64" t="s">
        <v>523</v>
      </c>
      <c r="C57" s="65">
        <f>+C45+C51+C56</f>
        <v>47791951</v>
      </c>
      <c r="D57" s="65">
        <f>+D45+D51+D56</f>
        <v>48827750</v>
      </c>
    </row>
    <row r="58" spans="1:4" ht="15" customHeight="1" thickBot="1">
      <c r="C58" s="67"/>
      <c r="D58" s="67"/>
    </row>
    <row r="59" spans="1:4" ht="14.25" customHeight="1" thickBot="1">
      <c r="A59" s="68" t="s">
        <v>513</v>
      </c>
      <c r="B59" s="69"/>
      <c r="C59" s="70">
        <v>3.25</v>
      </c>
      <c r="D59" s="70">
        <v>4</v>
      </c>
    </row>
    <row r="60" spans="1:4" ht="13.5" thickBot="1">
      <c r="A60" s="68" t="s">
        <v>196</v>
      </c>
      <c r="B60" s="69"/>
      <c r="C60" s="70"/>
      <c r="D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Footer>&amp;P. oldal, összesen: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48.6640625" style="17" bestFit="1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/>
      <c r="C1" s="2"/>
      <c r="D1" s="2"/>
    </row>
    <row r="2" spans="1:4" s="7" customFormat="1" ht="36" customHeight="1">
      <c r="A2" s="4" t="s">
        <v>194</v>
      </c>
      <c r="B2" s="5" t="s">
        <v>541</v>
      </c>
      <c r="C2" s="6" t="s">
        <v>57</v>
      </c>
      <c r="D2" s="6" t="s">
        <v>57</v>
      </c>
    </row>
    <row r="3" spans="1:4" s="7" customFormat="1" ht="24.75" thickBot="1">
      <c r="A3" s="8" t="s">
        <v>193</v>
      </c>
      <c r="B3" s="9" t="s">
        <v>416</v>
      </c>
      <c r="C3" s="10" t="s">
        <v>51</v>
      </c>
      <c r="D3" s="10" t="s">
        <v>51</v>
      </c>
    </row>
    <row r="4" spans="1:4" s="13" customFormat="1" ht="15.95" customHeight="1" thickBot="1">
      <c r="A4" s="11"/>
      <c r="B4" s="11"/>
      <c r="C4" s="12" t="s">
        <v>600</v>
      </c>
      <c r="D4" s="12" t="s">
        <v>600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2521100</v>
      </c>
      <c r="D8" s="26">
        <f>SUM(D9:D19)</f>
        <v>2540100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>
        <v>2120000</v>
      </c>
      <c r="D10" s="33">
        <v>2120000</v>
      </c>
    </row>
    <row r="11" spans="1:4" s="27" customFormat="1" ht="12" customHeight="1">
      <c r="A11" s="31" t="s">
        <v>97</v>
      </c>
      <c r="B11" s="32" t="s">
        <v>275</v>
      </c>
      <c r="C11" s="33">
        <f>110000+290000</f>
        <v>400000</v>
      </c>
      <c r="D11" s="33">
        <f>110000+290000</f>
        <v>400000</v>
      </c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>
        <v>100</v>
      </c>
      <c r="D16" s="35">
        <v>100</v>
      </c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>
        <v>1000</v>
      </c>
      <c r="D19" s="37">
        <f>1000+19000</f>
        <v>20000</v>
      </c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1000000</v>
      </c>
      <c r="D20" s="26">
        <f>SUM(D21:D23)</f>
        <v>1000000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>
        <v>1000000</v>
      </c>
      <c r="D23" s="33">
        <v>1000000</v>
      </c>
    </row>
    <row r="24" spans="1:4" s="36" customFormat="1" ht="12" customHeight="1" thickBot="1">
      <c r="A24" s="31" t="s">
        <v>104</v>
      </c>
      <c r="B24" s="32" t="s">
        <v>519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/>
    </row>
    <row r="26" spans="1:4" s="36" customFormat="1" ht="12" customHeight="1" thickBot="1">
      <c r="A26" s="39" t="s">
        <v>19</v>
      </c>
      <c r="B26" s="40" t="s">
        <v>403</v>
      </c>
      <c r="C26" s="26">
        <f>+C27+C28</f>
        <v>0</v>
      </c>
      <c r="D26" s="26">
        <f>+D27+D28</f>
        <v>0</v>
      </c>
    </row>
    <row r="27" spans="1:4" s="36" customFormat="1" ht="12" customHeight="1">
      <c r="A27" s="42" t="s">
        <v>260</v>
      </c>
      <c r="B27" s="43" t="s">
        <v>401</v>
      </c>
      <c r="C27" s="44"/>
      <c r="D27" s="44"/>
    </row>
    <row r="28" spans="1:4" s="36" customFormat="1" ht="12" customHeight="1">
      <c r="A28" s="42" t="s">
        <v>263</v>
      </c>
      <c r="B28" s="45" t="s">
        <v>404</v>
      </c>
      <c r="C28" s="46"/>
      <c r="D28" s="46"/>
    </row>
    <row r="29" spans="1:4" s="36" customFormat="1" ht="12" customHeight="1" thickBot="1">
      <c r="A29" s="31" t="s">
        <v>264</v>
      </c>
      <c r="B29" s="47" t="s">
        <v>520</v>
      </c>
      <c r="C29" s="48"/>
      <c r="D29" s="48"/>
    </row>
    <row r="30" spans="1:4" s="36" customFormat="1" ht="12" customHeight="1" thickBot="1">
      <c r="A30" s="39" t="s">
        <v>20</v>
      </c>
      <c r="B30" s="40" t="s">
        <v>405</v>
      </c>
      <c r="C30" s="26">
        <f>+C31+C32+C33</f>
        <v>0</v>
      </c>
      <c r="D30" s="26">
        <f>+D31+D32+D33</f>
        <v>0</v>
      </c>
    </row>
    <row r="31" spans="1:4" s="36" customFormat="1" ht="12" customHeight="1">
      <c r="A31" s="42" t="s">
        <v>88</v>
      </c>
      <c r="B31" s="43" t="s">
        <v>287</v>
      </c>
      <c r="C31" s="44"/>
      <c r="D31" s="44"/>
    </row>
    <row r="32" spans="1:4" s="36" customFormat="1" ht="12" customHeight="1">
      <c r="A32" s="42" t="s">
        <v>89</v>
      </c>
      <c r="B32" s="45" t="s">
        <v>288</v>
      </c>
      <c r="C32" s="46"/>
      <c r="D32" s="46"/>
    </row>
    <row r="33" spans="1:4" s="36" customFormat="1" ht="12" customHeight="1" thickBot="1">
      <c r="A33" s="31" t="s">
        <v>90</v>
      </c>
      <c r="B33" s="47" t="s">
        <v>289</v>
      </c>
      <c r="C33" s="48"/>
      <c r="D33" s="48"/>
    </row>
    <row r="34" spans="1:4" s="27" customFormat="1" ht="12" customHeight="1" thickBot="1">
      <c r="A34" s="39" t="s">
        <v>21</v>
      </c>
      <c r="B34" s="40" t="s">
        <v>374</v>
      </c>
      <c r="C34" s="41"/>
      <c r="D34" s="41"/>
    </row>
    <row r="35" spans="1:4" s="27" customFormat="1" ht="12" customHeight="1" thickBot="1">
      <c r="A35" s="39" t="s">
        <v>22</v>
      </c>
      <c r="B35" s="40" t="s">
        <v>406</v>
      </c>
      <c r="C35" s="49"/>
      <c r="D35" s="49"/>
    </row>
    <row r="36" spans="1:4" s="27" customFormat="1" ht="12" customHeight="1" thickBot="1">
      <c r="A36" s="18" t="s">
        <v>23</v>
      </c>
      <c r="B36" s="40" t="s">
        <v>521</v>
      </c>
      <c r="C36" s="50">
        <f>+C8+C20+C25+C26+C30+C34+C35</f>
        <v>3521100</v>
      </c>
      <c r="D36" s="50">
        <f>+D8+D20+D25+D26+D30+D34+D35</f>
        <v>3540100</v>
      </c>
    </row>
    <row r="37" spans="1:4" s="27" customFormat="1" ht="12" customHeight="1" thickBot="1">
      <c r="A37" s="51" t="s">
        <v>24</v>
      </c>
      <c r="B37" s="40" t="s">
        <v>408</v>
      </c>
      <c r="C37" s="50">
        <f>+C38+C39+C40</f>
        <v>44270851</v>
      </c>
      <c r="D37" s="50">
        <f>+D38+D39+D40</f>
        <v>45287650</v>
      </c>
    </row>
    <row r="38" spans="1:4" s="27" customFormat="1" ht="12" customHeight="1">
      <c r="A38" s="42" t="s">
        <v>409</v>
      </c>
      <c r="B38" s="43" t="s">
        <v>229</v>
      </c>
      <c r="C38" s="44"/>
      <c r="D38" s="44"/>
    </row>
    <row r="39" spans="1:4" s="27" customFormat="1" ht="12" customHeight="1">
      <c r="A39" s="42" t="s">
        <v>410</v>
      </c>
      <c r="B39" s="45" t="s">
        <v>2</v>
      </c>
      <c r="C39" s="46"/>
      <c r="D39" s="46"/>
    </row>
    <row r="40" spans="1:4" s="36" customFormat="1" ht="12" customHeight="1" thickBot="1">
      <c r="A40" s="31" t="s">
        <v>411</v>
      </c>
      <c r="B40" s="47" t="s">
        <v>412</v>
      </c>
      <c r="C40" s="48">
        <v>44270851</v>
      </c>
      <c r="D40" s="48">
        <f>44270851+411269-19000+624530</f>
        <v>45287650</v>
      </c>
    </row>
    <row r="41" spans="1:4" s="36" customFormat="1" ht="15" customHeight="1" thickBot="1">
      <c r="A41" s="51" t="s">
        <v>25</v>
      </c>
      <c r="B41" s="52" t="s">
        <v>413</v>
      </c>
      <c r="C41" s="53">
        <f>+C36+C37</f>
        <v>47791951</v>
      </c>
      <c r="D41" s="53">
        <f>+D36+D37</f>
        <v>48827750</v>
      </c>
    </row>
    <row r="42" spans="1:4" s="36" customFormat="1" ht="15" customHeight="1">
      <c r="A42" s="54"/>
      <c r="B42" s="55"/>
      <c r="C42" s="56"/>
      <c r="D42" s="56"/>
    </row>
    <row r="43" spans="1:4" ht="13.5" thickBot="1">
      <c r="A43" s="57"/>
      <c r="B43" s="58"/>
      <c r="C43" s="59"/>
      <c r="D43" s="59"/>
    </row>
    <row r="44" spans="1:4" s="21" customFormat="1" ht="16.5" customHeight="1" thickBot="1">
      <c r="A44" s="60"/>
      <c r="B44" s="61" t="s">
        <v>54</v>
      </c>
      <c r="C44" s="53"/>
      <c r="D44" s="53"/>
    </row>
    <row r="45" spans="1:4" s="62" customFormat="1" ht="12" customHeight="1" thickBot="1">
      <c r="A45" s="39" t="s">
        <v>16</v>
      </c>
      <c r="B45" s="40" t="s">
        <v>414</v>
      </c>
      <c r="C45" s="26">
        <f>SUM(C46:C50)</f>
        <v>44915731</v>
      </c>
      <c r="D45" s="26">
        <f>SUM(D46:D50)</f>
        <v>45540261</v>
      </c>
    </row>
    <row r="46" spans="1:4" ht="12" customHeight="1">
      <c r="A46" s="31" t="s">
        <v>95</v>
      </c>
      <c r="B46" s="38" t="s">
        <v>46</v>
      </c>
      <c r="C46" s="44">
        <v>14125510</v>
      </c>
      <c r="D46" s="44">
        <f>14125510+487750+31045</f>
        <v>14644305</v>
      </c>
    </row>
    <row r="47" spans="1:4" ht="12" customHeight="1">
      <c r="A47" s="31" t="s">
        <v>96</v>
      </c>
      <c r="B47" s="32" t="s">
        <v>174</v>
      </c>
      <c r="C47" s="63">
        <v>3315011</v>
      </c>
      <c r="D47" s="63">
        <f>3315011+95111+10624</f>
        <v>3420746</v>
      </c>
    </row>
    <row r="48" spans="1:4" ht="12" customHeight="1">
      <c r="A48" s="31" t="s">
        <v>97</v>
      </c>
      <c r="B48" s="32" t="s">
        <v>133</v>
      </c>
      <c r="C48" s="63">
        <v>27475210</v>
      </c>
      <c r="D48" s="63">
        <f>27475210</f>
        <v>27475210</v>
      </c>
    </row>
    <row r="49" spans="1:4" ht="12" customHeight="1">
      <c r="A49" s="31" t="s">
        <v>98</v>
      </c>
      <c r="B49" s="32" t="s">
        <v>175</v>
      </c>
      <c r="C49" s="63"/>
      <c r="D49" s="63"/>
    </row>
    <row r="50" spans="1:4" ht="12" customHeight="1" thickBot="1">
      <c r="A50" s="31" t="s">
        <v>141</v>
      </c>
      <c r="B50" s="32" t="s">
        <v>176</v>
      </c>
      <c r="C50" s="63"/>
      <c r="D50" s="63"/>
    </row>
    <row r="51" spans="1:4" ht="12" customHeight="1" thickBot="1">
      <c r="A51" s="39" t="s">
        <v>17</v>
      </c>
      <c r="B51" s="40" t="s">
        <v>415</v>
      </c>
      <c r="C51" s="26">
        <f>SUM(C52:C54)</f>
        <v>2876220</v>
      </c>
      <c r="D51" s="26">
        <f>SUM(D52:D54)</f>
        <v>3287489</v>
      </c>
    </row>
    <row r="52" spans="1:4" s="62" customFormat="1" ht="12" customHeight="1">
      <c r="A52" s="31" t="s">
        <v>101</v>
      </c>
      <c r="B52" s="38" t="s">
        <v>219</v>
      </c>
      <c r="C52" s="44">
        <v>2876220</v>
      </c>
      <c r="D52" s="44">
        <f>2876220+411269</f>
        <v>3287489</v>
      </c>
    </row>
    <row r="53" spans="1:4" ht="12" customHeight="1">
      <c r="A53" s="31" t="s">
        <v>102</v>
      </c>
      <c r="B53" s="32" t="s">
        <v>178</v>
      </c>
      <c r="C53" s="63"/>
      <c r="D53" s="63"/>
    </row>
    <row r="54" spans="1:4" ht="12" customHeight="1">
      <c r="A54" s="31" t="s">
        <v>103</v>
      </c>
      <c r="B54" s="32" t="s">
        <v>55</v>
      </c>
      <c r="C54" s="63"/>
      <c r="D54" s="63"/>
    </row>
    <row r="55" spans="1:4" ht="12" customHeight="1" thickBot="1">
      <c r="A55" s="31" t="s">
        <v>104</v>
      </c>
      <c r="B55" s="32" t="s">
        <v>518</v>
      </c>
      <c r="C55" s="63"/>
      <c r="D55" s="63"/>
    </row>
    <row r="56" spans="1:4" ht="15" customHeight="1" thickBot="1">
      <c r="A56" s="39" t="s">
        <v>18</v>
      </c>
      <c r="B56" s="40" t="s">
        <v>12</v>
      </c>
      <c r="C56" s="41"/>
      <c r="D56" s="41"/>
    </row>
    <row r="57" spans="1:4" ht="13.5" thickBot="1">
      <c r="A57" s="39" t="s">
        <v>19</v>
      </c>
      <c r="B57" s="64" t="s">
        <v>523</v>
      </c>
      <c r="C57" s="65">
        <f>+C45+C51+C56</f>
        <v>47791951</v>
      </c>
      <c r="D57" s="65">
        <f>+D45+D51+D56</f>
        <v>48827750</v>
      </c>
    </row>
    <row r="58" spans="1:4" ht="15" customHeight="1" thickBot="1">
      <c r="C58" s="67"/>
      <c r="D58" s="67"/>
    </row>
    <row r="59" spans="1:4" ht="14.25" customHeight="1" thickBot="1">
      <c r="A59" s="68" t="s">
        <v>513</v>
      </c>
      <c r="B59" s="69"/>
      <c r="C59" s="70">
        <v>3.25</v>
      </c>
      <c r="D59" s="70">
        <v>4</v>
      </c>
    </row>
    <row r="60" spans="1:4" ht="13.5" thickBot="1">
      <c r="A60" s="68" t="s">
        <v>196</v>
      </c>
      <c r="B60" s="69"/>
      <c r="C60" s="70"/>
      <c r="D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79.1640625" style="17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/>
      <c r="C1" s="2"/>
      <c r="D1" s="2"/>
    </row>
    <row r="2" spans="1:4" s="7" customFormat="1" ht="32.25" customHeight="1">
      <c r="A2" s="4" t="s">
        <v>194</v>
      </c>
      <c r="B2" s="5" t="s">
        <v>541</v>
      </c>
      <c r="C2" s="6" t="s">
        <v>57</v>
      </c>
      <c r="D2" s="6" t="s">
        <v>57</v>
      </c>
    </row>
    <row r="3" spans="1:4" s="7" customFormat="1" ht="24.75" thickBot="1">
      <c r="A3" s="8" t="s">
        <v>193</v>
      </c>
      <c r="B3" s="9" t="s">
        <v>417</v>
      </c>
      <c r="C3" s="10" t="s">
        <v>57</v>
      </c>
      <c r="D3" s="10" t="s">
        <v>57</v>
      </c>
    </row>
    <row r="4" spans="1:4" s="13" customFormat="1" ht="15.95" customHeight="1" thickBot="1">
      <c r="A4" s="11"/>
      <c r="B4" s="11"/>
      <c r="C4" s="12" t="s">
        <v>600</v>
      </c>
      <c r="D4" s="12" t="s">
        <v>600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0</v>
      </c>
      <c r="D8" s="26">
        <f>SUM(D9:D19)</f>
        <v>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/>
      <c r="D10" s="33"/>
    </row>
    <row r="11" spans="1:4" s="27" customFormat="1" ht="12" customHeight="1">
      <c r="A11" s="31" t="s">
        <v>97</v>
      </c>
      <c r="B11" s="32" t="s">
        <v>275</v>
      </c>
      <c r="C11" s="33"/>
      <c r="D11" s="33"/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/>
      <c r="D16" s="35"/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/>
      <c r="D19" s="37"/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0</v>
      </c>
      <c r="D20" s="26">
        <f>SUM(D21:D23)</f>
        <v>0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/>
      <c r="D23" s="33"/>
    </row>
    <row r="24" spans="1:4" s="36" customFormat="1" ht="12" customHeight="1" thickBot="1">
      <c r="A24" s="31" t="s">
        <v>104</v>
      </c>
      <c r="B24" s="32" t="s">
        <v>519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/>
    </row>
    <row r="26" spans="1:4" s="36" customFormat="1" ht="12" customHeight="1" thickBot="1">
      <c r="A26" s="39" t="s">
        <v>19</v>
      </c>
      <c r="B26" s="40" t="s">
        <v>403</v>
      </c>
      <c r="C26" s="26">
        <f>+C27+C28</f>
        <v>0</v>
      </c>
      <c r="D26" s="26">
        <f>+D27+D28</f>
        <v>0</v>
      </c>
    </row>
    <row r="27" spans="1:4" s="36" customFormat="1" ht="12" customHeight="1">
      <c r="A27" s="42" t="s">
        <v>260</v>
      </c>
      <c r="B27" s="43" t="s">
        <v>401</v>
      </c>
      <c r="C27" s="44"/>
      <c r="D27" s="44"/>
    </row>
    <row r="28" spans="1:4" s="36" customFormat="1" ht="12" customHeight="1">
      <c r="A28" s="42" t="s">
        <v>263</v>
      </c>
      <c r="B28" s="45" t="s">
        <v>404</v>
      </c>
      <c r="C28" s="46"/>
      <c r="D28" s="46"/>
    </row>
    <row r="29" spans="1:4" s="36" customFormat="1" ht="12" customHeight="1" thickBot="1">
      <c r="A29" s="31" t="s">
        <v>264</v>
      </c>
      <c r="B29" s="47" t="s">
        <v>520</v>
      </c>
      <c r="C29" s="48"/>
      <c r="D29" s="48"/>
    </row>
    <row r="30" spans="1:4" s="36" customFormat="1" ht="12" customHeight="1" thickBot="1">
      <c r="A30" s="39" t="s">
        <v>20</v>
      </c>
      <c r="B30" s="40" t="s">
        <v>405</v>
      </c>
      <c r="C30" s="26">
        <f>+C31+C32+C33</f>
        <v>0</v>
      </c>
      <c r="D30" s="26">
        <f>+D31+D32+D33</f>
        <v>0</v>
      </c>
    </row>
    <row r="31" spans="1:4" s="36" customFormat="1" ht="12" customHeight="1">
      <c r="A31" s="42" t="s">
        <v>88</v>
      </c>
      <c r="B31" s="43" t="s">
        <v>287</v>
      </c>
      <c r="C31" s="44"/>
      <c r="D31" s="44"/>
    </row>
    <row r="32" spans="1:4" s="36" customFormat="1" ht="12" customHeight="1">
      <c r="A32" s="42" t="s">
        <v>89</v>
      </c>
      <c r="B32" s="45" t="s">
        <v>288</v>
      </c>
      <c r="C32" s="46"/>
      <c r="D32" s="46"/>
    </row>
    <row r="33" spans="1:4" s="36" customFormat="1" ht="12" customHeight="1" thickBot="1">
      <c r="A33" s="31" t="s">
        <v>90</v>
      </c>
      <c r="B33" s="47" t="s">
        <v>289</v>
      </c>
      <c r="C33" s="48"/>
      <c r="D33" s="48"/>
    </row>
    <row r="34" spans="1:4" s="27" customFormat="1" ht="12" customHeight="1" thickBot="1">
      <c r="A34" s="39" t="s">
        <v>21</v>
      </c>
      <c r="B34" s="40" t="s">
        <v>374</v>
      </c>
      <c r="C34" s="41"/>
      <c r="D34" s="41"/>
    </row>
    <row r="35" spans="1:4" s="27" customFormat="1" ht="12" customHeight="1" thickBot="1">
      <c r="A35" s="39" t="s">
        <v>22</v>
      </c>
      <c r="B35" s="40" t="s">
        <v>406</v>
      </c>
      <c r="C35" s="49"/>
      <c r="D35" s="49"/>
    </row>
    <row r="36" spans="1:4" s="27" customFormat="1" ht="12" customHeight="1" thickBot="1">
      <c r="A36" s="18" t="s">
        <v>23</v>
      </c>
      <c r="B36" s="40" t="s">
        <v>521</v>
      </c>
      <c r="C36" s="50">
        <f>+C8+C20+C25+C26+C30+C34+C35</f>
        <v>0</v>
      </c>
      <c r="D36" s="50">
        <f>+D8+D20+D25+D26+D30+D34+D35</f>
        <v>0</v>
      </c>
    </row>
    <row r="37" spans="1:4" s="27" customFormat="1" ht="12" customHeight="1" thickBot="1">
      <c r="A37" s="51" t="s">
        <v>24</v>
      </c>
      <c r="B37" s="40" t="s">
        <v>408</v>
      </c>
      <c r="C37" s="50">
        <f>+C38+C39+C40</f>
        <v>0</v>
      </c>
      <c r="D37" s="50">
        <f>+D38+D39+D40</f>
        <v>0</v>
      </c>
    </row>
    <row r="38" spans="1:4" s="27" customFormat="1" ht="12" customHeight="1">
      <c r="A38" s="42" t="s">
        <v>409</v>
      </c>
      <c r="B38" s="43" t="s">
        <v>229</v>
      </c>
      <c r="C38" s="44"/>
      <c r="D38" s="44"/>
    </row>
    <row r="39" spans="1:4" s="27" customFormat="1" ht="12" customHeight="1">
      <c r="A39" s="42" t="s">
        <v>410</v>
      </c>
      <c r="B39" s="45" t="s">
        <v>2</v>
      </c>
      <c r="C39" s="46"/>
      <c r="D39" s="46"/>
    </row>
    <row r="40" spans="1:4" s="36" customFormat="1" ht="12" customHeight="1" thickBot="1">
      <c r="A40" s="31" t="s">
        <v>411</v>
      </c>
      <c r="B40" s="47" t="s">
        <v>412</v>
      </c>
      <c r="C40" s="48"/>
      <c r="D40" s="48"/>
    </row>
    <row r="41" spans="1:4" s="36" customFormat="1" ht="15" customHeight="1" thickBot="1">
      <c r="A41" s="51" t="s">
        <v>25</v>
      </c>
      <c r="B41" s="52" t="s">
        <v>413</v>
      </c>
      <c r="C41" s="53">
        <f>+C36+C37</f>
        <v>0</v>
      </c>
      <c r="D41" s="53">
        <f>+D36+D37</f>
        <v>0</v>
      </c>
    </row>
    <row r="42" spans="1:4" s="36" customFormat="1" ht="15" customHeight="1">
      <c r="A42" s="54"/>
      <c r="B42" s="55"/>
      <c r="C42" s="56"/>
      <c r="D42" s="56"/>
    </row>
    <row r="43" spans="1:4" ht="13.5" thickBot="1">
      <c r="A43" s="57"/>
      <c r="B43" s="58"/>
      <c r="C43" s="59"/>
      <c r="D43" s="59"/>
    </row>
    <row r="44" spans="1:4" s="21" customFormat="1" ht="16.5" customHeight="1" thickBot="1">
      <c r="A44" s="60"/>
      <c r="B44" s="61" t="s">
        <v>54</v>
      </c>
      <c r="C44" s="53"/>
      <c r="D44" s="53"/>
    </row>
    <row r="45" spans="1:4" s="62" customFormat="1" ht="12" customHeight="1" thickBot="1">
      <c r="A45" s="39" t="s">
        <v>16</v>
      </c>
      <c r="B45" s="40" t="s">
        <v>414</v>
      </c>
      <c r="C45" s="26">
        <f>SUM(C46:C50)</f>
        <v>0</v>
      </c>
      <c r="D45" s="26">
        <f>SUM(D46:D50)</f>
        <v>0</v>
      </c>
    </row>
    <row r="46" spans="1:4" ht="12" customHeight="1">
      <c r="A46" s="31" t="s">
        <v>95</v>
      </c>
      <c r="B46" s="38" t="s">
        <v>46</v>
      </c>
      <c r="C46" s="44"/>
      <c r="D46" s="44"/>
    </row>
    <row r="47" spans="1:4" ht="12" customHeight="1">
      <c r="A47" s="31" t="s">
        <v>96</v>
      </c>
      <c r="B47" s="32" t="s">
        <v>174</v>
      </c>
      <c r="C47" s="63"/>
      <c r="D47" s="63"/>
    </row>
    <row r="48" spans="1:4" ht="12" customHeight="1">
      <c r="A48" s="31" t="s">
        <v>97</v>
      </c>
      <c r="B48" s="32" t="s">
        <v>133</v>
      </c>
      <c r="C48" s="63"/>
      <c r="D48" s="63"/>
    </row>
    <row r="49" spans="1:4" ht="12" customHeight="1">
      <c r="A49" s="31" t="s">
        <v>98</v>
      </c>
      <c r="B49" s="32" t="s">
        <v>175</v>
      </c>
      <c r="C49" s="63"/>
      <c r="D49" s="63"/>
    </row>
    <row r="50" spans="1:4" ht="12" customHeight="1" thickBot="1">
      <c r="A50" s="31" t="s">
        <v>141</v>
      </c>
      <c r="B50" s="32" t="s">
        <v>176</v>
      </c>
      <c r="C50" s="63"/>
      <c r="D50" s="63"/>
    </row>
    <row r="51" spans="1:4" ht="12" customHeight="1" thickBot="1">
      <c r="A51" s="39" t="s">
        <v>17</v>
      </c>
      <c r="B51" s="40" t="s">
        <v>415</v>
      </c>
      <c r="C51" s="26">
        <f>SUM(C52:C54)</f>
        <v>0</v>
      </c>
      <c r="D51" s="26">
        <f>SUM(D52:D54)</f>
        <v>0</v>
      </c>
    </row>
    <row r="52" spans="1:4" s="62" customFormat="1" ht="12" customHeight="1">
      <c r="A52" s="31" t="s">
        <v>101</v>
      </c>
      <c r="B52" s="38" t="s">
        <v>219</v>
      </c>
      <c r="C52" s="44"/>
      <c r="D52" s="44"/>
    </row>
    <row r="53" spans="1:4" ht="12" customHeight="1">
      <c r="A53" s="31" t="s">
        <v>102</v>
      </c>
      <c r="B53" s="32" t="s">
        <v>178</v>
      </c>
      <c r="C53" s="63"/>
      <c r="D53" s="63"/>
    </row>
    <row r="54" spans="1:4" ht="12" customHeight="1">
      <c r="A54" s="31" t="s">
        <v>103</v>
      </c>
      <c r="B54" s="32" t="s">
        <v>55</v>
      </c>
      <c r="C54" s="63"/>
      <c r="D54" s="63"/>
    </row>
    <row r="55" spans="1:4" ht="12" customHeight="1" thickBot="1">
      <c r="A55" s="31" t="s">
        <v>104</v>
      </c>
      <c r="B55" s="32" t="s">
        <v>518</v>
      </c>
      <c r="C55" s="63"/>
      <c r="D55" s="63"/>
    </row>
    <row r="56" spans="1:4" ht="15" customHeight="1" thickBot="1">
      <c r="A56" s="39" t="s">
        <v>18</v>
      </c>
      <c r="B56" s="40" t="s">
        <v>12</v>
      </c>
      <c r="C56" s="41"/>
      <c r="D56" s="41"/>
    </row>
    <row r="57" spans="1:4" ht="13.5" thickBot="1">
      <c r="A57" s="39" t="s">
        <v>19</v>
      </c>
      <c r="B57" s="64" t="s">
        <v>523</v>
      </c>
      <c r="C57" s="65">
        <f>+C45+C51+C56</f>
        <v>0</v>
      </c>
      <c r="D57" s="65">
        <f>+D45+D51+D56</f>
        <v>0</v>
      </c>
    </row>
    <row r="58" spans="1:4" ht="15" customHeight="1" thickBot="1">
      <c r="C58" s="67"/>
      <c r="D58" s="67"/>
    </row>
    <row r="59" spans="1:4" ht="14.25" customHeight="1" thickBot="1">
      <c r="A59" s="68" t="s">
        <v>513</v>
      </c>
      <c r="B59" s="69"/>
      <c r="C59" s="70"/>
      <c r="D59" s="70"/>
    </row>
    <row r="60" spans="1:4" ht="13.5" thickBot="1">
      <c r="A60" s="68" t="s">
        <v>196</v>
      </c>
      <c r="B60" s="69"/>
      <c r="C60" s="70"/>
      <c r="D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zoomScaleNormal="100" workbookViewId="0">
      <selection activeCell="B1" sqref="B1"/>
    </sheetView>
  </sheetViews>
  <sheetFormatPr defaultRowHeight="12.75"/>
  <cols>
    <col min="1" max="1" width="13.83203125" style="66" customWidth="1"/>
    <col min="2" max="2" width="79.1640625" style="17" customWidth="1"/>
    <col min="3" max="4" width="25" style="17" customWidth="1"/>
    <col min="5" max="16384" width="9.33203125" style="17"/>
  </cols>
  <sheetData>
    <row r="1" spans="1:4" s="3" customFormat="1" ht="21" customHeight="1" thickBot="1">
      <c r="A1" s="1"/>
      <c r="B1" s="2"/>
      <c r="C1" s="2"/>
      <c r="D1" s="2"/>
    </row>
    <row r="2" spans="1:4" s="7" customFormat="1" ht="33" customHeight="1">
      <c r="A2" s="4" t="s">
        <v>194</v>
      </c>
      <c r="B2" s="5" t="s">
        <v>541</v>
      </c>
      <c r="C2" s="6" t="s">
        <v>57</v>
      </c>
      <c r="D2" s="6" t="s">
        <v>57</v>
      </c>
    </row>
    <row r="3" spans="1:4" s="7" customFormat="1" ht="24.75" thickBot="1">
      <c r="A3" s="8" t="s">
        <v>193</v>
      </c>
      <c r="B3" s="9" t="s">
        <v>524</v>
      </c>
      <c r="C3" s="10" t="s">
        <v>428</v>
      </c>
      <c r="D3" s="10" t="s">
        <v>428</v>
      </c>
    </row>
    <row r="4" spans="1:4" s="13" customFormat="1" ht="15.95" customHeight="1" thickBot="1">
      <c r="A4" s="11"/>
      <c r="B4" s="11"/>
      <c r="C4" s="12" t="s">
        <v>600</v>
      </c>
      <c r="D4" s="12" t="s">
        <v>600</v>
      </c>
    </row>
    <row r="5" spans="1:4" ht="24.75" thickBot="1">
      <c r="A5" s="14" t="s">
        <v>195</v>
      </c>
      <c r="B5" s="15" t="s">
        <v>52</v>
      </c>
      <c r="C5" s="16" t="s">
        <v>688</v>
      </c>
      <c r="D5" s="16" t="s">
        <v>744</v>
      </c>
    </row>
    <row r="6" spans="1:4" s="21" customFormat="1" ht="12.95" customHeight="1" thickBot="1">
      <c r="A6" s="18" t="s">
        <v>486</v>
      </c>
      <c r="B6" s="19" t="s">
        <v>487</v>
      </c>
      <c r="C6" s="20" t="s">
        <v>488</v>
      </c>
      <c r="D6" s="20" t="s">
        <v>488</v>
      </c>
    </row>
    <row r="7" spans="1:4" s="21" customFormat="1" ht="15.95" customHeight="1" thickBot="1">
      <c r="A7" s="22"/>
      <c r="B7" s="23" t="s">
        <v>53</v>
      </c>
      <c r="C7" s="24"/>
      <c r="D7" s="24"/>
    </row>
    <row r="8" spans="1:4" s="27" customFormat="1" ht="12" customHeight="1" thickBot="1">
      <c r="A8" s="18" t="s">
        <v>16</v>
      </c>
      <c r="B8" s="25" t="s">
        <v>514</v>
      </c>
      <c r="C8" s="26">
        <f>SUM(C9:C19)</f>
        <v>0</v>
      </c>
      <c r="D8" s="26">
        <f>SUM(D9:D19)</f>
        <v>0</v>
      </c>
    </row>
    <row r="9" spans="1:4" s="27" customFormat="1" ht="12" customHeight="1">
      <c r="A9" s="28" t="s">
        <v>95</v>
      </c>
      <c r="B9" s="29" t="s">
        <v>273</v>
      </c>
      <c r="C9" s="30"/>
      <c r="D9" s="30"/>
    </row>
    <row r="10" spans="1:4" s="27" customFormat="1" ht="12" customHeight="1">
      <c r="A10" s="31" t="s">
        <v>96</v>
      </c>
      <c r="B10" s="32" t="s">
        <v>274</v>
      </c>
      <c r="C10" s="33"/>
      <c r="D10" s="33"/>
    </row>
    <row r="11" spans="1:4" s="27" customFormat="1" ht="12" customHeight="1">
      <c r="A11" s="31" t="s">
        <v>97</v>
      </c>
      <c r="B11" s="32" t="s">
        <v>275</v>
      </c>
      <c r="C11" s="33"/>
      <c r="D11" s="33"/>
    </row>
    <row r="12" spans="1:4" s="27" customFormat="1" ht="12" customHeight="1">
      <c r="A12" s="31" t="s">
        <v>98</v>
      </c>
      <c r="B12" s="32" t="s">
        <v>276</v>
      </c>
      <c r="C12" s="33"/>
      <c r="D12" s="33"/>
    </row>
    <row r="13" spans="1:4" s="27" customFormat="1" ht="12" customHeight="1">
      <c r="A13" s="31" t="s">
        <v>141</v>
      </c>
      <c r="B13" s="32" t="s">
        <v>277</v>
      </c>
      <c r="C13" s="33"/>
      <c r="D13" s="33"/>
    </row>
    <row r="14" spans="1:4" s="27" customFormat="1" ht="12" customHeight="1">
      <c r="A14" s="31" t="s">
        <v>99</v>
      </c>
      <c r="B14" s="32" t="s">
        <v>398</v>
      </c>
      <c r="C14" s="33"/>
      <c r="D14" s="33"/>
    </row>
    <row r="15" spans="1:4" s="27" customFormat="1" ht="12" customHeight="1">
      <c r="A15" s="31" t="s">
        <v>100</v>
      </c>
      <c r="B15" s="34" t="s">
        <v>399</v>
      </c>
      <c r="C15" s="33"/>
      <c r="D15" s="33"/>
    </row>
    <row r="16" spans="1:4" s="27" customFormat="1" ht="12" customHeight="1">
      <c r="A16" s="31" t="s">
        <v>110</v>
      </c>
      <c r="B16" s="32" t="s">
        <v>280</v>
      </c>
      <c r="C16" s="35"/>
      <c r="D16" s="35"/>
    </row>
    <row r="17" spans="1:4" s="36" customFormat="1" ht="12" customHeight="1">
      <c r="A17" s="31" t="s">
        <v>111</v>
      </c>
      <c r="B17" s="32" t="s">
        <v>281</v>
      </c>
      <c r="C17" s="33"/>
      <c r="D17" s="33"/>
    </row>
    <row r="18" spans="1:4" s="36" customFormat="1" ht="12" customHeight="1">
      <c r="A18" s="31" t="s">
        <v>112</v>
      </c>
      <c r="B18" s="32" t="s">
        <v>433</v>
      </c>
      <c r="C18" s="37"/>
      <c r="D18" s="37"/>
    </row>
    <row r="19" spans="1:4" s="36" customFormat="1" ht="12" customHeight="1" thickBot="1">
      <c r="A19" s="31" t="s">
        <v>113</v>
      </c>
      <c r="B19" s="34" t="s">
        <v>282</v>
      </c>
      <c r="C19" s="37"/>
      <c r="D19" s="37"/>
    </row>
    <row r="20" spans="1:4" s="27" customFormat="1" ht="12" customHeight="1" thickBot="1">
      <c r="A20" s="18" t="s">
        <v>17</v>
      </c>
      <c r="B20" s="25" t="s">
        <v>400</v>
      </c>
      <c r="C20" s="26">
        <f>SUM(C21:C23)</f>
        <v>0</v>
      </c>
      <c r="D20" s="26">
        <f>SUM(D21:D23)</f>
        <v>0</v>
      </c>
    </row>
    <row r="21" spans="1:4" s="36" customFormat="1" ht="12" customHeight="1">
      <c r="A21" s="31" t="s">
        <v>101</v>
      </c>
      <c r="B21" s="38" t="s">
        <v>250</v>
      </c>
      <c r="C21" s="33"/>
      <c r="D21" s="33"/>
    </row>
    <row r="22" spans="1:4" s="36" customFormat="1" ht="12" customHeight="1">
      <c r="A22" s="31" t="s">
        <v>102</v>
      </c>
      <c r="B22" s="32" t="s">
        <v>401</v>
      </c>
      <c r="C22" s="33"/>
      <c r="D22" s="33"/>
    </row>
    <row r="23" spans="1:4" s="36" customFormat="1" ht="12" customHeight="1">
      <c r="A23" s="31" t="s">
        <v>103</v>
      </c>
      <c r="B23" s="32" t="s">
        <v>402</v>
      </c>
      <c r="C23" s="33"/>
      <c r="D23" s="33"/>
    </row>
    <row r="24" spans="1:4" s="36" customFormat="1" ht="12" customHeight="1" thickBot="1">
      <c r="A24" s="31" t="s">
        <v>104</v>
      </c>
      <c r="B24" s="32" t="s">
        <v>519</v>
      </c>
      <c r="C24" s="33"/>
      <c r="D24" s="33"/>
    </row>
    <row r="25" spans="1:4" s="36" customFormat="1" ht="12" customHeight="1" thickBot="1">
      <c r="A25" s="39" t="s">
        <v>18</v>
      </c>
      <c r="B25" s="40" t="s">
        <v>165</v>
      </c>
      <c r="C25" s="41"/>
      <c r="D25" s="41"/>
    </row>
    <row r="26" spans="1:4" s="36" customFormat="1" ht="12" customHeight="1" thickBot="1">
      <c r="A26" s="39" t="s">
        <v>19</v>
      </c>
      <c r="B26" s="40" t="s">
        <v>403</v>
      </c>
      <c r="C26" s="26">
        <f>+C27+C28</f>
        <v>0</v>
      </c>
      <c r="D26" s="26">
        <f>+D27+D28</f>
        <v>0</v>
      </c>
    </row>
    <row r="27" spans="1:4" s="36" customFormat="1" ht="12" customHeight="1">
      <c r="A27" s="42" t="s">
        <v>260</v>
      </c>
      <c r="B27" s="43" t="s">
        <v>401</v>
      </c>
      <c r="C27" s="44"/>
      <c r="D27" s="44"/>
    </row>
    <row r="28" spans="1:4" s="36" customFormat="1" ht="12" customHeight="1">
      <c r="A28" s="42" t="s">
        <v>263</v>
      </c>
      <c r="B28" s="45" t="s">
        <v>404</v>
      </c>
      <c r="C28" s="46"/>
      <c r="D28" s="46"/>
    </row>
    <row r="29" spans="1:4" s="36" customFormat="1" ht="12" customHeight="1" thickBot="1">
      <c r="A29" s="31" t="s">
        <v>264</v>
      </c>
      <c r="B29" s="47" t="s">
        <v>520</v>
      </c>
      <c r="C29" s="48"/>
      <c r="D29" s="48"/>
    </row>
    <row r="30" spans="1:4" s="36" customFormat="1" ht="12" customHeight="1" thickBot="1">
      <c r="A30" s="39" t="s">
        <v>20</v>
      </c>
      <c r="B30" s="40" t="s">
        <v>405</v>
      </c>
      <c r="C30" s="26">
        <f>+C31+C32+C33</f>
        <v>0</v>
      </c>
      <c r="D30" s="26">
        <f>+D31+D32+D33</f>
        <v>0</v>
      </c>
    </row>
    <row r="31" spans="1:4" s="36" customFormat="1" ht="12" customHeight="1">
      <c r="A31" s="42" t="s">
        <v>88</v>
      </c>
      <c r="B31" s="43" t="s">
        <v>287</v>
      </c>
      <c r="C31" s="44"/>
      <c r="D31" s="44"/>
    </row>
    <row r="32" spans="1:4" s="36" customFormat="1" ht="12" customHeight="1">
      <c r="A32" s="42" t="s">
        <v>89</v>
      </c>
      <c r="B32" s="45" t="s">
        <v>288</v>
      </c>
      <c r="C32" s="46"/>
      <c r="D32" s="46"/>
    </row>
    <row r="33" spans="1:4" s="36" customFormat="1" ht="12" customHeight="1" thickBot="1">
      <c r="A33" s="31" t="s">
        <v>90</v>
      </c>
      <c r="B33" s="47" t="s">
        <v>289</v>
      </c>
      <c r="C33" s="48"/>
      <c r="D33" s="48"/>
    </row>
    <row r="34" spans="1:4" s="27" customFormat="1" ht="12" customHeight="1" thickBot="1">
      <c r="A34" s="39" t="s">
        <v>21</v>
      </c>
      <c r="B34" s="40" t="s">
        <v>374</v>
      </c>
      <c r="C34" s="41"/>
      <c r="D34" s="41"/>
    </row>
    <row r="35" spans="1:4" s="27" customFormat="1" ht="12" customHeight="1" thickBot="1">
      <c r="A35" s="39" t="s">
        <v>22</v>
      </c>
      <c r="B35" s="40" t="s">
        <v>406</v>
      </c>
      <c r="C35" s="49"/>
      <c r="D35" s="49"/>
    </row>
    <row r="36" spans="1:4" s="27" customFormat="1" ht="12" customHeight="1" thickBot="1">
      <c r="A36" s="18" t="s">
        <v>23</v>
      </c>
      <c r="B36" s="40" t="s">
        <v>521</v>
      </c>
      <c r="C36" s="50">
        <f>+C8+C20+C25+C26+C30+C34+C35</f>
        <v>0</v>
      </c>
      <c r="D36" s="50">
        <f>+D8+D20+D25+D26+D30+D34+D35</f>
        <v>0</v>
      </c>
    </row>
    <row r="37" spans="1:4" s="27" customFormat="1" ht="12" customHeight="1" thickBot="1">
      <c r="A37" s="51" t="s">
        <v>24</v>
      </c>
      <c r="B37" s="40" t="s">
        <v>408</v>
      </c>
      <c r="C37" s="50">
        <f>+C38+C39+C40</f>
        <v>0</v>
      </c>
      <c r="D37" s="50">
        <f>+D38+D39+D40</f>
        <v>0</v>
      </c>
    </row>
    <row r="38" spans="1:4" s="27" customFormat="1" ht="12" customHeight="1">
      <c r="A38" s="42" t="s">
        <v>409</v>
      </c>
      <c r="B38" s="43" t="s">
        <v>229</v>
      </c>
      <c r="C38" s="44"/>
      <c r="D38" s="44"/>
    </row>
    <row r="39" spans="1:4" s="27" customFormat="1" ht="12" customHeight="1">
      <c r="A39" s="42" t="s">
        <v>410</v>
      </c>
      <c r="B39" s="45" t="s">
        <v>2</v>
      </c>
      <c r="C39" s="46"/>
      <c r="D39" s="46"/>
    </row>
    <row r="40" spans="1:4" s="36" customFormat="1" ht="12" customHeight="1" thickBot="1">
      <c r="A40" s="31" t="s">
        <v>411</v>
      </c>
      <c r="B40" s="47" t="s">
        <v>412</v>
      </c>
      <c r="C40" s="48"/>
      <c r="D40" s="48"/>
    </row>
    <row r="41" spans="1:4" s="36" customFormat="1" ht="15" customHeight="1" thickBot="1">
      <c r="A41" s="51" t="s">
        <v>25</v>
      </c>
      <c r="B41" s="52" t="s">
        <v>413</v>
      </c>
      <c r="C41" s="53">
        <f>+C36+C37</f>
        <v>0</v>
      </c>
      <c r="D41" s="53">
        <f>+D36+D37</f>
        <v>0</v>
      </c>
    </row>
    <row r="42" spans="1:4" s="36" customFormat="1" ht="15" customHeight="1">
      <c r="A42" s="54"/>
      <c r="B42" s="55"/>
      <c r="C42" s="56"/>
      <c r="D42" s="56"/>
    </row>
    <row r="43" spans="1:4" ht="13.5" thickBot="1">
      <c r="A43" s="57"/>
      <c r="B43" s="58"/>
      <c r="C43" s="59"/>
      <c r="D43" s="59"/>
    </row>
    <row r="44" spans="1:4" s="21" customFormat="1" ht="16.5" customHeight="1" thickBot="1">
      <c r="A44" s="60"/>
      <c r="B44" s="61" t="s">
        <v>54</v>
      </c>
      <c r="C44" s="53"/>
      <c r="D44" s="53"/>
    </row>
    <row r="45" spans="1:4" s="62" customFormat="1" ht="12" customHeight="1" thickBot="1">
      <c r="A45" s="39" t="s">
        <v>16</v>
      </c>
      <c r="B45" s="40" t="s">
        <v>414</v>
      </c>
      <c r="C45" s="26">
        <f>SUM(C46:C50)</f>
        <v>0</v>
      </c>
      <c r="D45" s="26">
        <f>SUM(D46:D50)</f>
        <v>0</v>
      </c>
    </row>
    <row r="46" spans="1:4" ht="12" customHeight="1">
      <c r="A46" s="31" t="s">
        <v>95</v>
      </c>
      <c r="B46" s="38" t="s">
        <v>46</v>
      </c>
      <c r="C46" s="44"/>
      <c r="D46" s="44"/>
    </row>
    <row r="47" spans="1:4" ht="12" customHeight="1">
      <c r="A47" s="31" t="s">
        <v>96</v>
      </c>
      <c r="B47" s="32" t="s">
        <v>174</v>
      </c>
      <c r="C47" s="63"/>
      <c r="D47" s="63"/>
    </row>
    <row r="48" spans="1:4" ht="12" customHeight="1">
      <c r="A48" s="31" t="s">
        <v>97</v>
      </c>
      <c r="B48" s="32" t="s">
        <v>133</v>
      </c>
      <c r="C48" s="63"/>
      <c r="D48" s="63"/>
    </row>
    <row r="49" spans="1:4" ht="12" customHeight="1">
      <c r="A49" s="31" t="s">
        <v>98</v>
      </c>
      <c r="B49" s="32" t="s">
        <v>175</v>
      </c>
      <c r="C49" s="63"/>
      <c r="D49" s="63"/>
    </row>
    <row r="50" spans="1:4" ht="12" customHeight="1" thickBot="1">
      <c r="A50" s="31" t="s">
        <v>141</v>
      </c>
      <c r="B50" s="32" t="s">
        <v>176</v>
      </c>
      <c r="C50" s="63"/>
      <c r="D50" s="63"/>
    </row>
    <row r="51" spans="1:4" ht="12" customHeight="1" thickBot="1">
      <c r="A51" s="39" t="s">
        <v>17</v>
      </c>
      <c r="B51" s="40" t="s">
        <v>415</v>
      </c>
      <c r="C51" s="26">
        <f>SUM(C52:C54)</f>
        <v>0</v>
      </c>
      <c r="D51" s="26">
        <f>SUM(D52:D54)</f>
        <v>0</v>
      </c>
    </row>
    <row r="52" spans="1:4" s="62" customFormat="1" ht="12" customHeight="1">
      <c r="A52" s="31" t="s">
        <v>101</v>
      </c>
      <c r="B52" s="38" t="s">
        <v>219</v>
      </c>
      <c r="C52" s="44"/>
      <c r="D52" s="44"/>
    </row>
    <row r="53" spans="1:4" ht="12" customHeight="1">
      <c r="A53" s="31" t="s">
        <v>102</v>
      </c>
      <c r="B53" s="32" t="s">
        <v>178</v>
      </c>
      <c r="C53" s="63"/>
      <c r="D53" s="63"/>
    </row>
    <row r="54" spans="1:4" ht="12" customHeight="1">
      <c r="A54" s="31" t="s">
        <v>103</v>
      </c>
      <c r="B54" s="32" t="s">
        <v>55</v>
      </c>
      <c r="C54" s="63"/>
      <c r="D54" s="63"/>
    </row>
    <row r="55" spans="1:4" ht="12" customHeight="1" thickBot="1">
      <c r="A55" s="31" t="s">
        <v>104</v>
      </c>
      <c r="B55" s="32" t="s">
        <v>518</v>
      </c>
      <c r="C55" s="63"/>
      <c r="D55" s="63"/>
    </row>
    <row r="56" spans="1:4" ht="15" customHeight="1" thickBot="1">
      <c r="A56" s="39" t="s">
        <v>18</v>
      </c>
      <c r="B56" s="40" t="s">
        <v>12</v>
      </c>
      <c r="C56" s="41"/>
      <c r="D56" s="41"/>
    </row>
    <row r="57" spans="1:4" ht="13.5" thickBot="1">
      <c r="A57" s="39" t="s">
        <v>19</v>
      </c>
      <c r="B57" s="64" t="s">
        <v>523</v>
      </c>
      <c r="C57" s="65">
        <f>+C45+C51+C56</f>
        <v>0</v>
      </c>
      <c r="D57" s="65">
        <f>+D45+D51+D56</f>
        <v>0</v>
      </c>
    </row>
    <row r="58" spans="1:4" ht="15" customHeight="1" thickBot="1">
      <c r="C58" s="67"/>
      <c r="D58" s="67"/>
    </row>
    <row r="59" spans="1:4" ht="14.25" customHeight="1" thickBot="1">
      <c r="A59" s="68" t="s">
        <v>513</v>
      </c>
      <c r="B59" s="69"/>
      <c r="C59" s="70"/>
      <c r="D59" s="70"/>
    </row>
    <row r="60" spans="1:4" ht="13.5" thickBot="1">
      <c r="A60" s="68" t="s">
        <v>196</v>
      </c>
      <c r="B60" s="69"/>
      <c r="C60" s="70"/>
      <c r="D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7">
    <tabColor rgb="FFFFFF00"/>
  </sheetPr>
  <dimension ref="A1:G26"/>
  <sheetViews>
    <sheetView view="pageLayout" zoomScaleNormal="100" workbookViewId="0">
      <selection activeCell="H6" sqref="H6"/>
    </sheetView>
  </sheetViews>
  <sheetFormatPr defaultRowHeight="12.75"/>
  <cols>
    <col min="1" max="1" width="5.5" style="297" customWidth="1"/>
    <col min="2" max="2" width="33.1640625" style="297" customWidth="1"/>
    <col min="3" max="3" width="12.33203125" style="297" customWidth="1"/>
    <col min="4" max="4" width="11.5" style="297" customWidth="1"/>
    <col min="5" max="5" width="11.33203125" style="297" customWidth="1"/>
    <col min="6" max="6" width="11" style="297" customWidth="1"/>
    <col min="7" max="7" width="14.33203125" style="297" customWidth="1"/>
    <col min="8" max="16384" width="9.33203125" style="297"/>
  </cols>
  <sheetData>
    <row r="1" spans="1:7" ht="43.5" customHeight="1">
      <c r="A1" s="739" t="s">
        <v>3</v>
      </c>
      <c r="B1" s="739"/>
      <c r="C1" s="739"/>
      <c r="D1" s="739"/>
      <c r="E1" s="739"/>
      <c r="F1" s="739"/>
      <c r="G1" s="739"/>
    </row>
    <row r="3" spans="1:7" s="364" customFormat="1" ht="27" customHeight="1">
      <c r="A3" s="362" t="s">
        <v>200</v>
      </c>
      <c r="B3" s="363"/>
      <c r="C3" s="738" t="s">
        <v>539</v>
      </c>
      <c r="D3" s="738"/>
      <c r="E3" s="738"/>
      <c r="F3" s="738"/>
      <c r="G3" s="738"/>
    </row>
    <row r="4" spans="1:7" s="364" customFormat="1" ht="15.75">
      <c r="A4" s="363"/>
      <c r="B4" s="363"/>
      <c r="C4" s="363"/>
      <c r="D4" s="363"/>
      <c r="E4" s="363"/>
      <c r="F4" s="363"/>
      <c r="G4" s="363"/>
    </row>
    <row r="5" spans="1:7" s="364" customFormat="1" ht="24.75" customHeight="1">
      <c r="A5" s="362" t="s">
        <v>201</v>
      </c>
      <c r="B5" s="363"/>
      <c r="C5" s="738" t="s">
        <v>556</v>
      </c>
      <c r="D5" s="738"/>
      <c r="E5" s="738"/>
      <c r="F5" s="738"/>
      <c r="G5" s="363"/>
    </row>
    <row r="6" spans="1:7" s="365" customFormat="1">
      <c r="A6" s="296"/>
      <c r="B6" s="296"/>
      <c r="C6" s="296"/>
      <c r="D6" s="296"/>
      <c r="E6" s="296"/>
      <c r="F6" s="296"/>
      <c r="G6" s="296"/>
    </row>
    <row r="7" spans="1:7" s="369" customFormat="1" ht="15" customHeight="1">
      <c r="A7" s="366" t="s">
        <v>703</v>
      </c>
      <c r="B7" s="367"/>
      <c r="C7" s="367"/>
      <c r="D7" s="368"/>
      <c r="E7" s="368"/>
      <c r="F7" s="368"/>
      <c r="G7" s="368"/>
    </row>
    <row r="8" spans="1:7" s="369" customFormat="1" ht="15" customHeight="1" thickBot="1">
      <c r="A8" s="366" t="s">
        <v>202</v>
      </c>
      <c r="B8" s="368"/>
      <c r="C8" s="368"/>
      <c r="D8" s="368"/>
      <c r="E8" s="368"/>
      <c r="F8" s="368"/>
      <c r="G8" s="368"/>
    </row>
    <row r="9" spans="1:7" s="373" customFormat="1" ht="42" customHeight="1" thickBot="1">
      <c r="A9" s="370" t="s">
        <v>14</v>
      </c>
      <c r="B9" s="371" t="s">
        <v>203</v>
      </c>
      <c r="C9" s="371" t="s">
        <v>204</v>
      </c>
      <c r="D9" s="371" t="s">
        <v>205</v>
      </c>
      <c r="E9" s="371" t="s">
        <v>206</v>
      </c>
      <c r="F9" s="371" t="s">
        <v>207</v>
      </c>
      <c r="G9" s="372" t="s">
        <v>50</v>
      </c>
    </row>
    <row r="10" spans="1:7" ht="24" customHeight="1">
      <c r="A10" s="374" t="s">
        <v>16</v>
      </c>
      <c r="B10" s="375" t="s">
        <v>208</v>
      </c>
      <c r="C10" s="376"/>
      <c r="D10" s="376"/>
      <c r="E10" s="376"/>
      <c r="F10" s="376"/>
      <c r="G10" s="377">
        <f>SUM(C10:F10)</f>
        <v>0</v>
      </c>
    </row>
    <row r="11" spans="1:7" ht="24" customHeight="1">
      <c r="A11" s="378" t="s">
        <v>17</v>
      </c>
      <c r="B11" s="379" t="s">
        <v>209</v>
      </c>
      <c r="C11" s="380"/>
      <c r="D11" s="380"/>
      <c r="E11" s="380"/>
      <c r="F11" s="380"/>
      <c r="G11" s="381">
        <f t="shared" ref="G11:G16" si="0">SUM(C11:F11)</f>
        <v>0</v>
      </c>
    </row>
    <row r="12" spans="1:7" ht="24" customHeight="1">
      <c r="A12" s="378" t="s">
        <v>18</v>
      </c>
      <c r="B12" s="379" t="s">
        <v>210</v>
      </c>
      <c r="C12" s="380"/>
      <c r="D12" s="380"/>
      <c r="E12" s="380"/>
      <c r="F12" s="380"/>
      <c r="G12" s="381">
        <f t="shared" si="0"/>
        <v>0</v>
      </c>
    </row>
    <row r="13" spans="1:7" ht="24" customHeight="1">
      <c r="A13" s="378" t="s">
        <v>19</v>
      </c>
      <c r="B13" s="379" t="s">
        <v>211</v>
      </c>
      <c r="C13" s="380"/>
      <c r="D13" s="380"/>
      <c r="E13" s="380"/>
      <c r="F13" s="380"/>
      <c r="G13" s="381">
        <f t="shared" si="0"/>
        <v>0</v>
      </c>
    </row>
    <row r="14" spans="1:7" ht="24" customHeight="1">
      <c r="A14" s="378" t="s">
        <v>20</v>
      </c>
      <c r="B14" s="379" t="s">
        <v>212</v>
      </c>
      <c r="C14" s="380"/>
      <c r="D14" s="380"/>
      <c r="E14" s="380"/>
      <c r="F14" s="380"/>
      <c r="G14" s="381">
        <f t="shared" si="0"/>
        <v>0</v>
      </c>
    </row>
    <row r="15" spans="1:7" ht="24" customHeight="1" thickBot="1">
      <c r="A15" s="382" t="s">
        <v>21</v>
      </c>
      <c r="B15" s="383" t="s">
        <v>213</v>
      </c>
      <c r="C15" s="384"/>
      <c r="D15" s="384"/>
      <c r="E15" s="384"/>
      <c r="F15" s="384"/>
      <c r="G15" s="385">
        <f t="shared" si="0"/>
        <v>0</v>
      </c>
    </row>
    <row r="16" spans="1:7" s="390" customFormat="1" ht="24" customHeight="1" thickBot="1">
      <c r="A16" s="386" t="s">
        <v>22</v>
      </c>
      <c r="B16" s="387" t="s">
        <v>50</v>
      </c>
      <c r="C16" s="388">
        <f>SUM(C10:C15)</f>
        <v>0</v>
      </c>
      <c r="D16" s="388">
        <f>SUM(D10:D15)</f>
        <v>0</v>
      </c>
      <c r="E16" s="388">
        <f>SUM(E10:E15)</f>
        <v>0</v>
      </c>
      <c r="F16" s="388">
        <f>SUM(F10:F15)</f>
        <v>0</v>
      </c>
      <c r="G16" s="389">
        <f t="shared" si="0"/>
        <v>0</v>
      </c>
    </row>
    <row r="17" spans="1:7" s="365" customFormat="1">
      <c r="A17" s="296"/>
      <c r="B17" s="296"/>
      <c r="C17" s="296"/>
      <c r="D17" s="296"/>
      <c r="E17" s="296"/>
      <c r="F17" s="296"/>
      <c r="G17" s="296"/>
    </row>
    <row r="18" spans="1:7" s="365" customFormat="1">
      <c r="A18" s="296"/>
      <c r="B18" s="296"/>
      <c r="C18" s="296"/>
      <c r="D18" s="296"/>
      <c r="E18" s="296"/>
      <c r="F18" s="296"/>
      <c r="G18" s="296"/>
    </row>
    <row r="19" spans="1:7" s="365" customFormat="1">
      <c r="A19" s="296"/>
      <c r="B19" s="296"/>
      <c r="C19" s="296"/>
      <c r="D19" s="296"/>
      <c r="E19" s="296"/>
      <c r="F19" s="296"/>
      <c r="G19" s="296"/>
    </row>
    <row r="20" spans="1:7" s="365" customFormat="1" ht="15.75">
      <c r="A20" s="364" t="s">
        <v>704</v>
      </c>
      <c r="B20" s="296"/>
      <c r="C20" s="296"/>
      <c r="D20" s="296"/>
      <c r="E20" s="296"/>
      <c r="F20" s="296"/>
      <c r="G20" s="296"/>
    </row>
    <row r="21" spans="1:7" s="365" customFormat="1">
      <c r="A21" s="296"/>
      <c r="B21" s="296"/>
      <c r="C21" s="296"/>
      <c r="D21" s="296"/>
      <c r="E21" s="296"/>
      <c r="F21" s="296"/>
      <c r="G21" s="296"/>
    </row>
    <row r="22" spans="1:7">
      <c r="A22" s="296"/>
      <c r="B22" s="296"/>
      <c r="C22" s="296"/>
      <c r="D22" s="296"/>
      <c r="E22" s="296"/>
      <c r="F22" s="296"/>
      <c r="G22" s="296"/>
    </row>
    <row r="23" spans="1:7">
      <c r="A23" s="296"/>
      <c r="B23" s="296"/>
      <c r="C23" s="365"/>
      <c r="D23" s="365"/>
      <c r="E23" s="365"/>
      <c r="F23" s="365"/>
      <c r="G23" s="296"/>
    </row>
    <row r="24" spans="1:7" ht="13.5">
      <c r="A24" s="296"/>
      <c r="B24" s="296"/>
      <c r="C24" s="391"/>
      <c r="D24" s="392" t="s">
        <v>214</v>
      </c>
      <c r="E24" s="392"/>
      <c r="F24" s="391"/>
      <c r="G24" s="296"/>
    </row>
    <row r="25" spans="1:7" ht="13.5">
      <c r="C25" s="393"/>
      <c r="D25" s="394"/>
      <c r="E25" s="394"/>
      <c r="F25" s="393"/>
    </row>
    <row r="26" spans="1:7" ht="13.5">
      <c r="C26" s="393"/>
      <c r="D26" s="394"/>
      <c r="E26" s="394"/>
      <c r="F26" s="393"/>
    </row>
  </sheetData>
  <mergeCells count="3">
    <mergeCell ref="C3:G3"/>
    <mergeCell ref="C5:F5"/>
    <mergeCell ref="A1:G1"/>
  </mergeCells>
  <phoneticPr fontId="6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6" orientation="portrait" horizontalDpi="300" verticalDpi="300" r:id="rId1"/>
  <headerFooter alignWithMargins="0">
    <oddHeader>&amp;C&amp;"Times New Roman CE,Félkövér"&amp;12
&amp;R&amp;"Times New Roman CE,Félkövér dőlt"&amp;11 13. melléklet a 13/2018. (VI.25.)  önkormányzati rendelethez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8">
    <tabColor rgb="FFFFFF00"/>
  </sheetPr>
  <dimension ref="A1:G169"/>
  <sheetViews>
    <sheetView topLeftCell="A100" zoomScaleNormal="100" zoomScaleSheetLayoutView="100" workbookViewId="0">
      <selection activeCell="H114" sqref="H114"/>
    </sheetView>
  </sheetViews>
  <sheetFormatPr defaultRowHeight="12.75"/>
  <cols>
    <col min="1" max="1" width="8" style="688" bestFit="1" customWidth="1"/>
    <col min="2" max="2" width="71.6640625" style="688" bestFit="1" customWidth="1"/>
    <col min="3" max="3" width="14.33203125" style="689" customWidth="1"/>
    <col min="4" max="4" width="14.33203125" style="688" customWidth="1"/>
    <col min="5" max="7" width="18.83203125" style="688" customWidth="1"/>
    <col min="8" max="16384" width="9.33203125" style="688"/>
  </cols>
  <sheetData>
    <row r="1" spans="1:7" ht="15.95" customHeight="1">
      <c r="A1" s="740" t="s">
        <v>13</v>
      </c>
      <c r="B1" s="740"/>
      <c r="C1" s="740"/>
      <c r="D1" s="740"/>
    </row>
    <row r="2" spans="1:7" ht="15.95" customHeight="1" thickBot="1">
      <c r="A2" s="742" t="s">
        <v>144</v>
      </c>
      <c r="B2" s="742"/>
      <c r="D2" s="517"/>
      <c r="E2" s="72" t="s">
        <v>589</v>
      </c>
      <c r="F2" s="72" t="s">
        <v>589</v>
      </c>
      <c r="G2" s="72" t="s">
        <v>589</v>
      </c>
    </row>
    <row r="3" spans="1:7" ht="38.1" customHeight="1" thickBot="1">
      <c r="A3" s="319" t="s">
        <v>66</v>
      </c>
      <c r="B3" s="320" t="s">
        <v>15</v>
      </c>
      <c r="C3" s="320" t="s">
        <v>706</v>
      </c>
      <c r="D3" s="543" t="s">
        <v>705</v>
      </c>
      <c r="E3" s="544" t="s">
        <v>688</v>
      </c>
      <c r="F3" s="305" t="s">
        <v>739</v>
      </c>
      <c r="G3" s="305" t="s">
        <v>744</v>
      </c>
    </row>
    <row r="4" spans="1:7" s="321" customFormat="1" ht="12" customHeight="1" thickBot="1">
      <c r="A4" s="319" t="s">
        <v>486</v>
      </c>
      <c r="B4" s="320" t="s">
        <v>487</v>
      </c>
      <c r="C4" s="320" t="s">
        <v>488</v>
      </c>
      <c r="D4" s="320" t="s">
        <v>490</v>
      </c>
      <c r="E4" s="544" t="s">
        <v>489</v>
      </c>
      <c r="F4" s="544" t="s">
        <v>489</v>
      </c>
      <c r="G4" s="544" t="s">
        <v>489</v>
      </c>
    </row>
    <row r="5" spans="1:7" s="321" customFormat="1" ht="12" customHeight="1" thickBot="1">
      <c r="A5" s="322" t="s">
        <v>16</v>
      </c>
      <c r="B5" s="323" t="s">
        <v>244</v>
      </c>
      <c r="C5" s="545">
        <f>+C6+C7+C8+C9+C10+C11</f>
        <v>242303330</v>
      </c>
      <c r="D5" s="546">
        <f>+D6+D7+D8+D9+D10+D11</f>
        <v>243748289</v>
      </c>
      <c r="E5" s="546">
        <f>+E6+E7+E8+E9+E10+E11</f>
        <v>218395679</v>
      </c>
      <c r="F5" s="546">
        <f>+F6+F7+F8+F9+F10+F11</f>
        <v>218917790</v>
      </c>
      <c r="G5" s="546">
        <f>+G6+G7+G8+G9+G10+G11</f>
        <v>217376765</v>
      </c>
    </row>
    <row r="6" spans="1:7" s="321" customFormat="1" ht="12" customHeight="1">
      <c r="A6" s="324" t="s">
        <v>95</v>
      </c>
      <c r="B6" s="159" t="s">
        <v>245</v>
      </c>
      <c r="C6" s="547">
        <v>130036203</v>
      </c>
      <c r="D6" s="547">
        <v>117822015</v>
      </c>
      <c r="E6" s="548">
        <v>117822978</v>
      </c>
      <c r="F6" s="548">
        <v>117822978</v>
      </c>
      <c r="G6" s="548">
        <v>117822978</v>
      </c>
    </row>
    <row r="7" spans="1:7" s="321" customFormat="1" ht="12" customHeight="1">
      <c r="A7" s="325" t="s">
        <v>96</v>
      </c>
      <c r="B7" s="160" t="s">
        <v>246</v>
      </c>
      <c r="C7" s="549">
        <v>51550240</v>
      </c>
      <c r="D7" s="549">
        <v>56597616</v>
      </c>
      <c r="E7" s="550">
        <v>56900500</v>
      </c>
      <c r="F7" s="550">
        <v>56900500</v>
      </c>
      <c r="G7" s="550">
        <f>56900500-2814800</f>
        <v>54085700</v>
      </c>
    </row>
    <row r="8" spans="1:7" s="321" customFormat="1" ht="12" customHeight="1">
      <c r="A8" s="325" t="s">
        <v>97</v>
      </c>
      <c r="B8" s="160" t="s">
        <v>247</v>
      </c>
      <c r="C8" s="549">
        <v>37799442</v>
      </c>
      <c r="D8" s="549">
        <v>39695169</v>
      </c>
      <c r="E8" s="550">
        <v>40194081</v>
      </c>
      <c r="F8" s="550">
        <v>40194081</v>
      </c>
      <c r="G8" s="550">
        <f>40194081-152000</f>
        <v>40042081</v>
      </c>
    </row>
    <row r="9" spans="1:7" s="321" customFormat="1" ht="12" customHeight="1">
      <c r="A9" s="325" t="s">
        <v>98</v>
      </c>
      <c r="B9" s="160" t="s">
        <v>248</v>
      </c>
      <c r="C9" s="549">
        <v>3495417</v>
      </c>
      <c r="D9" s="549">
        <v>4541173</v>
      </c>
      <c r="E9" s="550">
        <v>3063720</v>
      </c>
      <c r="F9" s="550">
        <f>3063720+280587</f>
        <v>3344307</v>
      </c>
      <c r="G9" s="550">
        <f>3063720+280587+411269+187376</f>
        <v>3942952</v>
      </c>
    </row>
    <row r="10" spans="1:7" s="321" customFormat="1" ht="12" customHeight="1">
      <c r="A10" s="325" t="s">
        <v>141</v>
      </c>
      <c r="B10" s="326" t="s">
        <v>429</v>
      </c>
      <c r="C10" s="549">
        <v>19422028</v>
      </c>
      <c r="D10" s="549">
        <v>24745002</v>
      </c>
      <c r="E10" s="550">
        <v>414400</v>
      </c>
      <c r="F10" s="550">
        <f>414400+241524</f>
        <v>655924</v>
      </c>
      <c r="G10" s="550">
        <f>414400+241524+533400+293730</f>
        <v>1483054</v>
      </c>
    </row>
    <row r="11" spans="1:7" s="321" customFormat="1" ht="12" customHeight="1" thickBot="1">
      <c r="A11" s="327" t="s">
        <v>99</v>
      </c>
      <c r="B11" s="328" t="s">
        <v>430</v>
      </c>
      <c r="C11" s="549"/>
      <c r="D11" s="549">
        <v>347314</v>
      </c>
      <c r="E11" s="550"/>
      <c r="F11" s="550"/>
      <c r="G11" s="550"/>
    </row>
    <row r="12" spans="1:7" s="321" customFormat="1" ht="12" customHeight="1" thickBot="1">
      <c r="A12" s="322" t="s">
        <v>17</v>
      </c>
      <c r="B12" s="329" t="s">
        <v>249</v>
      </c>
      <c r="C12" s="545">
        <f>+C13+C14+C15+C16+C17</f>
        <v>41310066</v>
      </c>
      <c r="D12" s="545">
        <f>+D13+D14+D15+D16+D17</f>
        <v>87621574</v>
      </c>
      <c r="E12" s="546">
        <f>+E13+E14+E15+E16+E17</f>
        <v>73241871</v>
      </c>
      <c r="F12" s="546">
        <f>+F13+F14+F15+F16+F17</f>
        <v>76180274</v>
      </c>
      <c r="G12" s="546">
        <f>+G13+G14+G15+G16+G17</f>
        <v>77080192</v>
      </c>
    </row>
    <row r="13" spans="1:7" s="321" customFormat="1" ht="12" customHeight="1">
      <c r="A13" s="324" t="s">
        <v>101</v>
      </c>
      <c r="B13" s="159" t="s">
        <v>250</v>
      </c>
      <c r="C13" s="547"/>
      <c r="D13" s="547"/>
      <c r="E13" s="548"/>
      <c r="F13" s="548"/>
      <c r="G13" s="548"/>
    </row>
    <row r="14" spans="1:7" s="321" customFormat="1" ht="12" customHeight="1">
      <c r="A14" s="325" t="s">
        <v>102</v>
      </c>
      <c r="B14" s="160" t="s">
        <v>251</v>
      </c>
      <c r="C14" s="549"/>
      <c r="D14" s="549"/>
      <c r="E14" s="550"/>
      <c r="F14" s="550"/>
      <c r="G14" s="550"/>
    </row>
    <row r="15" spans="1:7" s="321" customFormat="1" ht="12" customHeight="1">
      <c r="A15" s="325" t="s">
        <v>103</v>
      </c>
      <c r="B15" s="160" t="s">
        <v>419</v>
      </c>
      <c r="C15" s="549"/>
      <c r="D15" s="549"/>
      <c r="E15" s="550"/>
      <c r="F15" s="550"/>
      <c r="G15" s="550"/>
    </row>
    <row r="16" spans="1:7" s="321" customFormat="1" ht="12" customHeight="1">
      <c r="A16" s="325" t="s">
        <v>104</v>
      </c>
      <c r="B16" s="160" t="s">
        <v>420</v>
      </c>
      <c r="C16" s="549"/>
      <c r="D16" s="549"/>
      <c r="E16" s="550"/>
      <c r="F16" s="550"/>
      <c r="G16" s="550"/>
    </row>
    <row r="17" spans="1:7" s="321" customFormat="1" ht="12" customHeight="1">
      <c r="A17" s="325" t="s">
        <v>105</v>
      </c>
      <c r="B17" s="160" t="s">
        <v>252</v>
      </c>
      <c r="C17" s="549">
        <v>41310066</v>
      </c>
      <c r="D17" s="549">
        <v>87621574</v>
      </c>
      <c r="E17" s="550">
        <v>73241871</v>
      </c>
      <c r="F17" s="550">
        <f>73241871+105000+715832+78540+119640+1919391</f>
        <v>76180274</v>
      </c>
      <c r="G17" s="550">
        <f>73241871+105000+715832+78540+119640+1919391-1919391+2706807+112502</f>
        <v>77080192</v>
      </c>
    </row>
    <row r="18" spans="1:7" s="321" customFormat="1" ht="12" customHeight="1" thickBot="1">
      <c r="A18" s="327" t="s">
        <v>114</v>
      </c>
      <c r="B18" s="328" t="s">
        <v>253</v>
      </c>
      <c r="C18" s="551"/>
      <c r="D18" s="551"/>
      <c r="E18" s="552"/>
      <c r="F18" s="552"/>
      <c r="G18" s="552"/>
    </row>
    <row r="19" spans="1:7" s="321" customFormat="1" ht="12" customHeight="1" thickBot="1">
      <c r="A19" s="322" t="s">
        <v>18</v>
      </c>
      <c r="B19" s="323" t="s">
        <v>254</v>
      </c>
      <c r="C19" s="546">
        <f>+C20+C21+C22+C23+C24</f>
        <v>46868384</v>
      </c>
      <c r="D19" s="546">
        <f>+D20+D21+D22+D23+D24</f>
        <v>363718343</v>
      </c>
      <c r="E19" s="546">
        <f>+E20+E21+E22+E23+E24</f>
        <v>55972518</v>
      </c>
      <c r="F19" s="546">
        <f>+F20+F21+F22+F23+F24</f>
        <v>55972518</v>
      </c>
      <c r="G19" s="546">
        <f>+G20+G21+G22+G23+G24</f>
        <v>63789960</v>
      </c>
    </row>
    <row r="20" spans="1:7" s="321" customFormat="1" ht="12" customHeight="1">
      <c r="A20" s="324" t="s">
        <v>84</v>
      </c>
      <c r="B20" s="159" t="s">
        <v>255</v>
      </c>
      <c r="C20" s="547">
        <v>43811784</v>
      </c>
      <c r="E20" s="548"/>
      <c r="F20" s="548"/>
      <c r="G20" s="548"/>
    </row>
    <row r="21" spans="1:7" s="321" customFormat="1" ht="12" customHeight="1">
      <c r="A21" s="325" t="s">
        <v>85</v>
      </c>
      <c r="B21" s="160" t="s">
        <v>256</v>
      </c>
      <c r="C21" s="549"/>
      <c r="D21" s="549"/>
      <c r="E21" s="550"/>
      <c r="F21" s="550"/>
      <c r="G21" s="550"/>
    </row>
    <row r="22" spans="1:7" s="321" customFormat="1" ht="12" customHeight="1">
      <c r="A22" s="325" t="s">
        <v>86</v>
      </c>
      <c r="B22" s="160" t="s">
        <v>421</v>
      </c>
      <c r="C22" s="549"/>
      <c r="D22" s="549"/>
      <c r="E22" s="550"/>
      <c r="F22" s="550"/>
      <c r="G22" s="550"/>
    </row>
    <row r="23" spans="1:7" s="321" customFormat="1" ht="12" customHeight="1">
      <c r="A23" s="325" t="s">
        <v>87</v>
      </c>
      <c r="B23" s="160" t="s">
        <v>422</v>
      </c>
      <c r="C23" s="549"/>
      <c r="D23" s="549"/>
      <c r="E23" s="550"/>
      <c r="F23" s="550"/>
      <c r="G23" s="550"/>
    </row>
    <row r="24" spans="1:7" s="321" customFormat="1" ht="12" customHeight="1">
      <c r="A24" s="325" t="s">
        <v>162</v>
      </c>
      <c r="B24" s="160" t="s">
        <v>257</v>
      </c>
      <c r="C24" s="549">
        <v>3056600</v>
      </c>
      <c r="D24" s="549">
        <v>363718343</v>
      </c>
      <c r="E24" s="550">
        <v>55972518</v>
      </c>
      <c r="F24" s="550">
        <v>55972518</v>
      </c>
      <c r="G24" s="550">
        <f>55972518+7817442</f>
        <v>63789960</v>
      </c>
    </row>
    <row r="25" spans="1:7" s="321" customFormat="1" ht="12" customHeight="1" thickBot="1">
      <c r="A25" s="327" t="s">
        <v>163</v>
      </c>
      <c r="B25" s="162" t="s">
        <v>258</v>
      </c>
      <c r="C25" s="551"/>
      <c r="D25" s="551"/>
      <c r="E25" s="552"/>
      <c r="F25" s="552"/>
      <c r="G25" s="552"/>
    </row>
    <row r="26" spans="1:7" s="321" customFormat="1" ht="12" customHeight="1" thickBot="1">
      <c r="A26" s="322" t="s">
        <v>164</v>
      </c>
      <c r="B26" s="323" t="s">
        <v>259</v>
      </c>
      <c r="C26" s="545">
        <f>+C27+C31+C32+C33</f>
        <v>127009831</v>
      </c>
      <c r="D26" s="545">
        <f>+D27+D31+D32+D33</f>
        <v>140209759</v>
      </c>
      <c r="E26" s="546">
        <f>+E27+E31+E32+E33</f>
        <v>129930000</v>
      </c>
      <c r="F26" s="546">
        <f>+F27+F31+F32+F33</f>
        <v>129930000</v>
      </c>
      <c r="G26" s="546">
        <f>+G27+G31+G32+G33</f>
        <v>129930000</v>
      </c>
    </row>
    <row r="27" spans="1:7" s="321" customFormat="1" ht="12" customHeight="1">
      <c r="A27" s="324" t="s">
        <v>260</v>
      </c>
      <c r="B27" s="159" t="s">
        <v>436</v>
      </c>
      <c r="C27" s="553">
        <f>+C28+C29+C30</f>
        <v>89357640</v>
      </c>
      <c r="D27" s="553">
        <f>D28+D29+D30</f>
        <v>101842381</v>
      </c>
      <c r="E27" s="554">
        <f>E28+E29+E30</f>
        <v>94400000</v>
      </c>
      <c r="F27" s="554">
        <f>F28+F29+F30</f>
        <v>94400000</v>
      </c>
      <c r="G27" s="554">
        <f>G28+G29+G30</f>
        <v>94400000</v>
      </c>
    </row>
    <row r="28" spans="1:7" s="321" customFormat="1" ht="12" customHeight="1">
      <c r="A28" s="325" t="s">
        <v>261</v>
      </c>
      <c r="B28" s="160" t="s">
        <v>604</v>
      </c>
      <c r="C28" s="549">
        <v>53778881</v>
      </c>
      <c r="D28" s="549">
        <v>57672091</v>
      </c>
      <c r="E28" s="550">
        <v>56400000</v>
      </c>
      <c r="F28" s="550">
        <v>56400000</v>
      </c>
      <c r="G28" s="550">
        <v>56400000</v>
      </c>
    </row>
    <row r="29" spans="1:7" s="321" customFormat="1" ht="12" customHeight="1">
      <c r="A29" s="325" t="s">
        <v>262</v>
      </c>
      <c r="B29" s="160" t="s">
        <v>605</v>
      </c>
      <c r="C29" s="549"/>
      <c r="D29" s="549"/>
      <c r="E29" s="550"/>
      <c r="F29" s="550"/>
      <c r="G29" s="550"/>
    </row>
    <row r="30" spans="1:7" s="321" customFormat="1" ht="12" customHeight="1">
      <c r="A30" s="325" t="s">
        <v>434</v>
      </c>
      <c r="B30" s="161" t="s">
        <v>435</v>
      </c>
      <c r="C30" s="549">
        <v>35578759</v>
      </c>
      <c r="D30" s="549">
        <v>44170290</v>
      </c>
      <c r="E30" s="550">
        <v>38000000</v>
      </c>
      <c r="F30" s="550">
        <v>38000000</v>
      </c>
      <c r="G30" s="550">
        <v>38000000</v>
      </c>
    </row>
    <row r="31" spans="1:7" s="321" customFormat="1" ht="12" customHeight="1">
      <c r="A31" s="325" t="s">
        <v>263</v>
      </c>
      <c r="B31" s="160" t="s">
        <v>268</v>
      </c>
      <c r="C31" s="549">
        <v>8154406</v>
      </c>
      <c r="D31" s="549">
        <v>8994728</v>
      </c>
      <c r="E31" s="550">
        <v>7400000</v>
      </c>
      <c r="F31" s="550">
        <v>7400000</v>
      </c>
      <c r="G31" s="550">
        <v>7400000</v>
      </c>
    </row>
    <row r="32" spans="1:7" s="321" customFormat="1" ht="12" customHeight="1">
      <c r="A32" s="325" t="s">
        <v>264</v>
      </c>
      <c r="B32" s="160" t="s">
        <v>582</v>
      </c>
      <c r="C32" s="549">
        <v>28764364</v>
      </c>
      <c r="D32" s="549">
        <v>28970800</v>
      </c>
      <c r="E32" s="550">
        <v>27500000</v>
      </c>
      <c r="F32" s="550">
        <v>27500000</v>
      </c>
      <c r="G32" s="550">
        <v>27500000</v>
      </c>
    </row>
    <row r="33" spans="1:7" s="321" customFormat="1" ht="12" customHeight="1" thickBot="1">
      <c r="A33" s="327" t="s">
        <v>265</v>
      </c>
      <c r="B33" s="162" t="s">
        <v>270</v>
      </c>
      <c r="C33" s="551">
        <v>733421</v>
      </c>
      <c r="D33" s="551">
        <v>401850</v>
      </c>
      <c r="E33" s="552">
        <v>630000</v>
      </c>
      <c r="F33" s="552">
        <v>630000</v>
      </c>
      <c r="G33" s="552">
        <v>630000</v>
      </c>
    </row>
    <row r="34" spans="1:7" s="321" customFormat="1" ht="12" customHeight="1" thickBot="1">
      <c r="A34" s="322" t="s">
        <v>20</v>
      </c>
      <c r="B34" s="323" t="s">
        <v>431</v>
      </c>
      <c r="C34" s="545">
        <f>SUM(C35:C45)</f>
        <v>137436737</v>
      </c>
      <c r="D34" s="545">
        <f>SUM(D35:D45)</f>
        <v>162119763</v>
      </c>
      <c r="E34" s="546">
        <f>SUM(E35:E45)</f>
        <v>139882547</v>
      </c>
      <c r="F34" s="546">
        <f>SUM(F35:F45)</f>
        <v>139882547</v>
      </c>
      <c r="G34" s="546">
        <f>SUM(G35:G45)</f>
        <v>139734281</v>
      </c>
    </row>
    <row r="35" spans="1:7" s="321" customFormat="1" ht="12" customHeight="1">
      <c r="A35" s="324" t="s">
        <v>88</v>
      </c>
      <c r="B35" s="159" t="s">
        <v>273</v>
      </c>
      <c r="C35" s="547">
        <v>72900</v>
      </c>
      <c r="D35" s="547">
        <v>64000</v>
      </c>
      <c r="E35" s="548"/>
      <c r="F35" s="548"/>
      <c r="G35" s="548"/>
    </row>
    <row r="36" spans="1:7" s="321" customFormat="1" ht="12" customHeight="1">
      <c r="A36" s="325" t="s">
        <v>89</v>
      </c>
      <c r="B36" s="160" t="s">
        <v>274</v>
      </c>
      <c r="C36" s="549">
        <v>96044866</v>
      </c>
      <c r="D36" s="549">
        <v>118757569</v>
      </c>
      <c r="E36" s="550">
        <v>94800709</v>
      </c>
      <c r="F36" s="550">
        <v>94800709</v>
      </c>
      <c r="G36" s="550">
        <f>94800709+132213-196063-118110</f>
        <v>94618749</v>
      </c>
    </row>
    <row r="37" spans="1:7" s="321" customFormat="1" ht="12" customHeight="1">
      <c r="A37" s="325" t="s">
        <v>90</v>
      </c>
      <c r="B37" s="160" t="s">
        <v>275</v>
      </c>
      <c r="C37" s="549">
        <v>3668666</v>
      </c>
      <c r="D37" s="549">
        <v>4899386</v>
      </c>
      <c r="E37" s="550">
        <v>2400000</v>
      </c>
      <c r="F37" s="550">
        <v>2400000</v>
      </c>
      <c r="G37" s="550">
        <v>2400000</v>
      </c>
    </row>
    <row r="38" spans="1:7" s="321" customFormat="1" ht="12" customHeight="1">
      <c r="A38" s="325" t="s">
        <v>166</v>
      </c>
      <c r="B38" s="160" t="s">
        <v>276</v>
      </c>
      <c r="C38" s="549"/>
      <c r="D38" s="549"/>
      <c r="E38" s="550"/>
      <c r="F38" s="550"/>
      <c r="G38" s="550"/>
    </row>
    <row r="39" spans="1:7" s="321" customFormat="1" ht="12" customHeight="1">
      <c r="A39" s="325" t="s">
        <v>167</v>
      </c>
      <c r="B39" s="160" t="s">
        <v>277</v>
      </c>
      <c r="C39" s="549">
        <v>8569307</v>
      </c>
      <c r="D39" s="549">
        <v>2039171</v>
      </c>
      <c r="E39" s="550">
        <v>1500000</v>
      </c>
      <c r="F39" s="550">
        <v>1500000</v>
      </c>
      <c r="G39" s="550">
        <v>1500000</v>
      </c>
    </row>
    <row r="40" spans="1:7" s="321" customFormat="1" ht="12" customHeight="1">
      <c r="A40" s="325" t="s">
        <v>168</v>
      </c>
      <c r="B40" s="160" t="s">
        <v>278</v>
      </c>
      <c r="C40" s="549">
        <v>28996211</v>
      </c>
      <c r="D40" s="549">
        <v>35871590</v>
      </c>
      <c r="E40" s="550">
        <v>26748983</v>
      </c>
      <c r="F40" s="550">
        <v>26748983</v>
      </c>
      <c r="G40" s="550">
        <f>26748983+35697-52937-31890</f>
        <v>26699853</v>
      </c>
    </row>
    <row r="41" spans="1:7" s="321" customFormat="1" ht="12" customHeight="1">
      <c r="A41" s="325" t="s">
        <v>169</v>
      </c>
      <c r="B41" s="160" t="s">
        <v>279</v>
      </c>
      <c r="C41" s="549"/>
      <c r="D41" s="549"/>
      <c r="E41" s="550">
        <v>14000000</v>
      </c>
      <c r="F41" s="550">
        <v>14000000</v>
      </c>
      <c r="G41" s="550">
        <v>14000000</v>
      </c>
    </row>
    <row r="42" spans="1:7" s="321" customFormat="1" ht="12" customHeight="1">
      <c r="A42" s="325" t="s">
        <v>170</v>
      </c>
      <c r="B42" s="160" t="s">
        <v>280</v>
      </c>
      <c r="C42" s="549">
        <v>17867</v>
      </c>
      <c r="D42" s="549">
        <v>40482</v>
      </c>
      <c r="E42" s="550">
        <v>20000</v>
      </c>
      <c r="F42" s="550">
        <v>20000</v>
      </c>
      <c r="G42" s="550">
        <v>20000</v>
      </c>
    </row>
    <row r="43" spans="1:7" s="321" customFormat="1" ht="12" customHeight="1">
      <c r="A43" s="325" t="s">
        <v>271</v>
      </c>
      <c r="B43" s="160" t="s">
        <v>281</v>
      </c>
      <c r="C43" s="549"/>
      <c r="D43" s="549"/>
      <c r="E43" s="550"/>
      <c r="F43" s="550"/>
      <c r="G43" s="550"/>
    </row>
    <row r="44" spans="1:7" s="321" customFormat="1" ht="12" customHeight="1">
      <c r="A44" s="327" t="s">
        <v>272</v>
      </c>
      <c r="B44" s="162" t="s">
        <v>433</v>
      </c>
      <c r="C44" s="551"/>
      <c r="D44" s="551"/>
      <c r="E44" s="552"/>
      <c r="F44" s="552"/>
      <c r="G44" s="552"/>
    </row>
    <row r="45" spans="1:7" s="321" customFormat="1" ht="12" customHeight="1" thickBot="1">
      <c r="A45" s="327" t="s">
        <v>432</v>
      </c>
      <c r="B45" s="328" t="s">
        <v>282</v>
      </c>
      <c r="C45" s="551">
        <v>66920</v>
      </c>
      <c r="D45" s="551">
        <v>447565</v>
      </c>
      <c r="E45" s="552">
        <v>412855</v>
      </c>
      <c r="F45" s="552">
        <v>412855</v>
      </c>
      <c r="G45" s="552">
        <f>412855+82824</f>
        <v>495679</v>
      </c>
    </row>
    <row r="46" spans="1:7" s="321" customFormat="1" ht="12" customHeight="1" thickBot="1">
      <c r="A46" s="322" t="s">
        <v>21</v>
      </c>
      <c r="B46" s="323" t="s">
        <v>283</v>
      </c>
      <c r="C46" s="545">
        <f>SUM(C47:C51)</f>
        <v>200003</v>
      </c>
      <c r="D46" s="545">
        <f>SUM(D47:D51)</f>
        <v>8986168</v>
      </c>
      <c r="E46" s="546">
        <f>SUM(E47:E51)</f>
        <v>0</v>
      </c>
      <c r="F46" s="546">
        <f>SUM(F47:F51)</f>
        <v>0</v>
      </c>
      <c r="G46" s="546">
        <f>SUM(G47:G51)</f>
        <v>0</v>
      </c>
    </row>
    <row r="47" spans="1:7" s="321" customFormat="1" ht="12" customHeight="1">
      <c r="A47" s="324" t="s">
        <v>91</v>
      </c>
      <c r="B47" s="159" t="s">
        <v>287</v>
      </c>
      <c r="C47" s="547"/>
      <c r="D47" s="547"/>
      <c r="E47" s="548"/>
      <c r="F47" s="548"/>
      <c r="G47" s="548"/>
    </row>
    <row r="48" spans="1:7" s="321" customFormat="1" ht="12" customHeight="1">
      <c r="A48" s="325" t="s">
        <v>92</v>
      </c>
      <c r="B48" s="160" t="s">
        <v>288</v>
      </c>
      <c r="C48" s="549">
        <v>200003</v>
      </c>
      <c r="D48" s="549">
        <v>8986168</v>
      </c>
      <c r="E48" s="550"/>
      <c r="F48" s="550"/>
      <c r="G48" s="550"/>
    </row>
    <row r="49" spans="1:7" s="321" customFormat="1" ht="12" customHeight="1">
      <c r="A49" s="325" t="s">
        <v>284</v>
      </c>
      <c r="B49" s="160" t="s">
        <v>289</v>
      </c>
      <c r="C49" s="549"/>
      <c r="D49" s="549"/>
      <c r="E49" s="550"/>
      <c r="F49" s="550"/>
      <c r="G49" s="550"/>
    </row>
    <row r="50" spans="1:7" s="321" customFormat="1" ht="12" customHeight="1">
      <c r="A50" s="325" t="s">
        <v>285</v>
      </c>
      <c r="B50" s="160" t="s">
        <v>290</v>
      </c>
      <c r="C50" s="549"/>
      <c r="D50" s="549"/>
      <c r="E50" s="550"/>
      <c r="F50" s="550"/>
      <c r="G50" s="550"/>
    </row>
    <row r="51" spans="1:7" s="321" customFormat="1" ht="12" customHeight="1" thickBot="1">
      <c r="A51" s="327" t="s">
        <v>286</v>
      </c>
      <c r="B51" s="328" t="s">
        <v>291</v>
      </c>
      <c r="C51" s="551"/>
      <c r="D51" s="551"/>
      <c r="E51" s="552"/>
      <c r="F51" s="552"/>
      <c r="G51" s="552"/>
    </row>
    <row r="52" spans="1:7" s="321" customFormat="1" ht="12" customHeight="1" thickBot="1">
      <c r="A52" s="322" t="s">
        <v>171</v>
      </c>
      <c r="B52" s="323" t="s">
        <v>292</v>
      </c>
      <c r="C52" s="545">
        <f>SUM(C53:C55)</f>
        <v>150000</v>
      </c>
      <c r="D52" s="545">
        <f>SUM(D53:D55)</f>
        <v>346102</v>
      </c>
      <c r="E52" s="546">
        <f>SUM(E53:E55)</f>
        <v>0</v>
      </c>
      <c r="F52" s="546">
        <f>SUM(F53:F55)</f>
        <v>0</v>
      </c>
      <c r="G52" s="546">
        <f>SUM(G53:G55)</f>
        <v>0</v>
      </c>
    </row>
    <row r="53" spans="1:7" s="321" customFormat="1" ht="12" customHeight="1">
      <c r="A53" s="324" t="s">
        <v>93</v>
      </c>
      <c r="B53" s="159" t="s">
        <v>293</v>
      </c>
      <c r="C53" s="547"/>
      <c r="D53" s="547"/>
      <c r="E53" s="548"/>
      <c r="F53" s="548"/>
      <c r="G53" s="548"/>
    </row>
    <row r="54" spans="1:7" s="321" customFormat="1" ht="12" customHeight="1">
      <c r="A54" s="325" t="s">
        <v>94</v>
      </c>
      <c r="B54" s="160" t="s">
        <v>423</v>
      </c>
      <c r="C54" s="549"/>
      <c r="D54" s="549"/>
      <c r="E54" s="550"/>
      <c r="F54" s="550"/>
      <c r="G54" s="550"/>
    </row>
    <row r="55" spans="1:7" s="321" customFormat="1" ht="12" customHeight="1">
      <c r="A55" s="325" t="s">
        <v>296</v>
      </c>
      <c r="B55" s="160" t="s">
        <v>294</v>
      </c>
      <c r="C55" s="549">
        <v>150000</v>
      </c>
      <c r="D55" s="549">
        <v>346102</v>
      </c>
      <c r="E55" s="550"/>
      <c r="F55" s="550"/>
      <c r="G55" s="550"/>
    </row>
    <row r="56" spans="1:7" s="321" customFormat="1" ht="12" customHeight="1" thickBot="1">
      <c r="A56" s="327" t="s">
        <v>297</v>
      </c>
      <c r="B56" s="328" t="s">
        <v>295</v>
      </c>
      <c r="C56" s="551"/>
      <c r="D56" s="551"/>
      <c r="E56" s="552"/>
      <c r="F56" s="552"/>
      <c r="G56" s="552"/>
    </row>
    <row r="57" spans="1:7" s="321" customFormat="1" ht="12" customHeight="1" thickBot="1">
      <c r="A57" s="322" t="s">
        <v>23</v>
      </c>
      <c r="B57" s="329" t="s">
        <v>298</v>
      </c>
      <c r="C57" s="545">
        <f>SUM(C58:C60)</f>
        <v>4810000</v>
      </c>
      <c r="D57" s="545">
        <f>SUM(D58:D60)</f>
        <v>120000</v>
      </c>
      <c r="E57" s="546">
        <f>SUM(E58:E60)</f>
        <v>120000</v>
      </c>
      <c r="F57" s="546">
        <f>SUM(F58:F60)</f>
        <v>120000</v>
      </c>
      <c r="G57" s="546">
        <f>SUM(G58:G60)</f>
        <v>120000</v>
      </c>
    </row>
    <row r="58" spans="1:7" s="321" customFormat="1" ht="12" customHeight="1">
      <c r="A58" s="324" t="s">
        <v>172</v>
      </c>
      <c r="B58" s="159" t="s">
        <v>300</v>
      </c>
      <c r="C58" s="549"/>
      <c r="D58" s="549"/>
      <c r="E58" s="550"/>
      <c r="F58" s="550"/>
      <c r="G58" s="550"/>
    </row>
    <row r="59" spans="1:7" s="321" customFormat="1" ht="12" customHeight="1">
      <c r="A59" s="325" t="s">
        <v>173</v>
      </c>
      <c r="B59" s="160" t="s">
        <v>424</v>
      </c>
      <c r="C59" s="549">
        <v>110000</v>
      </c>
      <c r="D59" s="549">
        <v>120000</v>
      </c>
      <c r="E59" s="550">
        <v>120000</v>
      </c>
      <c r="F59" s="550">
        <v>120000</v>
      </c>
      <c r="G59" s="550">
        <v>120000</v>
      </c>
    </row>
    <row r="60" spans="1:7" s="321" customFormat="1" ht="12" customHeight="1">
      <c r="A60" s="325" t="s">
        <v>221</v>
      </c>
      <c r="B60" s="160" t="s">
        <v>301</v>
      </c>
      <c r="C60" s="549">
        <v>4700000</v>
      </c>
      <c r="D60" s="549"/>
      <c r="E60" s="550"/>
      <c r="F60" s="550"/>
      <c r="G60" s="550"/>
    </row>
    <row r="61" spans="1:7" s="321" customFormat="1" ht="12" customHeight="1" thickBot="1">
      <c r="A61" s="327" t="s">
        <v>299</v>
      </c>
      <c r="B61" s="328" t="s">
        <v>302</v>
      </c>
      <c r="C61" s="549"/>
      <c r="D61" s="549"/>
      <c r="E61" s="550"/>
      <c r="F61" s="550"/>
      <c r="G61" s="550"/>
    </row>
    <row r="62" spans="1:7" s="321" customFormat="1" ht="12" customHeight="1" thickBot="1">
      <c r="A62" s="330" t="s">
        <v>475</v>
      </c>
      <c r="B62" s="323" t="s">
        <v>303</v>
      </c>
      <c r="C62" s="545">
        <f>+C5+C12+C19+C26+C34+C46+C52+C57</f>
        <v>600088351</v>
      </c>
      <c r="D62" s="546">
        <f>D5+D12+D19+D26+D34+D46+D52+D57</f>
        <v>1006869998</v>
      </c>
      <c r="E62" s="546">
        <f>+E5+E12+E19+E26+E34+E46+E52+E57</f>
        <v>617542615</v>
      </c>
      <c r="F62" s="546">
        <f>+F5+F12+F19+F26+F34+F46+F52+F57</f>
        <v>621003129</v>
      </c>
      <c r="G62" s="546">
        <f>+G5+G12+G19+G26+G34+G46+G52+G57</f>
        <v>628031198</v>
      </c>
    </row>
    <row r="63" spans="1:7" s="321" customFormat="1" ht="12" customHeight="1" thickBot="1">
      <c r="A63" s="331" t="s">
        <v>304</v>
      </c>
      <c r="B63" s="329" t="s">
        <v>537</v>
      </c>
      <c r="C63" s="545">
        <f>SUM(C64:C66)</f>
        <v>0</v>
      </c>
      <c r="D63" s="545">
        <f>SUM(D64:D66)</f>
        <v>0</v>
      </c>
      <c r="E63" s="546">
        <f>SUM(E64:E66)</f>
        <v>0</v>
      </c>
      <c r="F63" s="546">
        <f>SUM(F64:F66)</f>
        <v>0</v>
      </c>
      <c r="G63" s="546">
        <f>SUM(G64:G66)</f>
        <v>0</v>
      </c>
    </row>
    <row r="64" spans="1:7" s="321" customFormat="1" ht="12" customHeight="1">
      <c r="A64" s="324" t="s">
        <v>336</v>
      </c>
      <c r="B64" s="159" t="s">
        <v>306</v>
      </c>
      <c r="C64" s="549"/>
      <c r="D64" s="549"/>
      <c r="E64" s="550"/>
      <c r="F64" s="550"/>
      <c r="G64" s="550"/>
    </row>
    <row r="65" spans="1:7" s="321" customFormat="1" ht="12" customHeight="1">
      <c r="A65" s="325" t="s">
        <v>345</v>
      </c>
      <c r="B65" s="160" t="s">
        <v>307</v>
      </c>
      <c r="C65" s="549"/>
      <c r="D65" s="549"/>
      <c r="E65" s="550"/>
      <c r="F65" s="550"/>
      <c r="G65" s="550"/>
    </row>
    <row r="66" spans="1:7" s="321" customFormat="1" ht="12" customHeight="1" thickBot="1">
      <c r="A66" s="327" t="s">
        <v>346</v>
      </c>
      <c r="B66" s="332" t="s">
        <v>460</v>
      </c>
      <c r="C66" s="549"/>
      <c r="D66" s="549"/>
      <c r="E66" s="550"/>
      <c r="F66" s="550"/>
      <c r="G66" s="550"/>
    </row>
    <row r="67" spans="1:7" s="321" customFormat="1" ht="12" customHeight="1" thickBot="1">
      <c r="A67" s="331" t="s">
        <v>309</v>
      </c>
      <c r="B67" s="329" t="s">
        <v>310</v>
      </c>
      <c r="C67" s="545">
        <f>SUM(C68:C71)</f>
        <v>0</v>
      </c>
      <c r="D67" s="545">
        <f>SUM(D68:D71)</f>
        <v>0</v>
      </c>
      <c r="E67" s="546">
        <f>SUM(E68:E71)</f>
        <v>0</v>
      </c>
      <c r="F67" s="546">
        <f>SUM(F68:F71)</f>
        <v>0</v>
      </c>
      <c r="G67" s="546">
        <f>SUM(G68:G71)</f>
        <v>0</v>
      </c>
    </row>
    <row r="68" spans="1:7" s="321" customFormat="1" ht="12" customHeight="1">
      <c r="A68" s="324" t="s">
        <v>142</v>
      </c>
      <c r="B68" s="159" t="s">
        <v>311</v>
      </c>
      <c r="C68" s="549"/>
      <c r="D68" s="549"/>
      <c r="E68" s="550"/>
      <c r="F68" s="550"/>
      <c r="G68" s="550"/>
    </row>
    <row r="69" spans="1:7" s="321" customFormat="1" ht="17.25" customHeight="1">
      <c r="A69" s="325" t="s">
        <v>143</v>
      </c>
      <c r="B69" s="160" t="s">
        <v>312</v>
      </c>
      <c r="C69" s="549"/>
      <c r="D69" s="549"/>
      <c r="E69" s="550"/>
      <c r="F69" s="550"/>
      <c r="G69" s="550"/>
    </row>
    <row r="70" spans="1:7" s="321" customFormat="1" ht="12" customHeight="1">
      <c r="A70" s="325" t="s">
        <v>337</v>
      </c>
      <c r="B70" s="160" t="s">
        <v>313</v>
      </c>
      <c r="C70" s="549"/>
      <c r="D70" s="549"/>
      <c r="E70" s="550"/>
      <c r="F70" s="550"/>
      <c r="G70" s="550"/>
    </row>
    <row r="71" spans="1:7" s="321" customFormat="1" ht="12" customHeight="1" thickBot="1">
      <c r="A71" s="327" t="s">
        <v>338</v>
      </c>
      <c r="B71" s="328" t="s">
        <v>314</v>
      </c>
      <c r="C71" s="549"/>
      <c r="D71" s="549"/>
      <c r="E71" s="550"/>
      <c r="F71" s="550"/>
      <c r="G71" s="550"/>
    </row>
    <row r="72" spans="1:7" s="321" customFormat="1" ht="12" customHeight="1" thickBot="1">
      <c r="A72" s="331" t="s">
        <v>315</v>
      </c>
      <c r="B72" s="329" t="s">
        <v>316</v>
      </c>
      <c r="C72" s="545">
        <f>SUM(C73:C74)</f>
        <v>172128534</v>
      </c>
      <c r="D72" s="545">
        <f>SUM(D73:D74)</f>
        <v>222974509</v>
      </c>
      <c r="E72" s="546">
        <f>SUM(E73:E74)</f>
        <v>606054429</v>
      </c>
      <c r="F72" s="546">
        <f>SUM(F73:F74)</f>
        <v>606054429</v>
      </c>
      <c r="G72" s="546">
        <f>SUM(G73:G74)</f>
        <v>605704429</v>
      </c>
    </row>
    <row r="73" spans="1:7" s="321" customFormat="1" ht="12" customHeight="1">
      <c r="A73" s="324" t="s">
        <v>339</v>
      </c>
      <c r="B73" s="159" t="s">
        <v>317</v>
      </c>
      <c r="C73" s="549">
        <v>172128534</v>
      </c>
      <c r="D73" s="549">
        <v>222974509</v>
      </c>
      <c r="E73" s="550">
        <v>606054429</v>
      </c>
      <c r="F73" s="550">
        <v>606054429</v>
      </c>
      <c r="G73" s="550">
        <f>606054429-350000</f>
        <v>605704429</v>
      </c>
    </row>
    <row r="74" spans="1:7" s="321" customFormat="1" ht="12" customHeight="1" thickBot="1">
      <c r="A74" s="327" t="s">
        <v>340</v>
      </c>
      <c r="B74" s="328" t="s">
        <v>318</v>
      </c>
      <c r="C74" s="549"/>
      <c r="D74" s="549"/>
      <c r="E74" s="550"/>
      <c r="F74" s="550"/>
      <c r="G74" s="550"/>
    </row>
    <row r="75" spans="1:7" s="321" customFormat="1" ht="12" customHeight="1" thickBot="1">
      <c r="A75" s="331" t="s">
        <v>319</v>
      </c>
      <c r="B75" s="329" t="s">
        <v>320</v>
      </c>
      <c r="C75" s="545">
        <f>SUM(C76:C78)</f>
        <v>7777206</v>
      </c>
      <c r="D75" s="545">
        <f>SUM(D76:D78)</f>
        <v>8273601</v>
      </c>
      <c r="E75" s="546">
        <f>SUM(E76:E78)</f>
        <v>0</v>
      </c>
      <c r="F75" s="546">
        <f>SUM(F76:F78)</f>
        <v>72564</v>
      </c>
      <c r="G75" s="546">
        <f>SUM(G76:G78)</f>
        <v>72564</v>
      </c>
    </row>
    <row r="76" spans="1:7" s="321" customFormat="1" ht="12" customHeight="1">
      <c r="A76" s="324" t="s">
        <v>341</v>
      </c>
      <c r="B76" s="159" t="s">
        <v>321</v>
      </c>
      <c r="C76" s="549">
        <v>7777206</v>
      </c>
      <c r="D76" s="549">
        <v>8273601</v>
      </c>
      <c r="E76" s="550"/>
      <c r="F76" s="550">
        <v>72564</v>
      </c>
      <c r="G76" s="550">
        <v>72564</v>
      </c>
    </row>
    <row r="77" spans="1:7" s="321" customFormat="1" ht="12" customHeight="1">
      <c r="A77" s="325" t="s">
        <v>342</v>
      </c>
      <c r="B77" s="160" t="s">
        <v>322</v>
      </c>
      <c r="C77" s="549"/>
      <c r="D77" s="549"/>
      <c r="E77" s="550"/>
      <c r="F77" s="550"/>
      <c r="G77" s="550"/>
    </row>
    <row r="78" spans="1:7" s="321" customFormat="1" ht="12" customHeight="1" thickBot="1">
      <c r="A78" s="327" t="s">
        <v>343</v>
      </c>
      <c r="B78" s="328" t="s">
        <v>323</v>
      </c>
      <c r="C78" s="549"/>
      <c r="D78" s="549"/>
      <c r="E78" s="550"/>
      <c r="F78" s="550"/>
      <c r="G78" s="550"/>
    </row>
    <row r="79" spans="1:7" s="321" customFormat="1" ht="12" customHeight="1" thickBot="1">
      <c r="A79" s="331" t="s">
        <v>324</v>
      </c>
      <c r="B79" s="329" t="s">
        <v>344</v>
      </c>
      <c r="C79" s="545">
        <f>SUM(C80:C83)</f>
        <v>0</v>
      </c>
      <c r="D79" s="545">
        <f>SUM(D80:D83)</f>
        <v>0</v>
      </c>
      <c r="E79" s="546">
        <f>SUM(E80:E83)</f>
        <v>0</v>
      </c>
      <c r="F79" s="546">
        <f>SUM(F80:F83)</f>
        <v>0</v>
      </c>
      <c r="G79" s="546">
        <f>SUM(G80:G83)</f>
        <v>0</v>
      </c>
    </row>
    <row r="80" spans="1:7" s="321" customFormat="1" ht="12" customHeight="1">
      <c r="A80" s="333" t="s">
        <v>325</v>
      </c>
      <c r="B80" s="159" t="s">
        <v>326</v>
      </c>
      <c r="C80" s="549"/>
      <c r="D80" s="549"/>
      <c r="E80" s="550"/>
      <c r="F80" s="550"/>
      <c r="G80" s="550"/>
    </row>
    <row r="81" spans="1:7" s="321" customFormat="1" ht="12" customHeight="1">
      <c r="A81" s="334" t="s">
        <v>327</v>
      </c>
      <c r="B81" s="160" t="s">
        <v>328</v>
      </c>
      <c r="C81" s="549"/>
      <c r="D81" s="549"/>
      <c r="E81" s="550"/>
      <c r="F81" s="550"/>
      <c r="G81" s="550"/>
    </row>
    <row r="82" spans="1:7" s="321" customFormat="1" ht="12" customHeight="1">
      <c r="A82" s="334" t="s">
        <v>329</v>
      </c>
      <c r="B82" s="160" t="s">
        <v>330</v>
      </c>
      <c r="C82" s="549"/>
      <c r="D82" s="549"/>
      <c r="E82" s="550"/>
      <c r="F82" s="550"/>
      <c r="G82" s="550"/>
    </row>
    <row r="83" spans="1:7" s="321" customFormat="1" ht="12" customHeight="1" thickBot="1">
      <c r="A83" s="335" t="s">
        <v>331</v>
      </c>
      <c r="B83" s="328" t="s">
        <v>332</v>
      </c>
      <c r="C83" s="549"/>
      <c r="D83" s="549"/>
      <c r="E83" s="550"/>
      <c r="F83" s="550"/>
      <c r="G83" s="550"/>
    </row>
    <row r="84" spans="1:7" s="321" customFormat="1" ht="12" customHeight="1" thickBot="1">
      <c r="A84" s="331" t="s">
        <v>333</v>
      </c>
      <c r="B84" s="329" t="s">
        <v>474</v>
      </c>
      <c r="C84" s="555"/>
      <c r="D84" s="555"/>
      <c r="E84" s="556"/>
      <c r="F84" s="556"/>
      <c r="G84" s="556"/>
    </row>
    <row r="85" spans="1:7" s="321" customFormat="1" ht="12" customHeight="1" thickBot="1">
      <c r="A85" s="331" t="s">
        <v>335</v>
      </c>
      <c r="B85" s="329" t="s">
        <v>334</v>
      </c>
      <c r="C85" s="555"/>
      <c r="D85" s="555"/>
      <c r="E85" s="556"/>
      <c r="F85" s="556"/>
      <c r="G85" s="556"/>
    </row>
    <row r="86" spans="1:7" s="321" customFormat="1" ht="12" customHeight="1" thickBot="1">
      <c r="A86" s="331" t="s">
        <v>347</v>
      </c>
      <c r="B86" s="336" t="s">
        <v>477</v>
      </c>
      <c r="C86" s="545">
        <f>+C63+C67+C72+C75+C79+C85+C84</f>
        <v>179905740</v>
      </c>
      <c r="D86" s="545">
        <f>+D63+D67+D72+D75+D79+D85+D84</f>
        <v>231248110</v>
      </c>
      <c r="E86" s="546">
        <f>+E63+E67+E72+E75+E79+E85+E84</f>
        <v>606054429</v>
      </c>
      <c r="F86" s="546">
        <f>+F63+F67+F72+F75+F79+F85+F84</f>
        <v>606126993</v>
      </c>
      <c r="G86" s="546">
        <f>+G63+G67+G72+G75+G79+G85+G84</f>
        <v>605776993</v>
      </c>
    </row>
    <row r="87" spans="1:7" s="321" customFormat="1" ht="12" customHeight="1" thickBot="1">
      <c r="A87" s="337" t="s">
        <v>33</v>
      </c>
      <c r="B87" s="338" t="s">
        <v>558</v>
      </c>
      <c r="C87" s="545"/>
      <c r="D87" s="545"/>
      <c r="E87" s="546"/>
      <c r="F87" s="546"/>
      <c r="G87" s="546"/>
    </row>
    <row r="88" spans="1:7" s="321" customFormat="1" ht="12" customHeight="1" thickBot="1">
      <c r="A88" s="337" t="s">
        <v>34</v>
      </c>
      <c r="B88" s="338" t="s">
        <v>478</v>
      </c>
      <c r="C88" s="545">
        <f>+C62+C86+C87</f>
        <v>779994091</v>
      </c>
      <c r="D88" s="545">
        <f>+D62+D86+D87</f>
        <v>1238118108</v>
      </c>
      <c r="E88" s="545">
        <f>+E62+E86+E87</f>
        <v>1223597044</v>
      </c>
      <c r="F88" s="545">
        <f>+F62+F86+F87</f>
        <v>1227130122</v>
      </c>
      <c r="G88" s="545">
        <f>+G62+G86+G87</f>
        <v>1233808191</v>
      </c>
    </row>
    <row r="89" spans="1:7" s="321" customFormat="1" ht="12" customHeight="1">
      <c r="A89" s="740" t="s">
        <v>44</v>
      </c>
      <c r="B89" s="740"/>
      <c r="C89" s="740"/>
      <c r="D89" s="740"/>
    </row>
    <row r="90" spans="1:7" s="321" customFormat="1" ht="12" customHeight="1" thickBot="1">
      <c r="A90" s="741" t="s">
        <v>145</v>
      </c>
      <c r="B90" s="741"/>
      <c r="C90" s="689"/>
      <c r="D90" s="517"/>
      <c r="E90" s="72" t="s">
        <v>589</v>
      </c>
      <c r="F90" s="72" t="s">
        <v>589</v>
      </c>
      <c r="G90" s="72" t="s">
        <v>589</v>
      </c>
    </row>
    <row r="91" spans="1:7" s="321" customFormat="1" ht="36" customHeight="1" thickBot="1">
      <c r="A91" s="319" t="s">
        <v>14</v>
      </c>
      <c r="B91" s="320" t="s">
        <v>45</v>
      </c>
      <c r="C91" s="320" t="str">
        <f>+C3</f>
        <v>2016. évi tény</v>
      </c>
      <c r="D91" s="320" t="str">
        <f>+D3</f>
        <v>2017. évi várható</v>
      </c>
      <c r="E91" s="544" t="str">
        <f>+E3</f>
        <v>Eredeti előirányzat (2018.01)</v>
      </c>
      <c r="F91" s="544" t="s">
        <v>739</v>
      </c>
      <c r="G91" s="544" t="s">
        <v>744</v>
      </c>
    </row>
    <row r="92" spans="1:7" s="321" customFormat="1" ht="12" customHeight="1" thickBot="1">
      <c r="A92" s="319" t="s">
        <v>486</v>
      </c>
      <c r="B92" s="320" t="s">
        <v>487</v>
      </c>
      <c r="C92" s="320" t="s">
        <v>488</v>
      </c>
      <c r="D92" s="320" t="s">
        <v>490</v>
      </c>
      <c r="E92" s="544" t="s">
        <v>489</v>
      </c>
      <c r="F92" s="544" t="s">
        <v>489</v>
      </c>
      <c r="G92" s="544" t="s">
        <v>489</v>
      </c>
    </row>
    <row r="93" spans="1:7" s="321" customFormat="1" ht="15" customHeight="1" thickBot="1">
      <c r="A93" s="339" t="s">
        <v>16</v>
      </c>
      <c r="B93" s="340" t="s">
        <v>661</v>
      </c>
      <c r="C93" s="557">
        <f>C94+C95+C96+C97+C98+C111</f>
        <v>358150675</v>
      </c>
      <c r="D93" s="557">
        <f>D94+D95+D96+D97+D98+D111</f>
        <v>382028615</v>
      </c>
      <c r="E93" s="558">
        <f>E94+E95+E96+E97+E98+E111</f>
        <v>540903557</v>
      </c>
      <c r="F93" s="558">
        <f>F94+F95+F96+F97+F98+F111</f>
        <v>545100671</v>
      </c>
      <c r="G93" s="558">
        <f>G94+G95+G96+G97+G98+G111</f>
        <v>552254128</v>
      </c>
    </row>
    <row r="94" spans="1:7" s="321" customFormat="1" ht="12.95" customHeight="1">
      <c r="A94" s="341" t="s">
        <v>95</v>
      </c>
      <c r="B94" s="342" t="s">
        <v>46</v>
      </c>
      <c r="C94" s="559">
        <v>70587147</v>
      </c>
      <c r="D94" s="559">
        <v>64235423</v>
      </c>
      <c r="E94" s="560">
        <v>76128455</v>
      </c>
      <c r="F94" s="560">
        <f>76128455+652240</f>
        <v>76780695</v>
      </c>
      <c r="G94" s="560">
        <f>76780695+2595000+80625-3120000-136576</f>
        <v>76199744</v>
      </c>
    </row>
    <row r="95" spans="1:7" ht="16.5" customHeight="1">
      <c r="A95" s="325" t="s">
        <v>96</v>
      </c>
      <c r="B95" s="343" t="s">
        <v>174</v>
      </c>
      <c r="C95" s="561">
        <v>22466345</v>
      </c>
      <c r="D95" s="561">
        <v>19046737</v>
      </c>
      <c r="E95" s="562">
        <v>16384694</v>
      </c>
      <c r="F95" s="562">
        <f>16384694+63592</f>
        <v>16448286</v>
      </c>
      <c r="G95" s="562">
        <f>16448286+506025+27590-608400-30047</f>
        <v>16343454</v>
      </c>
    </row>
    <row r="96" spans="1:7">
      <c r="A96" s="325" t="s">
        <v>97</v>
      </c>
      <c r="B96" s="343" t="s">
        <v>133</v>
      </c>
      <c r="C96" s="563">
        <v>146998058</v>
      </c>
      <c r="D96" s="563">
        <v>163725894</v>
      </c>
      <c r="E96" s="564">
        <v>213143994</v>
      </c>
      <c r="F96" s="564">
        <f>213143994+635000+101600</f>
        <v>213880594</v>
      </c>
      <c r="G96" s="564">
        <f>213143994+635000+101600+533400+167910+190500+34360+13694572+9032376+6502400+702474+132358+1911775+1441313</f>
        <v>248224032</v>
      </c>
    </row>
    <row r="97" spans="1:7" s="321" customFormat="1" ht="12" customHeight="1">
      <c r="A97" s="325" t="s">
        <v>98</v>
      </c>
      <c r="B97" s="344" t="s">
        <v>175</v>
      </c>
      <c r="C97" s="563">
        <v>9265469</v>
      </c>
      <c r="D97" s="563">
        <v>8076040</v>
      </c>
      <c r="E97" s="564">
        <v>9710000</v>
      </c>
      <c r="F97" s="564">
        <v>9710000</v>
      </c>
      <c r="G97" s="564">
        <v>9710000</v>
      </c>
    </row>
    <row r="98" spans="1:7" ht="12" customHeight="1">
      <c r="A98" s="325" t="s">
        <v>109</v>
      </c>
      <c r="B98" s="345" t="s">
        <v>176</v>
      </c>
      <c r="C98" s="564">
        <f>C99+C100+C101+C102+C103+C104+C105+C106+C107+C108+C109+C110</f>
        <v>108833656</v>
      </c>
      <c r="D98" s="564">
        <f>D99+D100+D101+D102+D103+D104+D105+D106+D107+D108+D109+D110</f>
        <v>126944521</v>
      </c>
      <c r="E98" s="564">
        <f>E99+E100+E101+E102+E103+E104+E105+E106+E107+E108+E109+E110</f>
        <v>151918362</v>
      </c>
      <c r="F98" s="564">
        <f>F99+F100+F101+F102+F103+F104+F105+F106+F107+F108+F109+F110</f>
        <v>155906226</v>
      </c>
      <c r="G98" s="564">
        <f>G99+G100+G101+G102+G103+G104+G105+G106+G107+G108+G109+G110</f>
        <v>156786215</v>
      </c>
    </row>
    <row r="99" spans="1:7" ht="12" customHeight="1">
      <c r="A99" s="325" t="s">
        <v>99</v>
      </c>
      <c r="B99" s="343" t="s">
        <v>441</v>
      </c>
      <c r="C99" s="563"/>
      <c r="D99" s="563"/>
      <c r="E99" s="564"/>
      <c r="F99" s="564"/>
      <c r="G99" s="564"/>
    </row>
    <row r="100" spans="1:7" ht="12" customHeight="1">
      <c r="A100" s="325" t="s">
        <v>100</v>
      </c>
      <c r="B100" s="346" t="s">
        <v>440</v>
      </c>
      <c r="C100" s="563"/>
      <c r="D100" s="563"/>
      <c r="E100" s="564"/>
      <c r="F100" s="564"/>
      <c r="G100" s="564"/>
    </row>
    <row r="101" spans="1:7" ht="12" customHeight="1">
      <c r="A101" s="325" t="s">
        <v>110</v>
      </c>
      <c r="B101" s="346" t="s">
        <v>439</v>
      </c>
      <c r="C101" s="563">
        <v>4300930</v>
      </c>
      <c r="D101" s="563">
        <v>532857</v>
      </c>
      <c r="E101" s="564">
        <v>272642</v>
      </c>
      <c r="F101" s="564">
        <v>272642</v>
      </c>
      <c r="G101" s="564">
        <v>272642</v>
      </c>
    </row>
    <row r="102" spans="1:7" ht="12" customHeight="1">
      <c r="A102" s="325" t="s">
        <v>111</v>
      </c>
      <c r="B102" s="347" t="s">
        <v>350</v>
      </c>
      <c r="C102" s="563"/>
      <c r="D102" s="563"/>
      <c r="E102" s="564"/>
      <c r="F102" s="564"/>
      <c r="G102" s="564"/>
    </row>
    <row r="103" spans="1:7" ht="12" customHeight="1">
      <c r="A103" s="325" t="s">
        <v>112</v>
      </c>
      <c r="B103" s="348" t="s">
        <v>351</v>
      </c>
      <c r="C103" s="563"/>
      <c r="D103" s="563"/>
      <c r="E103" s="564"/>
      <c r="F103" s="564"/>
      <c r="G103" s="564"/>
    </row>
    <row r="104" spans="1:7" ht="12" customHeight="1">
      <c r="A104" s="325" t="s">
        <v>113</v>
      </c>
      <c r="B104" s="348" t="s">
        <v>352</v>
      </c>
      <c r="C104" s="563"/>
      <c r="D104" s="563"/>
      <c r="E104" s="564"/>
      <c r="F104" s="564"/>
      <c r="G104" s="564"/>
    </row>
    <row r="105" spans="1:7" ht="12" customHeight="1">
      <c r="A105" s="325" t="s">
        <v>115</v>
      </c>
      <c r="B105" s="347" t="s">
        <v>353</v>
      </c>
      <c r="C105" s="563">
        <v>65369665</v>
      </c>
      <c r="D105" s="563">
        <v>91044964</v>
      </c>
      <c r="E105" s="564">
        <v>112674020</v>
      </c>
      <c r="F105" s="564">
        <f>112674020+3987864</f>
        <v>116661884</v>
      </c>
      <c r="G105" s="564">
        <f>112674020+3987864+1224473-374484</f>
        <v>117511873</v>
      </c>
    </row>
    <row r="106" spans="1:7" ht="12" customHeight="1">
      <c r="A106" s="325" t="s">
        <v>177</v>
      </c>
      <c r="B106" s="347" t="s">
        <v>354</v>
      </c>
      <c r="C106" s="563"/>
      <c r="D106" s="563"/>
      <c r="E106" s="564"/>
      <c r="F106" s="564"/>
      <c r="G106" s="564"/>
    </row>
    <row r="107" spans="1:7" ht="12" customHeight="1">
      <c r="A107" s="325" t="s">
        <v>348</v>
      </c>
      <c r="B107" s="348" t="s">
        <v>355</v>
      </c>
      <c r="C107" s="563"/>
      <c r="D107" s="563"/>
      <c r="E107" s="564"/>
      <c r="F107" s="564"/>
      <c r="G107" s="564"/>
    </row>
    <row r="108" spans="1:7" ht="12" customHeight="1">
      <c r="A108" s="349" t="s">
        <v>349</v>
      </c>
      <c r="B108" s="346" t="s">
        <v>356</v>
      </c>
      <c r="C108" s="563"/>
      <c r="D108" s="563"/>
      <c r="E108" s="564"/>
      <c r="F108" s="564"/>
      <c r="G108" s="564"/>
    </row>
    <row r="109" spans="1:7" ht="12" customHeight="1">
      <c r="A109" s="325" t="s">
        <v>437</v>
      </c>
      <c r="B109" s="346" t="s">
        <v>357</v>
      </c>
      <c r="C109" s="563"/>
      <c r="D109" s="563"/>
      <c r="E109" s="564"/>
      <c r="F109" s="564"/>
      <c r="G109" s="564"/>
    </row>
    <row r="110" spans="1:7" ht="12" customHeight="1">
      <c r="A110" s="327" t="s">
        <v>438</v>
      </c>
      <c r="B110" s="346" t="s">
        <v>358</v>
      </c>
      <c r="C110" s="563">
        <v>39163061</v>
      </c>
      <c r="D110" s="563">
        <v>35366700</v>
      </c>
      <c r="E110" s="564">
        <v>38971700</v>
      </c>
      <c r="F110" s="564">
        <v>38971700</v>
      </c>
      <c r="G110" s="564">
        <f>38971700+30000</f>
        <v>39001700</v>
      </c>
    </row>
    <row r="111" spans="1:7" ht="12" customHeight="1">
      <c r="A111" s="325" t="s">
        <v>442</v>
      </c>
      <c r="B111" s="344" t="s">
        <v>47</v>
      </c>
      <c r="C111" s="561"/>
      <c r="D111" s="561"/>
      <c r="E111" s="562">
        <f>E112+E114</f>
        <v>73618052</v>
      </c>
      <c r="F111" s="562">
        <f>F112+F114</f>
        <v>72374870</v>
      </c>
      <c r="G111" s="562">
        <f>G112+G114</f>
        <v>44990683</v>
      </c>
    </row>
    <row r="112" spans="1:7" ht="12" customHeight="1">
      <c r="A112" s="325" t="s">
        <v>443</v>
      </c>
      <c r="B112" s="343" t="s">
        <v>445</v>
      </c>
      <c r="C112" s="561"/>
      <c r="D112" s="561"/>
      <c r="E112" s="562">
        <v>44412474</v>
      </c>
      <c r="F112" s="562">
        <f>44412474+105000+78540+119640+280587+241524+1919391-3987864</f>
        <v>43169292</v>
      </c>
      <c r="G112" s="562">
        <f>43169292-5717922+82824-350000-152000+187376+293730-1919391-1224473-1000000-3101025-2814800+374484-6055530+782302-8986168-190500-1600000-142575-249000-150000-2774000-5000000+5450000-3086614-597073-30000</f>
        <v>5198937</v>
      </c>
    </row>
    <row r="113" spans="1:7" ht="12" customHeight="1">
      <c r="A113" s="327"/>
      <c r="B113" s="354" t="s">
        <v>749</v>
      </c>
      <c r="C113" s="563"/>
      <c r="D113" s="563"/>
      <c r="E113" s="564"/>
      <c r="F113" s="564"/>
      <c r="G113" s="564">
        <v>172212</v>
      </c>
    </row>
    <row r="114" spans="1:7" ht="12" customHeight="1" thickBot="1">
      <c r="A114" s="350" t="s">
        <v>444</v>
      </c>
      <c r="B114" s="351" t="s">
        <v>446</v>
      </c>
      <c r="C114" s="565"/>
      <c r="D114" s="565"/>
      <c r="E114" s="566">
        <v>29205578</v>
      </c>
      <c r="F114" s="566">
        <v>29205578</v>
      </c>
      <c r="G114" s="566">
        <f>29205578+8986168+1600000</f>
        <v>39791746</v>
      </c>
    </row>
    <row r="115" spans="1:7" ht="12" customHeight="1" thickBot="1">
      <c r="A115" s="352" t="s">
        <v>17</v>
      </c>
      <c r="B115" s="353" t="s">
        <v>662</v>
      </c>
      <c r="C115" s="567">
        <f>+C116+C118+C120</f>
        <v>54127490</v>
      </c>
      <c r="D115" s="567">
        <f>+D116+D118+D120</f>
        <v>100926591</v>
      </c>
      <c r="E115" s="568">
        <f>+E116+E118+E120</f>
        <v>512825959</v>
      </c>
      <c r="F115" s="568">
        <f>+F116+F118+F120</f>
        <v>512089359</v>
      </c>
      <c r="G115" s="568">
        <f>+G116+G118+G120</f>
        <v>511379474</v>
      </c>
    </row>
    <row r="116" spans="1:7" ht="12" customHeight="1">
      <c r="A116" s="324" t="s">
        <v>101</v>
      </c>
      <c r="B116" s="343" t="s">
        <v>219</v>
      </c>
      <c r="C116" s="569">
        <v>42361031</v>
      </c>
      <c r="D116" s="569">
        <v>77599166</v>
      </c>
      <c r="E116" s="570">
        <v>369875414</v>
      </c>
      <c r="F116" s="570">
        <f>369875414-635000-101600</f>
        <v>369138814</v>
      </c>
      <c r="G116" s="570">
        <f>369875414-635000-101600+1000000-76200-13694572-6566274+9196991-1399405+6779509-946684-2746211-1911775-1441313</f>
        <v>357332880</v>
      </c>
    </row>
    <row r="117" spans="1:7">
      <c r="A117" s="324" t="s">
        <v>102</v>
      </c>
      <c r="B117" s="354" t="s">
        <v>362</v>
      </c>
      <c r="C117" s="569"/>
      <c r="D117" s="569"/>
      <c r="E117" s="570"/>
      <c r="F117" s="570"/>
      <c r="G117" s="570"/>
    </row>
    <row r="118" spans="1:7" ht="12" customHeight="1">
      <c r="A118" s="324" t="s">
        <v>103</v>
      </c>
      <c r="B118" s="354" t="s">
        <v>178</v>
      </c>
      <c r="C118" s="561">
        <v>5850626</v>
      </c>
      <c r="D118" s="561">
        <v>20074425</v>
      </c>
      <c r="E118" s="562">
        <v>142950545</v>
      </c>
      <c r="F118" s="562">
        <v>142950545</v>
      </c>
      <c r="G118" s="562">
        <f>142950545+5717922+76200-9032376+13737230+597073</f>
        <v>154046594</v>
      </c>
    </row>
    <row r="119" spans="1:7" ht="12" customHeight="1">
      <c r="A119" s="324" t="s">
        <v>104</v>
      </c>
      <c r="B119" s="354" t="s">
        <v>363</v>
      </c>
      <c r="C119" s="561"/>
      <c r="D119" s="561"/>
      <c r="E119" s="571"/>
      <c r="F119" s="571"/>
      <c r="G119" s="571"/>
    </row>
    <row r="120" spans="1:7" ht="12" customHeight="1">
      <c r="A120" s="324" t="s">
        <v>105</v>
      </c>
      <c r="B120" s="328" t="s">
        <v>222</v>
      </c>
      <c r="C120" s="571">
        <f>C121+C122+C123+C124+C125+C126+C127+C128</f>
        <v>5915833</v>
      </c>
      <c r="D120" s="571">
        <f>D121+D122+D123+D124+D125+D126+D127+D128</f>
        <v>3253000</v>
      </c>
      <c r="E120" s="571">
        <f>E121+E122+E123+E124+E125+E126+E127+E128</f>
        <v>0</v>
      </c>
      <c r="F120" s="571">
        <f>F121+F122+F123+F124+F125+F126+F127+F128</f>
        <v>0</v>
      </c>
      <c r="G120" s="571">
        <f>G121+G122+G123+G124+G125+G126+G127+G128</f>
        <v>0</v>
      </c>
    </row>
    <row r="121" spans="1:7" ht="12" customHeight="1">
      <c r="A121" s="324" t="s">
        <v>114</v>
      </c>
      <c r="B121" s="326" t="s">
        <v>425</v>
      </c>
      <c r="C121" s="561"/>
      <c r="D121" s="561"/>
      <c r="E121" s="571"/>
      <c r="F121" s="571"/>
      <c r="G121" s="571"/>
    </row>
    <row r="122" spans="1:7" ht="12" customHeight="1">
      <c r="A122" s="324" t="s">
        <v>116</v>
      </c>
      <c r="B122" s="355" t="s">
        <v>368</v>
      </c>
      <c r="C122" s="561"/>
      <c r="D122" s="561"/>
      <c r="E122" s="571"/>
      <c r="F122" s="571"/>
      <c r="G122" s="571"/>
    </row>
    <row r="123" spans="1:7" ht="12" customHeight="1">
      <c r="A123" s="324" t="s">
        <v>179</v>
      </c>
      <c r="B123" s="348" t="s">
        <v>352</v>
      </c>
      <c r="C123" s="561"/>
      <c r="D123" s="561"/>
      <c r="E123" s="571"/>
      <c r="F123" s="571"/>
      <c r="G123" s="571"/>
    </row>
    <row r="124" spans="1:7" ht="12" customHeight="1">
      <c r="A124" s="324" t="s">
        <v>180</v>
      </c>
      <c r="B124" s="348" t="s">
        <v>367</v>
      </c>
      <c r="C124" s="561"/>
      <c r="D124" s="561"/>
      <c r="E124" s="571"/>
      <c r="F124" s="571"/>
      <c r="G124" s="571"/>
    </row>
    <row r="125" spans="1:7" ht="12" customHeight="1">
      <c r="A125" s="324" t="s">
        <v>181</v>
      </c>
      <c r="B125" s="348" t="s">
        <v>366</v>
      </c>
      <c r="C125" s="561"/>
      <c r="D125" s="561"/>
      <c r="E125" s="571"/>
      <c r="F125" s="571"/>
      <c r="G125" s="571"/>
    </row>
    <row r="126" spans="1:7" ht="12" customHeight="1">
      <c r="A126" s="324" t="s">
        <v>359</v>
      </c>
      <c r="B126" s="348" t="s">
        <v>355</v>
      </c>
      <c r="C126" s="561"/>
      <c r="D126" s="561"/>
      <c r="E126" s="571"/>
      <c r="F126" s="571"/>
      <c r="G126" s="571"/>
    </row>
    <row r="127" spans="1:7" ht="12" customHeight="1">
      <c r="A127" s="324" t="s">
        <v>360</v>
      </c>
      <c r="B127" s="348" t="s">
        <v>365</v>
      </c>
      <c r="C127" s="561">
        <v>400000</v>
      </c>
      <c r="D127" s="561"/>
      <c r="E127" s="571">
        <f>2000000-2000000</f>
        <v>0</v>
      </c>
      <c r="F127" s="571">
        <f>2000000-2000000</f>
        <v>0</v>
      </c>
      <c r="G127" s="571">
        <f>2000000-2000000</f>
        <v>0</v>
      </c>
    </row>
    <row r="128" spans="1:7" ht="12" customHeight="1" thickBot="1">
      <c r="A128" s="349" t="s">
        <v>361</v>
      </c>
      <c r="B128" s="348" t="s">
        <v>364</v>
      </c>
      <c r="C128" s="563">
        <v>5515833</v>
      </c>
      <c r="D128" s="563">
        <v>3253000</v>
      </c>
      <c r="E128" s="572"/>
      <c r="F128" s="572"/>
      <c r="G128" s="572"/>
    </row>
    <row r="129" spans="1:7" ht="12" customHeight="1" thickBot="1">
      <c r="A129" s="322" t="s">
        <v>18</v>
      </c>
      <c r="B129" s="356" t="s">
        <v>447</v>
      </c>
      <c r="C129" s="573">
        <f>+C93+C115</f>
        <v>412278165</v>
      </c>
      <c r="D129" s="573">
        <f>+D93+D115</f>
        <v>482955206</v>
      </c>
      <c r="E129" s="574">
        <f>+E93+E115</f>
        <v>1053729516</v>
      </c>
      <c r="F129" s="574">
        <f>+F93+F115</f>
        <v>1057190030</v>
      </c>
      <c r="G129" s="574">
        <f>+G93+G115</f>
        <v>1063633602</v>
      </c>
    </row>
    <row r="130" spans="1:7" ht="12" customHeight="1" thickBot="1">
      <c r="A130" s="322" t="s">
        <v>19</v>
      </c>
      <c r="B130" s="356" t="s">
        <v>448</v>
      </c>
      <c r="C130" s="573">
        <f>+C131+C132+C133</f>
        <v>0</v>
      </c>
      <c r="D130" s="573">
        <f>+D131+D132+D133</f>
        <v>0</v>
      </c>
      <c r="E130" s="574">
        <f>+E131+E132+E133</f>
        <v>0</v>
      </c>
      <c r="F130" s="574">
        <f>+F131+F132+F133</f>
        <v>0</v>
      </c>
      <c r="G130" s="574">
        <f>+G131+G132+G133</f>
        <v>0</v>
      </c>
    </row>
    <row r="131" spans="1:7" ht="12" customHeight="1">
      <c r="A131" s="324" t="s">
        <v>260</v>
      </c>
      <c r="B131" s="354" t="s">
        <v>455</v>
      </c>
      <c r="C131" s="561"/>
      <c r="D131" s="561"/>
      <c r="E131" s="571"/>
      <c r="F131" s="571"/>
      <c r="G131" s="571"/>
    </row>
    <row r="132" spans="1:7" ht="12" customHeight="1">
      <c r="A132" s="324" t="s">
        <v>263</v>
      </c>
      <c r="B132" s="354" t="s">
        <v>456</v>
      </c>
      <c r="C132" s="561"/>
      <c r="D132" s="561"/>
      <c r="E132" s="571"/>
      <c r="F132" s="571"/>
      <c r="G132" s="571"/>
    </row>
    <row r="133" spans="1:7" ht="12" customHeight="1" thickBot="1">
      <c r="A133" s="349" t="s">
        <v>264</v>
      </c>
      <c r="B133" s="354" t="s">
        <v>457</v>
      </c>
      <c r="C133" s="561"/>
      <c r="D133" s="561"/>
      <c r="E133" s="571"/>
      <c r="F133" s="571"/>
      <c r="G133" s="571"/>
    </row>
    <row r="134" spans="1:7" ht="12" customHeight="1" thickBot="1">
      <c r="A134" s="322" t="s">
        <v>20</v>
      </c>
      <c r="B134" s="356" t="s">
        <v>449</v>
      </c>
      <c r="C134" s="573">
        <f>SUM(C135:C140)</f>
        <v>0</v>
      </c>
      <c r="D134" s="573">
        <f>SUM(D135:D140)</f>
        <v>0</v>
      </c>
      <c r="E134" s="574">
        <f>SUM(E135:E140)</f>
        <v>0</v>
      </c>
      <c r="F134" s="574">
        <f>SUM(F135:F140)</f>
        <v>0</v>
      </c>
      <c r="G134" s="574">
        <f>SUM(G135:G140)</f>
        <v>0</v>
      </c>
    </row>
    <row r="135" spans="1:7" ht="12" customHeight="1">
      <c r="A135" s="324" t="s">
        <v>88</v>
      </c>
      <c r="B135" s="357" t="s">
        <v>458</v>
      </c>
      <c r="C135" s="561"/>
      <c r="D135" s="561"/>
      <c r="E135" s="571"/>
      <c r="F135" s="571"/>
      <c r="G135" s="571"/>
    </row>
    <row r="136" spans="1:7" ht="12" customHeight="1">
      <c r="A136" s="324" t="s">
        <v>89</v>
      </c>
      <c r="B136" s="357" t="s">
        <v>450</v>
      </c>
      <c r="C136" s="561"/>
      <c r="D136" s="561"/>
      <c r="E136" s="571"/>
      <c r="F136" s="571"/>
      <c r="G136" s="571"/>
    </row>
    <row r="137" spans="1:7" ht="12" customHeight="1">
      <c r="A137" s="324" t="s">
        <v>90</v>
      </c>
      <c r="B137" s="357" t="s">
        <v>451</v>
      </c>
      <c r="C137" s="561"/>
      <c r="D137" s="561"/>
      <c r="E137" s="571"/>
      <c r="F137" s="571"/>
      <c r="G137" s="571"/>
    </row>
    <row r="138" spans="1:7" ht="12" customHeight="1">
      <c r="A138" s="324" t="s">
        <v>166</v>
      </c>
      <c r="B138" s="357" t="s">
        <v>452</v>
      </c>
      <c r="C138" s="561"/>
      <c r="D138" s="561"/>
      <c r="E138" s="571"/>
      <c r="F138" s="571"/>
      <c r="G138" s="571"/>
    </row>
    <row r="139" spans="1:7" ht="12" customHeight="1">
      <c r="A139" s="324" t="s">
        <v>167</v>
      </c>
      <c r="B139" s="357" t="s">
        <v>453</v>
      </c>
      <c r="C139" s="561"/>
      <c r="D139" s="561"/>
      <c r="E139" s="571"/>
      <c r="F139" s="571"/>
      <c r="G139" s="571"/>
    </row>
    <row r="140" spans="1:7" ht="12" customHeight="1" thickBot="1">
      <c r="A140" s="349" t="s">
        <v>168</v>
      </c>
      <c r="B140" s="357" t="s">
        <v>454</v>
      </c>
      <c r="C140" s="561"/>
      <c r="D140" s="561"/>
      <c r="E140" s="571"/>
      <c r="F140" s="571"/>
      <c r="G140" s="571"/>
    </row>
    <row r="141" spans="1:7" ht="12" customHeight="1" thickBot="1">
      <c r="A141" s="322" t="s">
        <v>21</v>
      </c>
      <c r="B141" s="356" t="s">
        <v>462</v>
      </c>
      <c r="C141" s="575">
        <f>+C142+C143+C144+C145</f>
        <v>8111444</v>
      </c>
      <c r="D141" s="575">
        <f>+D142+D143+D144+D145</f>
        <v>8090229</v>
      </c>
      <c r="E141" s="576">
        <f>+E142+E143+E144+E145</f>
        <v>7960578</v>
      </c>
      <c r="F141" s="576">
        <f>+F142+F143+F144+F145</f>
        <v>8033142</v>
      </c>
      <c r="G141" s="576">
        <f>+G142+G143+G144+G145</f>
        <v>8033142</v>
      </c>
    </row>
    <row r="142" spans="1:7" ht="12" customHeight="1">
      <c r="A142" s="324" t="s">
        <v>91</v>
      </c>
      <c r="B142" s="357" t="s">
        <v>369</v>
      </c>
      <c r="C142" s="561"/>
      <c r="D142" s="561"/>
      <c r="E142" s="571"/>
      <c r="F142" s="571"/>
      <c r="G142" s="571"/>
    </row>
    <row r="143" spans="1:7" ht="12" customHeight="1">
      <c r="A143" s="324" t="s">
        <v>92</v>
      </c>
      <c r="B143" s="357" t="s">
        <v>370</v>
      </c>
      <c r="C143" s="561">
        <v>8111444</v>
      </c>
      <c r="D143" s="561">
        <v>8090229</v>
      </c>
      <c r="E143" s="571">
        <v>7960578</v>
      </c>
      <c r="F143" s="571">
        <f>7960578+72564</f>
        <v>8033142</v>
      </c>
      <c r="G143" s="571">
        <f>7960578+72564</f>
        <v>8033142</v>
      </c>
    </row>
    <row r="144" spans="1:7" ht="12" customHeight="1">
      <c r="A144" s="324" t="s">
        <v>284</v>
      </c>
      <c r="B144" s="357" t="s">
        <v>463</v>
      </c>
      <c r="C144" s="561"/>
      <c r="D144" s="561"/>
      <c r="E144" s="571"/>
      <c r="F144" s="571"/>
      <c r="G144" s="571"/>
    </row>
    <row r="145" spans="1:7" ht="12" customHeight="1" thickBot="1">
      <c r="A145" s="349" t="s">
        <v>285</v>
      </c>
      <c r="B145" s="358" t="s">
        <v>389</v>
      </c>
      <c r="C145" s="561"/>
      <c r="D145" s="561"/>
      <c r="E145" s="571"/>
      <c r="F145" s="571"/>
      <c r="G145" s="571"/>
    </row>
    <row r="146" spans="1:7" ht="12" customHeight="1" thickBot="1">
      <c r="A146" s="322" t="s">
        <v>22</v>
      </c>
      <c r="B146" s="356" t="s">
        <v>464</v>
      </c>
      <c r="C146" s="577">
        <f>SUM(C147:C151)</f>
        <v>0</v>
      </c>
      <c r="D146" s="577">
        <f>SUM(D147:D151)</f>
        <v>0</v>
      </c>
      <c r="E146" s="578">
        <f>SUM(E147:E151)</f>
        <v>0</v>
      </c>
      <c r="F146" s="578">
        <f>SUM(F147:F151)</f>
        <v>0</v>
      </c>
      <c r="G146" s="578">
        <f>SUM(G147:G151)</f>
        <v>0</v>
      </c>
    </row>
    <row r="147" spans="1:7" ht="12" customHeight="1">
      <c r="A147" s="324" t="s">
        <v>93</v>
      </c>
      <c r="B147" s="357" t="s">
        <v>459</v>
      </c>
      <c r="C147" s="561"/>
      <c r="D147" s="561"/>
      <c r="E147" s="571"/>
      <c r="F147" s="571"/>
      <c r="G147" s="571"/>
    </row>
    <row r="148" spans="1:7" ht="12" customHeight="1">
      <c r="A148" s="324" t="s">
        <v>94</v>
      </c>
      <c r="B148" s="357" t="s">
        <v>466</v>
      </c>
      <c r="C148" s="561"/>
      <c r="D148" s="561"/>
      <c r="E148" s="571"/>
      <c r="F148" s="571"/>
      <c r="G148" s="571"/>
    </row>
    <row r="149" spans="1:7" ht="12" customHeight="1">
      <c r="A149" s="324" t="s">
        <v>296</v>
      </c>
      <c r="B149" s="357" t="s">
        <v>461</v>
      </c>
      <c r="C149" s="561"/>
      <c r="D149" s="561"/>
      <c r="E149" s="571"/>
      <c r="F149" s="571"/>
      <c r="G149" s="571"/>
    </row>
    <row r="150" spans="1:7" ht="12" customHeight="1">
      <c r="A150" s="324" t="s">
        <v>297</v>
      </c>
      <c r="B150" s="357" t="s">
        <v>467</v>
      </c>
      <c r="C150" s="561"/>
      <c r="D150" s="561"/>
      <c r="E150" s="571"/>
      <c r="F150" s="571"/>
      <c r="G150" s="571"/>
    </row>
    <row r="151" spans="1:7" ht="12" customHeight="1" thickBot="1">
      <c r="A151" s="324" t="s">
        <v>465</v>
      </c>
      <c r="B151" s="357" t="s">
        <v>468</v>
      </c>
      <c r="C151" s="561"/>
      <c r="D151" s="561"/>
      <c r="E151" s="571"/>
      <c r="F151" s="571"/>
      <c r="G151" s="571"/>
    </row>
    <row r="152" spans="1:7" ht="12" customHeight="1" thickBot="1">
      <c r="A152" s="322" t="s">
        <v>23</v>
      </c>
      <c r="B152" s="356" t="s">
        <v>469</v>
      </c>
      <c r="C152" s="579"/>
      <c r="D152" s="579"/>
      <c r="E152" s="580"/>
      <c r="F152" s="580"/>
      <c r="G152" s="580"/>
    </row>
    <row r="153" spans="1:7" ht="12" customHeight="1" thickBot="1">
      <c r="A153" s="322" t="s">
        <v>24</v>
      </c>
      <c r="B153" s="356" t="s">
        <v>580</v>
      </c>
      <c r="C153" s="579">
        <v>136629973</v>
      </c>
      <c r="D153" s="579">
        <v>141018244</v>
      </c>
      <c r="E153" s="580">
        <v>161906950</v>
      </c>
      <c r="F153" s="580">
        <v>161906950</v>
      </c>
      <c r="G153" s="580">
        <f>161906950+411269+605530-782302</f>
        <v>162141447</v>
      </c>
    </row>
    <row r="154" spans="1:7" ht="15" customHeight="1" thickBot="1">
      <c r="A154" s="322" t="s">
        <v>25</v>
      </c>
      <c r="B154" s="356" t="s">
        <v>472</v>
      </c>
      <c r="C154" s="581">
        <f>+C130+C134+C141+C146+C152+C153</f>
        <v>144741417</v>
      </c>
      <c r="D154" s="581">
        <f>+D130+D134+D141+D146+D152+D153</f>
        <v>149108473</v>
      </c>
      <c r="E154" s="582">
        <f>+E130+E134+E141+E146+E152+E153</f>
        <v>169867528</v>
      </c>
      <c r="F154" s="582">
        <f>+F130+F134+F141+F146+F152+F153</f>
        <v>169940092</v>
      </c>
      <c r="G154" s="582">
        <f>+G130+G134+G141+G146+G152+G153</f>
        <v>170174589</v>
      </c>
    </row>
    <row r="155" spans="1:7" ht="15" customHeight="1" thickBot="1">
      <c r="A155" s="352" t="s">
        <v>26</v>
      </c>
      <c r="B155" s="359" t="s">
        <v>559</v>
      </c>
      <c r="C155" s="581"/>
      <c r="D155" s="581"/>
      <c r="E155" s="582"/>
      <c r="F155" s="582"/>
      <c r="G155" s="582"/>
    </row>
    <row r="156" spans="1:7" s="321" customFormat="1" ht="12.95" customHeight="1" thickBot="1">
      <c r="A156" s="360" t="s">
        <v>27</v>
      </c>
      <c r="B156" s="361" t="s">
        <v>471</v>
      </c>
      <c r="C156" s="581">
        <f>+C129+C154+C155</f>
        <v>557019582</v>
      </c>
      <c r="D156" s="581">
        <f>+D129+D154+D155</f>
        <v>632063679</v>
      </c>
      <c r="E156" s="581">
        <f>+E129+E154+E155</f>
        <v>1223597044</v>
      </c>
      <c r="F156" s="581">
        <f>+F129+F154+F155</f>
        <v>1227130122</v>
      </c>
      <c r="G156" s="581">
        <f>+G129+G154+G155</f>
        <v>1233808191</v>
      </c>
    </row>
    <row r="157" spans="1:7">
      <c r="C157" s="688"/>
    </row>
    <row r="158" spans="1:7">
      <c r="C158" s="690"/>
      <c r="D158" s="690"/>
      <c r="E158" s="690">
        <f>E88-E156</f>
        <v>0</v>
      </c>
      <c r="F158" s="690">
        <f>F88-F156</f>
        <v>0</v>
      </c>
      <c r="G158" s="690">
        <f>G88-G156</f>
        <v>0</v>
      </c>
    </row>
    <row r="159" spans="1:7">
      <c r="C159" s="688"/>
    </row>
    <row r="160" spans="1:7" ht="16.5" customHeight="1">
      <c r="C160" s="688"/>
    </row>
    <row r="161" spans="3:3">
      <c r="C161" s="688"/>
    </row>
    <row r="162" spans="3:3">
      <c r="C162" s="688"/>
    </row>
    <row r="163" spans="3:3">
      <c r="C163" s="688"/>
    </row>
    <row r="164" spans="3:3">
      <c r="C164" s="688"/>
    </row>
    <row r="165" spans="3:3">
      <c r="C165" s="688"/>
    </row>
    <row r="166" spans="3:3">
      <c r="C166" s="688"/>
    </row>
    <row r="167" spans="3:3">
      <c r="C167" s="688"/>
    </row>
    <row r="168" spans="3:3">
      <c r="C168" s="688"/>
    </row>
    <row r="169" spans="3:3">
      <c r="C169" s="688"/>
    </row>
  </sheetData>
  <mergeCells count="4">
    <mergeCell ref="A1:D1"/>
    <mergeCell ref="A89:D89"/>
    <mergeCell ref="A90:B90"/>
    <mergeCell ref="A2:B2"/>
  </mergeCells>
  <phoneticPr fontId="6" type="noConversion"/>
  <printOptions horizontalCentered="1"/>
  <pageMargins left="0.78740157480314965" right="0.78740157480314965" top="1.4566929133858268" bottom="0.87" header="0.78740157480314965" footer="0.57999999999999996"/>
  <pageSetup paperSize="9" scale="85" fitToWidth="3" fitToHeight="2" orientation="landscape" r:id="rId1"/>
  <headerFooter alignWithMargins="0">
    <oddHeader>&amp;C&amp;"Times New Roman CE,Félkövér"&amp;12&amp;UTájékoztató kimutatások, mérlegek&amp;U
Vonyarcvashegy Nagyközség Önkormányzata
2018. ÉVI KÖLTSÉGVETÉSÉNEK MÉRLEGE&amp;R&amp;"Times New Roman CE,Félkövér dőlt"&amp;11 1. számú tájékoztató tábla</oddHeader>
    <oddFooter>&amp;P. oldal, összesen: &amp;N</oddFooter>
  </headerFooter>
  <rowBreaks count="4" manualBreakCount="4">
    <brk id="34" max="6" man="1"/>
    <brk id="62" max="6" man="1"/>
    <brk id="88" max="6" man="1"/>
    <brk id="129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9">
    <tabColor rgb="FFFFFF00"/>
  </sheetPr>
  <dimension ref="A1:I18"/>
  <sheetViews>
    <sheetView zoomScaleNormal="100" workbookViewId="0">
      <selection activeCell="H6" sqref="H6"/>
    </sheetView>
  </sheetViews>
  <sheetFormatPr defaultRowHeight="12.75"/>
  <cols>
    <col min="1" max="1" width="6.83203125" style="299" customWidth="1"/>
    <col min="2" max="2" width="49.6640625" style="300" customWidth="1"/>
    <col min="3" max="3" width="12.83203125" style="300" customWidth="1"/>
    <col min="4" max="4" width="13.33203125" style="300" bestFit="1" customWidth="1"/>
    <col min="5" max="8" width="12.83203125" style="300" customWidth="1"/>
    <col min="9" max="9" width="14.33203125" style="300" customWidth="1"/>
    <col min="10" max="16384" width="9.33203125" style="300"/>
  </cols>
  <sheetData>
    <row r="1" spans="1:9" ht="27.75" customHeight="1">
      <c r="A1" s="743" t="s">
        <v>4</v>
      </c>
      <c r="B1" s="743"/>
      <c r="C1" s="743"/>
      <c r="D1" s="743"/>
      <c r="E1" s="743"/>
      <c r="F1" s="743"/>
      <c r="G1" s="743"/>
      <c r="H1" s="743"/>
      <c r="I1" s="743"/>
    </row>
    <row r="2" spans="1:9" ht="20.25" customHeight="1" thickBot="1">
      <c r="I2" s="395" t="s">
        <v>589</v>
      </c>
    </row>
    <row r="3" spans="1:9" s="396" customFormat="1" ht="26.25" customHeight="1">
      <c r="A3" s="695" t="s">
        <v>66</v>
      </c>
      <c r="B3" s="746" t="s">
        <v>82</v>
      </c>
      <c r="C3" s="695" t="s">
        <v>83</v>
      </c>
      <c r="D3" s="695" t="s">
        <v>707</v>
      </c>
      <c r="E3" s="748" t="s">
        <v>65</v>
      </c>
      <c r="F3" s="749"/>
      <c r="G3" s="749"/>
      <c r="H3" s="750"/>
      <c r="I3" s="746" t="s">
        <v>48</v>
      </c>
    </row>
    <row r="4" spans="1:9" s="399" customFormat="1" ht="32.25" customHeight="1" thickBot="1">
      <c r="A4" s="696"/>
      <c r="B4" s="747"/>
      <c r="C4" s="747"/>
      <c r="D4" s="696"/>
      <c r="E4" s="397" t="s">
        <v>597</v>
      </c>
      <c r="F4" s="397" t="s">
        <v>598</v>
      </c>
      <c r="G4" s="397" t="s">
        <v>607</v>
      </c>
      <c r="H4" s="398" t="s">
        <v>701</v>
      </c>
      <c r="I4" s="747"/>
    </row>
    <row r="5" spans="1:9" s="403" customFormat="1" ht="12.95" customHeight="1" thickBot="1">
      <c r="A5" s="400" t="s">
        <v>486</v>
      </c>
      <c r="B5" s="232" t="s">
        <v>487</v>
      </c>
      <c r="C5" s="401" t="s">
        <v>488</v>
      </c>
      <c r="D5" s="232" t="s">
        <v>490</v>
      </c>
      <c r="E5" s="400" t="s">
        <v>489</v>
      </c>
      <c r="F5" s="401" t="s">
        <v>491</v>
      </c>
      <c r="G5" s="401" t="s">
        <v>493</v>
      </c>
      <c r="H5" s="234" t="s">
        <v>494</v>
      </c>
      <c r="I5" s="402" t="s">
        <v>495</v>
      </c>
    </row>
    <row r="6" spans="1:9" ht="24.75" customHeight="1" thickBot="1">
      <c r="A6" s="233" t="s">
        <v>16</v>
      </c>
      <c r="B6" s="404" t="s">
        <v>5</v>
      </c>
      <c r="C6" s="405"/>
      <c r="D6" s="406">
        <f>+D7+D8</f>
        <v>0</v>
      </c>
      <c r="E6" s="407">
        <f>+E7+E8</f>
        <v>0</v>
      </c>
      <c r="F6" s="408">
        <f>+F7+F8</f>
        <v>0</v>
      </c>
      <c r="G6" s="408">
        <f>+G7+G8</f>
        <v>0</v>
      </c>
      <c r="H6" s="409">
        <f>+H7+H8</f>
        <v>0</v>
      </c>
      <c r="I6" s="406">
        <f t="shared" ref="I6:I17" si="0">SUM(D6:H6)</f>
        <v>0</v>
      </c>
    </row>
    <row r="7" spans="1:9" ht="20.100000000000001" customHeight="1">
      <c r="A7" s="410" t="s">
        <v>17</v>
      </c>
      <c r="B7" s="411" t="s">
        <v>67</v>
      </c>
      <c r="C7" s="316"/>
      <c r="D7" s="412"/>
      <c r="E7" s="413"/>
      <c r="F7" s="414"/>
      <c r="G7" s="414"/>
      <c r="H7" s="415"/>
      <c r="I7" s="416">
        <f t="shared" si="0"/>
        <v>0</v>
      </c>
    </row>
    <row r="8" spans="1:9" ht="20.100000000000001" customHeight="1" thickBot="1">
      <c r="A8" s="410" t="s">
        <v>18</v>
      </c>
      <c r="B8" s="411" t="s">
        <v>67</v>
      </c>
      <c r="C8" s="316"/>
      <c r="D8" s="412"/>
      <c r="E8" s="413"/>
      <c r="F8" s="414"/>
      <c r="G8" s="414"/>
      <c r="H8" s="415"/>
      <c r="I8" s="416">
        <f t="shared" si="0"/>
        <v>0</v>
      </c>
    </row>
    <row r="9" spans="1:9" ht="26.1" customHeight="1" thickBot="1">
      <c r="A9" s="233" t="s">
        <v>19</v>
      </c>
      <c r="B9" s="404" t="s">
        <v>6</v>
      </c>
      <c r="C9" s="417"/>
      <c r="D9" s="406">
        <f>+D10+D11</f>
        <v>0</v>
      </c>
      <c r="E9" s="407">
        <f>+E10+E11</f>
        <v>0</v>
      </c>
      <c r="F9" s="408">
        <f>+F10+F11</f>
        <v>0</v>
      </c>
      <c r="G9" s="408">
        <f>+G10+G11</f>
        <v>0</v>
      </c>
      <c r="H9" s="409">
        <f>+H10+H11</f>
        <v>0</v>
      </c>
      <c r="I9" s="406">
        <f t="shared" si="0"/>
        <v>0</v>
      </c>
    </row>
    <row r="10" spans="1:9" ht="20.100000000000001" customHeight="1">
      <c r="A10" s="410" t="s">
        <v>20</v>
      </c>
      <c r="B10" s="411" t="s">
        <v>67</v>
      </c>
      <c r="C10" s="316"/>
      <c r="D10" s="412"/>
      <c r="E10" s="413"/>
      <c r="F10" s="414"/>
      <c r="G10" s="414"/>
      <c r="H10" s="415"/>
      <c r="I10" s="416">
        <f t="shared" si="0"/>
        <v>0</v>
      </c>
    </row>
    <row r="11" spans="1:9" ht="20.100000000000001" customHeight="1" thickBot="1">
      <c r="A11" s="410" t="s">
        <v>21</v>
      </c>
      <c r="B11" s="411" t="s">
        <v>67</v>
      </c>
      <c r="C11" s="316"/>
      <c r="D11" s="412"/>
      <c r="E11" s="413"/>
      <c r="F11" s="414"/>
      <c r="G11" s="414"/>
      <c r="H11" s="415"/>
      <c r="I11" s="416">
        <f t="shared" si="0"/>
        <v>0</v>
      </c>
    </row>
    <row r="12" spans="1:9" ht="20.100000000000001" customHeight="1" thickBot="1">
      <c r="A12" s="233" t="s">
        <v>22</v>
      </c>
      <c r="B12" s="404" t="s">
        <v>197</v>
      </c>
      <c r="C12" s="417"/>
      <c r="D12" s="406">
        <f>+D13</f>
        <v>0</v>
      </c>
      <c r="E12" s="407">
        <f>+E13</f>
        <v>0</v>
      </c>
      <c r="F12" s="408">
        <f>+F13</f>
        <v>0</v>
      </c>
      <c r="G12" s="408">
        <f>+G13</f>
        <v>0</v>
      </c>
      <c r="H12" s="409">
        <f>+H13</f>
        <v>0</v>
      </c>
      <c r="I12" s="406">
        <f t="shared" si="0"/>
        <v>0</v>
      </c>
    </row>
    <row r="13" spans="1:9" ht="20.100000000000001" customHeight="1" thickBot="1">
      <c r="A13" s="410" t="s">
        <v>23</v>
      </c>
      <c r="B13" s="411" t="s">
        <v>67</v>
      </c>
      <c r="C13" s="316"/>
      <c r="D13" s="412"/>
      <c r="E13" s="413"/>
      <c r="F13" s="414"/>
      <c r="G13" s="414"/>
      <c r="H13" s="415"/>
      <c r="I13" s="416">
        <f t="shared" si="0"/>
        <v>0</v>
      </c>
    </row>
    <row r="14" spans="1:9" ht="20.100000000000001" customHeight="1" thickBot="1">
      <c r="A14" s="233" t="s">
        <v>24</v>
      </c>
      <c r="B14" s="404" t="s">
        <v>198</v>
      </c>
      <c r="C14" s="417"/>
      <c r="D14" s="406">
        <f>+D15</f>
        <v>0</v>
      </c>
      <c r="E14" s="407">
        <f>+E15</f>
        <v>0</v>
      </c>
      <c r="F14" s="408">
        <f>+F15</f>
        <v>0</v>
      </c>
      <c r="G14" s="408">
        <f>+G15</f>
        <v>0</v>
      </c>
      <c r="H14" s="409">
        <f>+H15</f>
        <v>0</v>
      </c>
      <c r="I14" s="406">
        <f t="shared" si="0"/>
        <v>0</v>
      </c>
    </row>
    <row r="15" spans="1:9" ht="20.100000000000001" customHeight="1" thickBot="1">
      <c r="A15" s="418" t="s">
        <v>25</v>
      </c>
      <c r="B15" s="419" t="s">
        <v>67</v>
      </c>
      <c r="C15" s="317"/>
      <c r="D15" s="420"/>
      <c r="E15" s="421"/>
      <c r="F15" s="422"/>
      <c r="G15" s="422"/>
      <c r="H15" s="423"/>
      <c r="I15" s="424">
        <f t="shared" si="0"/>
        <v>0</v>
      </c>
    </row>
    <row r="16" spans="1:9" ht="20.100000000000001" customHeight="1" thickBot="1">
      <c r="A16" s="233" t="s">
        <v>26</v>
      </c>
      <c r="B16" s="404" t="s">
        <v>199</v>
      </c>
      <c r="C16" s="417"/>
      <c r="D16" s="406">
        <f>+D17</f>
        <v>0</v>
      </c>
      <c r="E16" s="407">
        <f>+E17</f>
        <v>0</v>
      </c>
      <c r="F16" s="408">
        <f>+F17</f>
        <v>0</v>
      </c>
      <c r="G16" s="408">
        <f>+G17</f>
        <v>0</v>
      </c>
      <c r="H16" s="409">
        <f>+H17</f>
        <v>0</v>
      </c>
      <c r="I16" s="406">
        <f t="shared" si="0"/>
        <v>0</v>
      </c>
    </row>
    <row r="17" spans="1:9" ht="20.100000000000001" customHeight="1" thickBot="1">
      <c r="A17" s="425" t="s">
        <v>27</v>
      </c>
      <c r="B17" s="426" t="s">
        <v>67</v>
      </c>
      <c r="C17" s="427"/>
      <c r="D17" s="428"/>
      <c r="E17" s="429"/>
      <c r="F17" s="430"/>
      <c r="G17" s="430"/>
      <c r="H17" s="431"/>
      <c r="I17" s="432">
        <f t="shared" si="0"/>
        <v>0</v>
      </c>
    </row>
    <row r="18" spans="1:9" ht="20.100000000000001" customHeight="1" thickBot="1">
      <c r="A18" s="744" t="s">
        <v>139</v>
      </c>
      <c r="B18" s="745"/>
      <c r="C18" s="433"/>
      <c r="D18" s="406">
        <f t="shared" ref="D18:I18" si="1">+D6+D9+D12+D14+D16</f>
        <v>0</v>
      </c>
      <c r="E18" s="407">
        <f t="shared" si="1"/>
        <v>0</v>
      </c>
      <c r="F18" s="408">
        <f t="shared" si="1"/>
        <v>0</v>
      </c>
      <c r="G18" s="408">
        <f t="shared" si="1"/>
        <v>0</v>
      </c>
      <c r="H18" s="409">
        <f t="shared" si="1"/>
        <v>0</v>
      </c>
      <c r="I18" s="406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7" orientation="landscape" verticalDpi="300" r:id="rId1"/>
  <headerFooter alignWithMargins="0">
    <oddHeader>&amp;CVonyarcvashegy Nagyközség Önkormányzata
&amp;R 3. tájékoztató tábla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FFC000"/>
  </sheetPr>
  <dimension ref="A1:E159"/>
  <sheetViews>
    <sheetView view="pageLayout" zoomScaleNormal="100" zoomScaleSheetLayoutView="100" workbookViewId="0">
      <selection activeCell="H13" sqref="H13"/>
    </sheetView>
  </sheetViews>
  <sheetFormatPr defaultRowHeight="12.75"/>
  <cols>
    <col min="1" max="1" width="7.1640625" style="164" bestFit="1" customWidth="1"/>
    <col min="2" max="2" width="67.1640625" style="165" bestFit="1" customWidth="1"/>
    <col min="3" max="5" width="21.33203125" style="639" customWidth="1"/>
    <col min="6" max="16384" width="9.33203125" style="166"/>
  </cols>
  <sheetData>
    <row r="1" spans="1:5" s="71" customFormat="1" ht="15.75">
      <c r="B1" s="510" t="s">
        <v>690</v>
      </c>
      <c r="C1" s="146"/>
      <c r="D1" s="146"/>
      <c r="E1" s="146"/>
    </row>
    <row r="2" spans="1:5" s="71" customFormat="1" ht="15.75">
      <c r="B2" s="510" t="s">
        <v>689</v>
      </c>
      <c r="C2" s="146"/>
      <c r="D2" s="146"/>
      <c r="E2" s="146"/>
    </row>
    <row r="3" spans="1:5" s="71" customFormat="1" ht="15.75">
      <c r="B3" s="518" t="s">
        <v>693</v>
      </c>
      <c r="C3" s="146"/>
      <c r="D3" s="146"/>
      <c r="E3" s="146"/>
    </row>
    <row r="6" spans="1:5" s="71" customFormat="1" ht="15.95" customHeight="1">
      <c r="A6" s="692" t="s">
        <v>584</v>
      </c>
      <c r="B6" s="692"/>
    </row>
    <row r="7" spans="1:5" s="71" customFormat="1" ht="15.95" customHeight="1" thickBot="1">
      <c r="A7" s="691" t="s">
        <v>144</v>
      </c>
      <c r="B7" s="691"/>
      <c r="C7" s="638" t="s">
        <v>589</v>
      </c>
      <c r="D7" s="638" t="s">
        <v>589</v>
      </c>
      <c r="E7" s="638" t="s">
        <v>589</v>
      </c>
    </row>
    <row r="8" spans="1:5" s="71" customFormat="1" ht="38.1" customHeight="1" thickBot="1">
      <c r="A8" s="73" t="s">
        <v>66</v>
      </c>
      <c r="B8" s="74" t="s">
        <v>15</v>
      </c>
      <c r="C8" s="16" t="s">
        <v>688</v>
      </c>
      <c r="D8" s="16" t="s">
        <v>739</v>
      </c>
      <c r="E8" s="305" t="s">
        <v>744</v>
      </c>
    </row>
    <row r="9" spans="1:5" s="78" customFormat="1" ht="12" customHeight="1" thickBot="1">
      <c r="A9" s="75" t="s">
        <v>486</v>
      </c>
      <c r="B9" s="76" t="s">
        <v>487</v>
      </c>
      <c r="C9" s="77" t="s">
        <v>488</v>
      </c>
      <c r="D9" s="77" t="s">
        <v>488</v>
      </c>
      <c r="E9" s="77" t="s">
        <v>488</v>
      </c>
    </row>
    <row r="10" spans="1:5" s="82" customFormat="1" ht="12" customHeight="1" thickBot="1">
      <c r="A10" s="79" t="s">
        <v>16</v>
      </c>
      <c r="B10" s="80" t="s">
        <v>244</v>
      </c>
      <c r="C10" s="81">
        <f>+C11+C12+C13+C14+C15+C16</f>
        <v>0</v>
      </c>
      <c r="D10" s="81">
        <f>+D11+D12+D13+D14+D15+D16</f>
        <v>0</v>
      </c>
      <c r="E10" s="81">
        <f>+E11+E12+E13+E14+E15+E16</f>
        <v>0</v>
      </c>
    </row>
    <row r="11" spans="1:5" s="82" customFormat="1" ht="12" customHeight="1">
      <c r="A11" s="83" t="s">
        <v>95</v>
      </c>
      <c r="B11" s="84" t="s">
        <v>245</v>
      </c>
      <c r="C11" s="85"/>
      <c r="D11" s="85"/>
      <c r="E11" s="85"/>
    </row>
    <row r="12" spans="1:5" s="82" customFormat="1" ht="12" customHeight="1">
      <c r="A12" s="86" t="s">
        <v>96</v>
      </c>
      <c r="B12" s="87" t="s">
        <v>246</v>
      </c>
      <c r="C12" s="88"/>
      <c r="D12" s="88"/>
      <c r="E12" s="88"/>
    </row>
    <row r="13" spans="1:5" s="82" customFormat="1" ht="12" customHeight="1">
      <c r="A13" s="86" t="s">
        <v>97</v>
      </c>
      <c r="B13" s="87" t="s">
        <v>247</v>
      </c>
      <c r="C13" s="88"/>
      <c r="D13" s="88"/>
      <c r="E13" s="88"/>
    </row>
    <row r="14" spans="1:5" s="82" customFormat="1" ht="12" customHeight="1">
      <c r="A14" s="86" t="s">
        <v>98</v>
      </c>
      <c r="B14" s="87" t="s">
        <v>248</v>
      </c>
      <c r="C14" s="88"/>
      <c r="D14" s="88"/>
      <c r="E14" s="88"/>
    </row>
    <row r="15" spans="1:5" s="82" customFormat="1" ht="12" customHeight="1">
      <c r="A15" s="86" t="s">
        <v>141</v>
      </c>
      <c r="B15" s="89" t="s">
        <v>429</v>
      </c>
      <c r="C15" s="88"/>
      <c r="D15" s="88"/>
      <c r="E15" s="88"/>
    </row>
    <row r="16" spans="1:5" s="82" customFormat="1" ht="12" customHeight="1" thickBot="1">
      <c r="A16" s="90" t="s">
        <v>99</v>
      </c>
      <c r="B16" s="91" t="s">
        <v>430</v>
      </c>
      <c r="C16" s="88"/>
      <c r="D16" s="88"/>
      <c r="E16" s="88"/>
    </row>
    <row r="17" spans="1:5" s="82" customFormat="1" ht="12" customHeight="1" thickBot="1">
      <c r="A17" s="79" t="s">
        <v>17</v>
      </c>
      <c r="B17" s="92" t="s">
        <v>249</v>
      </c>
      <c r="C17" s="81">
        <f>+C18+C19+C20+C21+C22</f>
        <v>0</v>
      </c>
      <c r="D17" s="81">
        <f>+D18+D19+D20+D21+D22</f>
        <v>0</v>
      </c>
      <c r="E17" s="81">
        <f>+E18+E19+E20+E21+E22</f>
        <v>0</v>
      </c>
    </row>
    <row r="18" spans="1:5" s="82" customFormat="1" ht="12" customHeight="1">
      <c r="A18" s="83" t="s">
        <v>101</v>
      </c>
      <c r="B18" s="84" t="s">
        <v>250</v>
      </c>
      <c r="C18" s="85"/>
      <c r="D18" s="85"/>
      <c r="E18" s="85"/>
    </row>
    <row r="19" spans="1:5" s="82" customFormat="1" ht="12" customHeight="1">
      <c r="A19" s="86" t="s">
        <v>102</v>
      </c>
      <c r="B19" s="87" t="s">
        <v>251</v>
      </c>
      <c r="C19" s="88"/>
      <c r="D19" s="88"/>
      <c r="E19" s="88"/>
    </row>
    <row r="20" spans="1:5" s="82" customFormat="1" ht="12" customHeight="1">
      <c r="A20" s="86" t="s">
        <v>103</v>
      </c>
      <c r="B20" s="87" t="s">
        <v>419</v>
      </c>
      <c r="C20" s="88"/>
      <c r="D20" s="88"/>
      <c r="E20" s="88"/>
    </row>
    <row r="21" spans="1:5" s="82" customFormat="1" ht="12" customHeight="1">
      <c r="A21" s="86" t="s">
        <v>104</v>
      </c>
      <c r="B21" s="87" t="s">
        <v>420</v>
      </c>
      <c r="C21" s="88"/>
      <c r="D21" s="88"/>
      <c r="E21" s="88"/>
    </row>
    <row r="22" spans="1:5" s="82" customFormat="1" ht="12" customHeight="1">
      <c r="A22" s="86" t="s">
        <v>105</v>
      </c>
      <c r="B22" s="87" t="s">
        <v>252</v>
      </c>
      <c r="C22" s="88"/>
      <c r="D22" s="88"/>
      <c r="E22" s="88"/>
    </row>
    <row r="23" spans="1:5" s="82" customFormat="1" ht="12" customHeight="1" thickBot="1">
      <c r="A23" s="90" t="s">
        <v>114</v>
      </c>
      <c r="B23" s="91" t="s">
        <v>253</v>
      </c>
      <c r="C23" s="93"/>
      <c r="D23" s="93"/>
      <c r="E23" s="93"/>
    </row>
    <row r="24" spans="1:5" s="82" customFormat="1" ht="12" customHeight="1" thickBot="1">
      <c r="A24" s="79" t="s">
        <v>18</v>
      </c>
      <c r="B24" s="80" t="s">
        <v>254</v>
      </c>
      <c r="C24" s="81">
        <f>+C25+C26+C27+C28+C29</f>
        <v>0</v>
      </c>
      <c r="D24" s="81">
        <f>+D25+D26+D27+D28+D29</f>
        <v>0</v>
      </c>
      <c r="E24" s="81">
        <f>+E25+E26+E27+E28+E29</f>
        <v>0</v>
      </c>
    </row>
    <row r="25" spans="1:5" s="82" customFormat="1" ht="12" customHeight="1">
      <c r="A25" s="83" t="s">
        <v>84</v>
      </c>
      <c r="B25" s="84" t="s">
        <v>255</v>
      </c>
      <c r="C25" s="85"/>
      <c r="D25" s="85"/>
      <c r="E25" s="85"/>
    </row>
    <row r="26" spans="1:5" s="82" customFormat="1" ht="12" customHeight="1">
      <c r="A26" s="86" t="s">
        <v>85</v>
      </c>
      <c r="B26" s="87" t="s">
        <v>256</v>
      </c>
      <c r="C26" s="88"/>
      <c r="D26" s="88"/>
      <c r="E26" s="88"/>
    </row>
    <row r="27" spans="1:5" s="82" customFormat="1" ht="12" customHeight="1">
      <c r="A27" s="86" t="s">
        <v>86</v>
      </c>
      <c r="B27" s="87" t="s">
        <v>421</v>
      </c>
      <c r="C27" s="88"/>
      <c r="D27" s="88"/>
      <c r="E27" s="88"/>
    </row>
    <row r="28" spans="1:5" s="82" customFormat="1" ht="12" customHeight="1">
      <c r="A28" s="86" t="s">
        <v>87</v>
      </c>
      <c r="B28" s="87" t="s">
        <v>422</v>
      </c>
      <c r="C28" s="88"/>
      <c r="D28" s="88"/>
      <c r="E28" s="88"/>
    </row>
    <row r="29" spans="1:5" s="82" customFormat="1" ht="12" customHeight="1">
      <c r="A29" s="86" t="s">
        <v>162</v>
      </c>
      <c r="B29" s="87" t="s">
        <v>257</v>
      </c>
      <c r="C29" s="88"/>
      <c r="D29" s="88"/>
      <c r="E29" s="88"/>
    </row>
    <row r="30" spans="1:5" s="82" customFormat="1" ht="12" customHeight="1" thickBot="1">
      <c r="A30" s="90" t="s">
        <v>163</v>
      </c>
      <c r="B30" s="94" t="s">
        <v>258</v>
      </c>
      <c r="C30" s="93"/>
      <c r="D30" s="93"/>
      <c r="E30" s="93"/>
    </row>
    <row r="31" spans="1:5" s="82" customFormat="1" ht="12" customHeight="1" thickBot="1">
      <c r="A31" s="79" t="s">
        <v>164</v>
      </c>
      <c r="B31" s="80" t="s">
        <v>259</v>
      </c>
      <c r="C31" s="95">
        <f>+C32+C36+C37+C38</f>
        <v>0</v>
      </c>
      <c r="D31" s="95">
        <f>+D32+D36+D37+D38</f>
        <v>0</v>
      </c>
      <c r="E31" s="95">
        <f>+E32+E36+E37+E38</f>
        <v>0</v>
      </c>
    </row>
    <row r="32" spans="1:5" s="82" customFormat="1" ht="12" customHeight="1">
      <c r="A32" s="83" t="s">
        <v>260</v>
      </c>
      <c r="B32" s="159" t="s">
        <v>436</v>
      </c>
      <c r="C32" s="96">
        <f>C33+C34+C35</f>
        <v>0</v>
      </c>
      <c r="D32" s="96">
        <f>D33+D34+D35</f>
        <v>0</v>
      </c>
      <c r="E32" s="96">
        <f>E33+E34+E35</f>
        <v>0</v>
      </c>
    </row>
    <row r="33" spans="1:5" s="82" customFormat="1" ht="12" customHeight="1">
      <c r="A33" s="86" t="s">
        <v>261</v>
      </c>
      <c r="B33" s="160" t="s">
        <v>604</v>
      </c>
      <c r="C33" s="88"/>
      <c r="D33" s="88"/>
      <c r="E33" s="88"/>
    </row>
    <row r="34" spans="1:5" s="82" customFormat="1" ht="12" customHeight="1">
      <c r="A34" s="86" t="s">
        <v>262</v>
      </c>
      <c r="B34" s="160" t="s">
        <v>605</v>
      </c>
      <c r="C34" s="88"/>
      <c r="D34" s="88"/>
      <c r="E34" s="88"/>
    </row>
    <row r="35" spans="1:5" s="82" customFormat="1" ht="12" customHeight="1">
      <c r="A35" s="86" t="s">
        <v>434</v>
      </c>
      <c r="B35" s="161" t="s">
        <v>435</v>
      </c>
      <c r="C35" s="88">
        <f>3003069-3000000-3069</f>
        <v>0</v>
      </c>
      <c r="D35" s="88">
        <f>3003069-3000000-3069</f>
        <v>0</v>
      </c>
      <c r="E35" s="88">
        <f>3003069-3000000-3069</f>
        <v>0</v>
      </c>
    </row>
    <row r="36" spans="1:5" s="82" customFormat="1" ht="12" customHeight="1">
      <c r="A36" s="86" t="s">
        <v>263</v>
      </c>
      <c r="B36" s="160" t="s">
        <v>268</v>
      </c>
      <c r="C36" s="88"/>
      <c r="D36" s="88"/>
      <c r="E36" s="88"/>
    </row>
    <row r="37" spans="1:5" s="82" customFormat="1" ht="12" customHeight="1">
      <c r="A37" s="86" t="s">
        <v>264</v>
      </c>
      <c r="B37" s="160" t="s">
        <v>582</v>
      </c>
      <c r="C37" s="88"/>
      <c r="D37" s="88"/>
      <c r="E37" s="88"/>
    </row>
    <row r="38" spans="1:5" s="82" customFormat="1" ht="12" customHeight="1" thickBot="1">
      <c r="A38" s="90" t="s">
        <v>265</v>
      </c>
      <c r="B38" s="162" t="s">
        <v>270</v>
      </c>
      <c r="C38" s="93"/>
      <c r="D38" s="93"/>
      <c r="E38" s="93"/>
    </row>
    <row r="39" spans="1:5" s="82" customFormat="1" ht="12" customHeight="1" thickBot="1">
      <c r="A39" s="79" t="s">
        <v>20</v>
      </c>
      <c r="B39" s="80" t="s">
        <v>431</v>
      </c>
      <c r="C39" s="81">
        <f>SUM(C40:C50)</f>
        <v>98776182.030000001</v>
      </c>
      <c r="D39" s="81">
        <f>SUM(D40:D50)</f>
        <v>98776182.030000001</v>
      </c>
      <c r="E39" s="81">
        <f>SUM(E40:E50)</f>
        <v>107347927</v>
      </c>
    </row>
    <row r="40" spans="1:5" s="82" customFormat="1" ht="12" customHeight="1">
      <c r="A40" s="83" t="s">
        <v>88</v>
      </c>
      <c r="B40" s="84" t="s">
        <v>273</v>
      </c>
      <c r="C40" s="85"/>
      <c r="D40" s="85"/>
      <c r="E40" s="85"/>
    </row>
    <row r="41" spans="1:5" s="82" customFormat="1" ht="12" customHeight="1">
      <c r="A41" s="86" t="s">
        <v>89</v>
      </c>
      <c r="B41" s="87" t="s">
        <v>274</v>
      </c>
      <c r="C41" s="88">
        <f>70000000+8683416+314173+576000</f>
        <v>79573589</v>
      </c>
      <c r="D41" s="88">
        <f>70000000+8683416+314173+576000</f>
        <v>79573589</v>
      </c>
      <c r="E41" s="88">
        <f>70000000+8683416+314173+576000+2441752+787402+150000+2184252+1186000</f>
        <v>86322995</v>
      </c>
    </row>
    <row r="42" spans="1:5" s="82" customFormat="1" ht="12" customHeight="1">
      <c r="A42" s="86" t="s">
        <v>90</v>
      </c>
      <c r="B42" s="87" t="s">
        <v>275</v>
      </c>
      <c r="C42" s="88"/>
      <c r="D42" s="88"/>
      <c r="E42" s="88"/>
    </row>
    <row r="43" spans="1:5" s="82" customFormat="1" ht="12" customHeight="1">
      <c r="A43" s="86" t="s">
        <v>166</v>
      </c>
      <c r="B43" s="87" t="s">
        <v>276</v>
      </c>
      <c r="C43" s="88"/>
      <c r="D43" s="88"/>
      <c r="E43" s="88"/>
    </row>
    <row r="44" spans="1:5" s="82" customFormat="1" ht="12" customHeight="1">
      <c r="A44" s="86" t="s">
        <v>167</v>
      </c>
      <c r="B44" s="87" t="s">
        <v>277</v>
      </c>
      <c r="C44" s="88"/>
      <c r="D44" s="88"/>
      <c r="E44" s="88"/>
    </row>
    <row r="45" spans="1:5" s="82" customFormat="1" ht="12" customHeight="1">
      <c r="A45" s="86" t="s">
        <v>168</v>
      </c>
      <c r="B45" s="87" t="s">
        <v>278</v>
      </c>
      <c r="C45" s="88">
        <f>C41*0.27-2282276</f>
        <v>19202593.030000001</v>
      </c>
      <c r="D45" s="88">
        <f>D41*0.27-2282276</f>
        <v>19202593.030000001</v>
      </c>
      <c r="E45" s="88">
        <f>19861866+212598+40500+589748+320220</f>
        <v>21024932</v>
      </c>
    </row>
    <row r="46" spans="1:5" s="82" customFormat="1" ht="12" customHeight="1">
      <c r="A46" s="86" t="s">
        <v>169</v>
      </c>
      <c r="B46" s="87" t="s">
        <v>279</v>
      </c>
      <c r="C46" s="88"/>
      <c r="D46" s="88"/>
      <c r="E46" s="88"/>
    </row>
    <row r="47" spans="1:5" s="82" customFormat="1" ht="12" customHeight="1">
      <c r="A47" s="86" t="s">
        <v>170</v>
      </c>
      <c r="B47" s="87" t="s">
        <v>280</v>
      </c>
      <c r="C47" s="98"/>
      <c r="D47" s="98"/>
      <c r="E47" s="98"/>
    </row>
    <row r="48" spans="1:5" s="82" customFormat="1" ht="12" customHeight="1">
      <c r="A48" s="86" t="s">
        <v>271</v>
      </c>
      <c r="B48" s="87" t="s">
        <v>281</v>
      </c>
      <c r="C48" s="98"/>
      <c r="D48" s="98"/>
      <c r="E48" s="98"/>
    </row>
    <row r="49" spans="1:5" s="82" customFormat="1" ht="12" customHeight="1">
      <c r="A49" s="90" t="s">
        <v>272</v>
      </c>
      <c r="B49" s="94" t="s">
        <v>433</v>
      </c>
      <c r="C49" s="99"/>
      <c r="D49" s="99"/>
      <c r="E49" s="99"/>
    </row>
    <row r="50" spans="1:5" s="82" customFormat="1" ht="12" customHeight="1" thickBot="1">
      <c r="A50" s="90" t="s">
        <v>432</v>
      </c>
      <c r="B50" s="91" t="s">
        <v>282</v>
      </c>
      <c r="C50" s="99"/>
      <c r="D50" s="99"/>
      <c r="E50" s="99"/>
    </row>
    <row r="51" spans="1:5" s="82" customFormat="1" ht="12" customHeight="1" thickBot="1">
      <c r="A51" s="79" t="s">
        <v>21</v>
      </c>
      <c r="B51" s="80" t="s">
        <v>283</v>
      </c>
      <c r="C51" s="81">
        <f>SUM(C52:C56)</f>
        <v>0</v>
      </c>
      <c r="D51" s="81">
        <f>SUM(D52:D56)</f>
        <v>0</v>
      </c>
      <c r="E51" s="81">
        <f>SUM(E52:E56)</f>
        <v>0</v>
      </c>
    </row>
    <row r="52" spans="1:5" s="82" customFormat="1" ht="12" customHeight="1">
      <c r="A52" s="83" t="s">
        <v>91</v>
      </c>
      <c r="B52" s="84" t="s">
        <v>287</v>
      </c>
      <c r="C52" s="100"/>
      <c r="D52" s="100"/>
      <c r="E52" s="100"/>
    </row>
    <row r="53" spans="1:5" s="82" customFormat="1" ht="12" customHeight="1">
      <c r="A53" s="86" t="s">
        <v>92</v>
      </c>
      <c r="B53" s="87" t="s">
        <v>288</v>
      </c>
      <c r="C53" s="98"/>
      <c r="D53" s="98"/>
      <c r="E53" s="98"/>
    </row>
    <row r="54" spans="1:5" s="82" customFormat="1" ht="12" customHeight="1">
      <c r="A54" s="86" t="s">
        <v>284</v>
      </c>
      <c r="B54" s="87" t="s">
        <v>289</v>
      </c>
      <c r="C54" s="98"/>
      <c r="D54" s="98"/>
      <c r="E54" s="98"/>
    </row>
    <row r="55" spans="1:5" s="82" customFormat="1" ht="12" customHeight="1">
      <c r="A55" s="86" t="s">
        <v>285</v>
      </c>
      <c r="B55" s="87" t="s">
        <v>290</v>
      </c>
      <c r="C55" s="98"/>
      <c r="D55" s="98"/>
      <c r="E55" s="98"/>
    </row>
    <row r="56" spans="1:5" s="82" customFormat="1" ht="12" customHeight="1" thickBot="1">
      <c r="A56" s="90" t="s">
        <v>286</v>
      </c>
      <c r="B56" s="91" t="s">
        <v>291</v>
      </c>
      <c r="C56" s="99"/>
      <c r="D56" s="99"/>
      <c r="E56" s="99"/>
    </row>
    <row r="57" spans="1:5" s="82" customFormat="1" ht="12" customHeight="1" thickBot="1">
      <c r="A57" s="79" t="s">
        <v>171</v>
      </c>
      <c r="B57" s="80" t="s">
        <v>292</v>
      </c>
      <c r="C57" s="81">
        <f>SUM(C58:C60)</f>
        <v>0</v>
      </c>
      <c r="D57" s="81">
        <f>SUM(D58:D60)</f>
        <v>0</v>
      </c>
      <c r="E57" s="81">
        <f>SUM(E58:E60)</f>
        <v>0</v>
      </c>
    </row>
    <row r="58" spans="1:5" s="82" customFormat="1" ht="12" customHeight="1">
      <c r="A58" s="83" t="s">
        <v>93</v>
      </c>
      <c r="B58" s="84" t="s">
        <v>293</v>
      </c>
      <c r="C58" s="85"/>
      <c r="D58" s="85"/>
      <c r="E58" s="85"/>
    </row>
    <row r="59" spans="1:5" s="82" customFormat="1" ht="12" customHeight="1">
      <c r="A59" s="86" t="s">
        <v>94</v>
      </c>
      <c r="B59" s="87" t="s">
        <v>423</v>
      </c>
      <c r="C59" s="88"/>
      <c r="D59" s="88"/>
      <c r="E59" s="88"/>
    </row>
    <row r="60" spans="1:5" s="82" customFormat="1" ht="12" customHeight="1">
      <c r="A60" s="86" t="s">
        <v>296</v>
      </c>
      <c r="B60" s="87" t="s">
        <v>294</v>
      </c>
      <c r="C60" s="88"/>
      <c r="D60" s="88"/>
      <c r="E60" s="88"/>
    </row>
    <row r="61" spans="1:5" s="82" customFormat="1" ht="12" customHeight="1" thickBot="1">
      <c r="A61" s="90" t="s">
        <v>297</v>
      </c>
      <c r="B61" s="91" t="s">
        <v>295</v>
      </c>
      <c r="C61" s="93"/>
      <c r="D61" s="93"/>
      <c r="E61" s="93"/>
    </row>
    <row r="62" spans="1:5" s="82" customFormat="1" ht="12" customHeight="1" thickBot="1">
      <c r="A62" s="79" t="s">
        <v>23</v>
      </c>
      <c r="B62" s="92" t="s">
        <v>298</v>
      </c>
      <c r="C62" s="81">
        <f>SUM(C63:C65)</f>
        <v>0</v>
      </c>
      <c r="D62" s="81">
        <f>SUM(D63:D65)</f>
        <v>0</v>
      </c>
      <c r="E62" s="81">
        <f>SUM(E63:E65)</f>
        <v>0</v>
      </c>
    </row>
    <row r="63" spans="1:5" s="82" customFormat="1" ht="12" customHeight="1">
      <c r="A63" s="83" t="s">
        <v>172</v>
      </c>
      <c r="B63" s="84" t="s">
        <v>300</v>
      </c>
      <c r="C63" s="98"/>
      <c r="D63" s="98"/>
      <c r="E63" s="98"/>
    </row>
    <row r="64" spans="1:5" s="82" customFormat="1" ht="12" customHeight="1">
      <c r="A64" s="86" t="s">
        <v>173</v>
      </c>
      <c r="B64" s="87" t="s">
        <v>424</v>
      </c>
      <c r="C64" s="98"/>
      <c r="D64" s="98"/>
      <c r="E64" s="98"/>
    </row>
    <row r="65" spans="1:5" s="82" customFormat="1" ht="12" customHeight="1">
      <c r="A65" s="86" t="s">
        <v>221</v>
      </c>
      <c r="B65" s="87" t="s">
        <v>301</v>
      </c>
      <c r="C65" s="98"/>
      <c r="D65" s="98"/>
      <c r="E65" s="98"/>
    </row>
    <row r="66" spans="1:5" s="82" customFormat="1" ht="12" customHeight="1" thickBot="1">
      <c r="A66" s="90" t="s">
        <v>299</v>
      </c>
      <c r="B66" s="91" t="s">
        <v>302</v>
      </c>
      <c r="C66" s="98"/>
      <c r="D66" s="98"/>
      <c r="E66" s="98"/>
    </row>
    <row r="67" spans="1:5" s="82" customFormat="1" ht="12" customHeight="1" thickBot="1">
      <c r="A67" s="101" t="s">
        <v>475</v>
      </c>
      <c r="B67" s="80" t="s">
        <v>303</v>
      </c>
      <c r="C67" s="95">
        <f>+C10+C17+C24+C31+C39+C51+C57+C62</f>
        <v>98776182.030000001</v>
      </c>
      <c r="D67" s="95">
        <f>+D10+D17+D24+D31+D39+D51+D57+D62</f>
        <v>98776182.030000001</v>
      </c>
      <c r="E67" s="95">
        <f>+E10+E17+E24+E31+E39+E51+E57+E62</f>
        <v>107347927</v>
      </c>
    </row>
    <row r="68" spans="1:5" s="82" customFormat="1" ht="12" customHeight="1" thickBot="1">
      <c r="A68" s="102" t="s">
        <v>304</v>
      </c>
      <c r="B68" s="92" t="s">
        <v>305</v>
      </c>
      <c r="C68" s="81">
        <f>SUM(C69:C71)</f>
        <v>0</v>
      </c>
      <c r="D68" s="81">
        <f>SUM(D69:D71)</f>
        <v>0</v>
      </c>
      <c r="E68" s="81">
        <f>SUM(E69:E71)</f>
        <v>0</v>
      </c>
    </row>
    <row r="69" spans="1:5" s="82" customFormat="1" ht="12" customHeight="1">
      <c r="A69" s="83" t="s">
        <v>336</v>
      </c>
      <c r="B69" s="84" t="s">
        <v>306</v>
      </c>
      <c r="C69" s="98"/>
      <c r="D69" s="98"/>
      <c r="E69" s="98"/>
    </row>
    <row r="70" spans="1:5" s="82" customFormat="1" ht="12" customHeight="1">
      <c r="A70" s="86" t="s">
        <v>345</v>
      </c>
      <c r="B70" s="87" t="s">
        <v>307</v>
      </c>
      <c r="C70" s="98"/>
      <c r="D70" s="98"/>
      <c r="E70" s="98"/>
    </row>
    <row r="71" spans="1:5" s="82" customFormat="1" ht="12" customHeight="1" thickBot="1">
      <c r="A71" s="90" t="s">
        <v>346</v>
      </c>
      <c r="B71" s="103" t="s">
        <v>460</v>
      </c>
      <c r="C71" s="98"/>
      <c r="D71" s="98"/>
      <c r="E71" s="98"/>
    </row>
    <row r="72" spans="1:5" s="82" customFormat="1" ht="12" customHeight="1" thickBot="1">
      <c r="A72" s="102" t="s">
        <v>309</v>
      </c>
      <c r="B72" s="92" t="s">
        <v>310</v>
      </c>
      <c r="C72" s="81">
        <f>SUM(C73:C76)</f>
        <v>0</v>
      </c>
      <c r="D72" s="81">
        <f>SUM(D73:D76)</f>
        <v>0</v>
      </c>
      <c r="E72" s="81">
        <f>SUM(E73:E76)</f>
        <v>0</v>
      </c>
    </row>
    <row r="73" spans="1:5" s="82" customFormat="1" ht="12" customHeight="1">
      <c r="A73" s="83" t="s">
        <v>142</v>
      </c>
      <c r="B73" s="84" t="s">
        <v>311</v>
      </c>
      <c r="C73" s="98"/>
      <c r="D73" s="98"/>
      <c r="E73" s="98"/>
    </row>
    <row r="74" spans="1:5" s="82" customFormat="1" ht="12" customHeight="1">
      <c r="A74" s="86" t="s">
        <v>143</v>
      </c>
      <c r="B74" s="87" t="s">
        <v>312</v>
      </c>
      <c r="C74" s="98"/>
      <c r="D74" s="98"/>
      <c r="E74" s="98"/>
    </row>
    <row r="75" spans="1:5" s="82" customFormat="1" ht="12" customHeight="1">
      <c r="A75" s="86" t="s">
        <v>337</v>
      </c>
      <c r="B75" s="87" t="s">
        <v>313</v>
      </c>
      <c r="C75" s="98"/>
      <c r="D75" s="98"/>
      <c r="E75" s="98"/>
    </row>
    <row r="76" spans="1:5" s="82" customFormat="1" ht="12" customHeight="1" thickBot="1">
      <c r="A76" s="90" t="s">
        <v>338</v>
      </c>
      <c r="B76" s="91" t="s">
        <v>314</v>
      </c>
      <c r="C76" s="98"/>
      <c r="D76" s="98"/>
      <c r="E76" s="98"/>
    </row>
    <row r="77" spans="1:5" s="82" customFormat="1" ht="12" customHeight="1" thickBot="1">
      <c r="A77" s="102" t="s">
        <v>315</v>
      </c>
      <c r="B77" s="92" t="s">
        <v>316</v>
      </c>
      <c r="C77" s="81">
        <f>SUM(C78:C79)</f>
        <v>0</v>
      </c>
      <c r="D77" s="81">
        <f>SUM(D78:D79)</f>
        <v>0</v>
      </c>
      <c r="E77" s="81">
        <f>SUM(E78:E79)</f>
        <v>0</v>
      </c>
    </row>
    <row r="78" spans="1:5" s="82" customFormat="1" ht="12" customHeight="1">
      <c r="A78" s="83" t="s">
        <v>339</v>
      </c>
      <c r="B78" s="84" t="s">
        <v>317</v>
      </c>
      <c r="C78" s="98"/>
      <c r="D78" s="98"/>
      <c r="E78" s="98"/>
    </row>
    <row r="79" spans="1:5" s="82" customFormat="1" ht="12" customHeight="1" thickBot="1">
      <c r="A79" s="90" t="s">
        <v>340</v>
      </c>
      <c r="B79" s="91" t="s">
        <v>318</v>
      </c>
      <c r="C79" s="98"/>
      <c r="D79" s="98"/>
      <c r="E79" s="98"/>
    </row>
    <row r="80" spans="1:5" s="82" customFormat="1" ht="12" customHeight="1" thickBot="1">
      <c r="A80" s="102" t="s">
        <v>319</v>
      </c>
      <c r="B80" s="92" t="s">
        <v>320</v>
      </c>
      <c r="C80" s="81">
        <f>SUM(C81:C83)</f>
        <v>0</v>
      </c>
      <c r="D80" s="81">
        <f>SUM(D81:D83)</f>
        <v>0</v>
      </c>
      <c r="E80" s="81">
        <f>SUM(E81:E83)</f>
        <v>0</v>
      </c>
    </row>
    <row r="81" spans="1:5" s="82" customFormat="1" ht="12" customHeight="1">
      <c r="A81" s="83" t="s">
        <v>341</v>
      </c>
      <c r="B81" s="84" t="s">
        <v>321</v>
      </c>
      <c r="C81" s="98"/>
      <c r="D81" s="98"/>
      <c r="E81" s="98"/>
    </row>
    <row r="82" spans="1:5" s="82" customFormat="1" ht="12" customHeight="1">
      <c r="A82" s="86" t="s">
        <v>342</v>
      </c>
      <c r="B82" s="87" t="s">
        <v>322</v>
      </c>
      <c r="C82" s="98"/>
      <c r="D82" s="98"/>
      <c r="E82" s="98"/>
    </row>
    <row r="83" spans="1:5" s="82" customFormat="1" ht="12" customHeight="1" thickBot="1">
      <c r="A83" s="90" t="s">
        <v>343</v>
      </c>
      <c r="B83" s="91" t="s">
        <v>323</v>
      </c>
      <c r="C83" s="98"/>
      <c r="D83" s="98"/>
      <c r="E83" s="98"/>
    </row>
    <row r="84" spans="1:5" s="82" customFormat="1" ht="12" customHeight="1" thickBot="1">
      <c r="A84" s="102" t="s">
        <v>324</v>
      </c>
      <c r="B84" s="92" t="s">
        <v>344</v>
      </c>
      <c r="C84" s="81">
        <f>SUM(C85:C88)</f>
        <v>0</v>
      </c>
      <c r="D84" s="81">
        <f>SUM(D85:D88)</f>
        <v>0</v>
      </c>
      <c r="E84" s="81">
        <f>SUM(E85:E88)</f>
        <v>0</v>
      </c>
    </row>
    <row r="85" spans="1:5" s="82" customFormat="1" ht="12" customHeight="1">
      <c r="A85" s="104" t="s">
        <v>325</v>
      </c>
      <c r="B85" s="84" t="s">
        <v>326</v>
      </c>
      <c r="C85" s="98"/>
      <c r="D85" s="98"/>
      <c r="E85" s="98"/>
    </row>
    <row r="86" spans="1:5" s="82" customFormat="1" ht="12" customHeight="1">
      <c r="A86" s="105" t="s">
        <v>327</v>
      </c>
      <c r="B86" s="87" t="s">
        <v>328</v>
      </c>
      <c r="C86" s="98"/>
      <c r="D86" s="98"/>
      <c r="E86" s="98"/>
    </row>
    <row r="87" spans="1:5" s="82" customFormat="1" ht="12" customHeight="1">
      <c r="A87" s="105" t="s">
        <v>329</v>
      </c>
      <c r="B87" s="87" t="s">
        <v>330</v>
      </c>
      <c r="C87" s="98"/>
      <c r="D87" s="98"/>
      <c r="E87" s="98"/>
    </row>
    <row r="88" spans="1:5" s="82" customFormat="1" ht="12" customHeight="1" thickBot="1">
      <c r="A88" s="106" t="s">
        <v>331</v>
      </c>
      <c r="B88" s="91" t="s">
        <v>332</v>
      </c>
      <c r="C88" s="98"/>
      <c r="D88" s="98"/>
      <c r="E88" s="98"/>
    </row>
    <row r="89" spans="1:5" s="82" customFormat="1" ht="12" customHeight="1" thickBot="1">
      <c r="A89" s="102" t="s">
        <v>333</v>
      </c>
      <c r="B89" s="92" t="s">
        <v>474</v>
      </c>
      <c r="C89" s="107"/>
      <c r="D89" s="107"/>
      <c r="E89" s="107"/>
    </row>
    <row r="90" spans="1:5" s="82" customFormat="1" ht="13.5" customHeight="1" thickBot="1">
      <c r="A90" s="102" t="s">
        <v>335</v>
      </c>
      <c r="B90" s="92" t="s">
        <v>334</v>
      </c>
      <c r="C90" s="107"/>
      <c r="D90" s="107"/>
      <c r="E90" s="107"/>
    </row>
    <row r="91" spans="1:5" s="82" customFormat="1" ht="15.75" customHeight="1" thickBot="1">
      <c r="A91" s="102" t="s">
        <v>347</v>
      </c>
      <c r="B91" s="108" t="s">
        <v>477</v>
      </c>
      <c r="C91" s="95">
        <f>+C68+C72+C77+C80+C84+C90+C89</f>
        <v>0</v>
      </c>
      <c r="D91" s="95">
        <f>+D68+D72+D77+D80+D84+D90+D89</f>
        <v>0</v>
      </c>
      <c r="E91" s="95">
        <f>+E68+E72+E77+E80+E84+E90+E89</f>
        <v>0</v>
      </c>
    </row>
    <row r="92" spans="1:5" s="82" customFormat="1" ht="16.5" customHeight="1" thickBot="1">
      <c r="A92" s="109" t="s">
        <v>476</v>
      </c>
      <c r="B92" s="110" t="s">
        <v>478</v>
      </c>
      <c r="C92" s="95">
        <f>+C67+C91</f>
        <v>98776182.030000001</v>
      </c>
      <c r="D92" s="95">
        <f>+D67+D91</f>
        <v>98776182.030000001</v>
      </c>
      <c r="E92" s="95">
        <f>+E67+E91</f>
        <v>107347927</v>
      </c>
    </row>
    <row r="93" spans="1:5" s="82" customFormat="1" ht="83.25" customHeight="1">
      <c r="A93" s="111"/>
      <c r="B93" s="112"/>
      <c r="C93" s="113"/>
      <c r="D93" s="113"/>
      <c r="E93" s="113"/>
    </row>
    <row r="94" spans="1:5" s="71" customFormat="1" ht="16.5" customHeight="1">
      <c r="A94" s="692" t="s">
        <v>44</v>
      </c>
      <c r="B94" s="692"/>
    </row>
    <row r="95" spans="1:5" s="115" customFormat="1" ht="16.5" customHeight="1" thickBot="1">
      <c r="A95" s="693" t="s">
        <v>145</v>
      </c>
      <c r="B95" s="693"/>
      <c r="C95" s="114"/>
      <c r="D95" s="114"/>
      <c r="E95" s="114"/>
    </row>
    <row r="96" spans="1:5" s="71" customFormat="1" ht="38.1" customHeight="1" thickBot="1">
      <c r="A96" s="73" t="s">
        <v>66</v>
      </c>
      <c r="B96" s="74" t="s">
        <v>45</v>
      </c>
      <c r="C96" s="16" t="str">
        <f>+C8</f>
        <v>Eredeti előirányzat (2018.01)</v>
      </c>
      <c r="D96" s="16" t="str">
        <f>+D8</f>
        <v>Módosított előirányzat (2018.03)</v>
      </c>
      <c r="E96" s="16" t="str">
        <f>+E8</f>
        <v>Módosított előirányzat (2018.06)</v>
      </c>
    </row>
    <row r="97" spans="1:5" s="78" customFormat="1" ht="12" customHeight="1" thickBot="1">
      <c r="A97" s="116" t="s">
        <v>486</v>
      </c>
      <c r="B97" s="117" t="s">
        <v>487</v>
      </c>
      <c r="C97" s="118" t="s">
        <v>488</v>
      </c>
      <c r="D97" s="118" t="s">
        <v>488</v>
      </c>
      <c r="E97" s="118" t="s">
        <v>488</v>
      </c>
    </row>
    <row r="98" spans="1:5" s="71" customFormat="1" ht="12" customHeight="1" thickBot="1">
      <c r="A98" s="119" t="s">
        <v>16</v>
      </c>
      <c r="B98" s="120" t="s">
        <v>654</v>
      </c>
      <c r="C98" s="121">
        <f>C99+C100+C101+C102+C103+C116</f>
        <v>76932182</v>
      </c>
      <c r="D98" s="121">
        <f>D99+D100+D101+D102+D103+D116</f>
        <v>76932182</v>
      </c>
      <c r="E98" s="121">
        <f>E99+E100+E101+E102+E103+E116</f>
        <v>84503927</v>
      </c>
    </row>
    <row r="99" spans="1:5" s="71" customFormat="1" ht="12" customHeight="1">
      <c r="A99" s="122" t="s">
        <v>95</v>
      </c>
      <c r="B99" s="29" t="s">
        <v>46</v>
      </c>
      <c r="C99" s="123">
        <v>13518800</v>
      </c>
      <c r="D99" s="123">
        <v>13518800</v>
      </c>
      <c r="E99" s="123">
        <f>13518800+2595000-3120000</f>
        <v>12993800</v>
      </c>
    </row>
    <row r="100" spans="1:5" s="71" customFormat="1" ht="12" customHeight="1">
      <c r="A100" s="86" t="s">
        <v>96</v>
      </c>
      <c r="B100" s="32" t="s">
        <v>174</v>
      </c>
      <c r="C100" s="88">
        <v>2792432</v>
      </c>
      <c r="D100" s="88">
        <v>2792432</v>
      </c>
      <c r="E100" s="88">
        <f>2792432+506025-608400</f>
        <v>2690057</v>
      </c>
    </row>
    <row r="101" spans="1:5" s="71" customFormat="1" ht="12" customHeight="1">
      <c r="A101" s="86" t="s">
        <v>97</v>
      </c>
      <c r="B101" s="32" t="s">
        <v>133</v>
      </c>
      <c r="C101" s="93">
        <v>60620950</v>
      </c>
      <c r="D101" s="93">
        <v>60620950</v>
      </c>
      <c r="E101" s="93">
        <f>60620950+190500+6502400+1506220</f>
        <v>68820070</v>
      </c>
    </row>
    <row r="102" spans="1:5" s="71" customFormat="1" ht="12" customHeight="1">
      <c r="A102" s="86" t="s">
        <v>98</v>
      </c>
      <c r="B102" s="124" t="s">
        <v>175</v>
      </c>
      <c r="C102" s="93"/>
      <c r="D102" s="93"/>
      <c r="E102" s="93"/>
    </row>
    <row r="103" spans="1:5" s="71" customFormat="1" ht="12" customHeight="1">
      <c r="A103" s="86" t="s">
        <v>109</v>
      </c>
      <c r="B103" s="125" t="s">
        <v>176</v>
      </c>
      <c r="C103" s="93">
        <f>C104+C105+C106+C107+C108+C110+C111+C112+C113+C114+C115</f>
        <v>0</v>
      </c>
      <c r="D103" s="93">
        <f>D104+D105+D106+D107+D108+D110+D111+D112+D113+D114+D115</f>
        <v>0</v>
      </c>
      <c r="E103" s="93">
        <f>E104+E105+E106+E107+E108+E110+E111+E112+E113+E114+E115</f>
        <v>0</v>
      </c>
    </row>
    <row r="104" spans="1:5" s="71" customFormat="1" ht="12" customHeight="1">
      <c r="A104" s="86" t="s">
        <v>99</v>
      </c>
      <c r="B104" s="32" t="s">
        <v>441</v>
      </c>
      <c r="C104" s="93"/>
      <c r="D104" s="93"/>
      <c r="E104" s="93"/>
    </row>
    <row r="105" spans="1:5" s="71" customFormat="1" ht="12" customHeight="1">
      <c r="A105" s="86" t="s">
        <v>100</v>
      </c>
      <c r="B105" s="126" t="s">
        <v>440</v>
      </c>
      <c r="C105" s="93"/>
      <c r="D105" s="93"/>
      <c r="E105" s="93"/>
    </row>
    <row r="106" spans="1:5" s="71" customFormat="1" ht="12" customHeight="1">
      <c r="A106" s="86" t="s">
        <v>110</v>
      </c>
      <c r="B106" s="126" t="s">
        <v>439</v>
      </c>
      <c r="C106" s="93"/>
      <c r="D106" s="93"/>
      <c r="E106" s="93"/>
    </row>
    <row r="107" spans="1:5" s="71" customFormat="1" ht="12" customHeight="1">
      <c r="A107" s="86" t="s">
        <v>111</v>
      </c>
      <c r="B107" s="127" t="s">
        <v>350</v>
      </c>
      <c r="C107" s="93"/>
      <c r="D107" s="93"/>
      <c r="E107" s="93"/>
    </row>
    <row r="108" spans="1:5" s="71" customFormat="1" ht="12" customHeight="1">
      <c r="A108" s="86" t="s">
        <v>112</v>
      </c>
      <c r="B108" s="128" t="s">
        <v>351</v>
      </c>
      <c r="C108" s="93"/>
      <c r="D108" s="93"/>
      <c r="E108" s="93"/>
    </row>
    <row r="109" spans="1:5" s="71" customFormat="1" ht="12" customHeight="1">
      <c r="A109" s="86" t="s">
        <v>113</v>
      </c>
      <c r="B109" s="128" t="s">
        <v>352</v>
      </c>
      <c r="C109" s="93"/>
      <c r="D109" s="93"/>
      <c r="E109" s="93"/>
    </row>
    <row r="110" spans="1:5" s="71" customFormat="1" ht="12" customHeight="1">
      <c r="A110" s="86" t="s">
        <v>115</v>
      </c>
      <c r="B110" s="127" t="s">
        <v>353</v>
      </c>
      <c r="C110" s="93"/>
      <c r="D110" s="93"/>
      <c r="E110" s="93"/>
    </row>
    <row r="111" spans="1:5" s="71" customFormat="1" ht="12" customHeight="1">
      <c r="A111" s="86" t="s">
        <v>177</v>
      </c>
      <c r="B111" s="127" t="s">
        <v>354</v>
      </c>
      <c r="C111" s="93"/>
      <c r="D111" s="93"/>
      <c r="E111" s="93"/>
    </row>
    <row r="112" spans="1:5" s="71" customFormat="1" ht="12" customHeight="1">
      <c r="A112" s="86" t="s">
        <v>348</v>
      </c>
      <c r="B112" s="128" t="s">
        <v>355</v>
      </c>
      <c r="C112" s="93"/>
      <c r="D112" s="93"/>
      <c r="E112" s="93"/>
    </row>
    <row r="113" spans="1:5" s="71" customFormat="1" ht="12" customHeight="1">
      <c r="A113" s="129" t="s">
        <v>349</v>
      </c>
      <c r="B113" s="126" t="s">
        <v>356</v>
      </c>
      <c r="C113" s="93"/>
      <c r="D113" s="93"/>
      <c r="E113" s="93"/>
    </row>
    <row r="114" spans="1:5" s="71" customFormat="1" ht="12" customHeight="1">
      <c r="A114" s="86" t="s">
        <v>437</v>
      </c>
      <c r="B114" s="126" t="s">
        <v>357</v>
      </c>
      <c r="C114" s="93"/>
      <c r="D114" s="93"/>
      <c r="E114" s="93"/>
    </row>
    <row r="115" spans="1:5" s="71" customFormat="1" ht="12" customHeight="1">
      <c r="A115" s="90" t="s">
        <v>438</v>
      </c>
      <c r="B115" s="126" t="s">
        <v>358</v>
      </c>
      <c r="C115" s="93"/>
      <c r="D115" s="93"/>
      <c r="E115" s="93"/>
    </row>
    <row r="116" spans="1:5" s="71" customFormat="1" ht="12" customHeight="1">
      <c r="A116" s="86" t="s">
        <v>442</v>
      </c>
      <c r="B116" s="124" t="s">
        <v>47</v>
      </c>
      <c r="C116" s="88">
        <f>C117+C118</f>
        <v>0</v>
      </c>
      <c r="D116" s="88">
        <f>D117+D118</f>
        <v>0</v>
      </c>
      <c r="E116" s="88">
        <f>E117+E118</f>
        <v>0</v>
      </c>
    </row>
    <row r="117" spans="1:5" s="71" customFormat="1" ht="12" customHeight="1">
      <c r="A117" s="86" t="s">
        <v>443</v>
      </c>
      <c r="B117" s="32" t="s">
        <v>445</v>
      </c>
      <c r="C117" s="88"/>
      <c r="D117" s="88"/>
      <c r="E117" s="88"/>
    </row>
    <row r="118" spans="1:5" s="71" customFormat="1" ht="12" customHeight="1">
      <c r="A118" s="86" t="s">
        <v>444</v>
      </c>
      <c r="B118" s="163" t="s">
        <v>446</v>
      </c>
      <c r="C118" s="88"/>
      <c r="D118" s="88"/>
      <c r="E118" s="88"/>
    </row>
    <row r="119" spans="1:5" s="71" customFormat="1" ht="12" customHeight="1" thickBot="1">
      <c r="A119" s="133" t="s">
        <v>17</v>
      </c>
      <c r="B119" s="134" t="s">
        <v>655</v>
      </c>
      <c r="C119" s="135">
        <f>+C120+C122+C124</f>
        <v>21844000</v>
      </c>
      <c r="D119" s="135">
        <f>+D120+D122+D124</f>
        <v>21844000</v>
      </c>
      <c r="E119" s="135">
        <f>+E120+E122+E124</f>
        <v>22844000</v>
      </c>
    </row>
    <row r="120" spans="1:5" s="71" customFormat="1" ht="12" customHeight="1">
      <c r="A120" s="83" t="s">
        <v>101</v>
      </c>
      <c r="B120" s="32" t="s">
        <v>219</v>
      </c>
      <c r="C120" s="85">
        <v>15494000</v>
      </c>
      <c r="D120" s="85">
        <v>15494000</v>
      </c>
      <c r="E120" s="85">
        <f>15494000+1000000-76200</f>
        <v>16417800</v>
      </c>
    </row>
    <row r="121" spans="1:5" s="71" customFormat="1" ht="12" customHeight="1">
      <c r="A121" s="83" t="s">
        <v>102</v>
      </c>
      <c r="B121" s="136" t="s">
        <v>362</v>
      </c>
      <c r="C121" s="85"/>
      <c r="D121" s="85"/>
      <c r="E121" s="85"/>
    </row>
    <row r="122" spans="1:5" s="71" customFormat="1" ht="12" customHeight="1">
      <c r="A122" s="83" t="s">
        <v>103</v>
      </c>
      <c r="B122" s="136" t="s">
        <v>178</v>
      </c>
      <c r="C122" s="88">
        <v>6350000</v>
      </c>
      <c r="D122" s="88">
        <v>6350000</v>
      </c>
      <c r="E122" s="88">
        <f>6350000+76200</f>
        <v>6426200</v>
      </c>
    </row>
    <row r="123" spans="1:5" s="71" customFormat="1" ht="12" customHeight="1">
      <c r="A123" s="83" t="s">
        <v>104</v>
      </c>
      <c r="B123" s="136" t="s">
        <v>363</v>
      </c>
      <c r="C123" s="137"/>
      <c r="D123" s="137"/>
      <c r="E123" s="137"/>
    </row>
    <row r="124" spans="1:5" s="71" customFormat="1" ht="12" customHeight="1">
      <c r="A124" s="83" t="s">
        <v>105</v>
      </c>
      <c r="B124" s="91" t="s">
        <v>222</v>
      </c>
      <c r="C124" s="137">
        <f>C125+C126+C127+C128+C129+C130+C131+C132</f>
        <v>0</v>
      </c>
      <c r="D124" s="137">
        <f>D125+D126+D127+D128+D129+D130+D131+D132</f>
        <v>0</v>
      </c>
      <c r="E124" s="137">
        <f>E125+E126+E127+E128+E129+E130+E131+E132</f>
        <v>0</v>
      </c>
    </row>
    <row r="125" spans="1:5" s="71" customFormat="1" ht="12" customHeight="1">
      <c r="A125" s="83" t="s">
        <v>114</v>
      </c>
      <c r="B125" s="89" t="s">
        <v>425</v>
      </c>
      <c r="C125" s="137"/>
      <c r="D125" s="137"/>
      <c r="E125" s="137"/>
    </row>
    <row r="126" spans="1:5" s="71" customFormat="1" ht="12" customHeight="1">
      <c r="A126" s="83" t="s">
        <v>116</v>
      </c>
      <c r="B126" s="138" t="s">
        <v>368</v>
      </c>
      <c r="C126" s="137"/>
      <c r="D126" s="137"/>
      <c r="E126" s="137"/>
    </row>
    <row r="127" spans="1:5" s="71" customFormat="1" ht="15.75">
      <c r="A127" s="83" t="s">
        <v>179</v>
      </c>
      <c r="B127" s="128" t="s">
        <v>352</v>
      </c>
      <c r="C127" s="137"/>
      <c r="D127" s="137"/>
      <c r="E127" s="137"/>
    </row>
    <row r="128" spans="1:5" s="71" customFormat="1" ht="12" customHeight="1">
      <c r="A128" s="83" t="s">
        <v>180</v>
      </c>
      <c r="B128" s="128" t="s">
        <v>367</v>
      </c>
      <c r="C128" s="137"/>
      <c r="D128" s="137"/>
      <c r="E128" s="137"/>
    </row>
    <row r="129" spans="1:5" s="71" customFormat="1" ht="12" customHeight="1">
      <c r="A129" s="83" t="s">
        <v>181</v>
      </c>
      <c r="B129" s="128" t="s">
        <v>366</v>
      </c>
      <c r="C129" s="137"/>
      <c r="D129" s="137"/>
      <c r="E129" s="137"/>
    </row>
    <row r="130" spans="1:5" s="71" customFormat="1" ht="12" customHeight="1">
      <c r="A130" s="83" t="s">
        <v>359</v>
      </c>
      <c r="B130" s="128" t="s">
        <v>355</v>
      </c>
      <c r="C130" s="137"/>
      <c r="D130" s="137"/>
      <c r="E130" s="137"/>
    </row>
    <row r="131" spans="1:5" s="71" customFormat="1" ht="12" customHeight="1">
      <c r="A131" s="83" t="s">
        <v>360</v>
      </c>
      <c r="B131" s="128" t="s">
        <v>365</v>
      </c>
      <c r="C131" s="137">
        <f>2000000-2000000</f>
        <v>0</v>
      </c>
      <c r="D131" s="137">
        <f>2000000-2000000</f>
        <v>0</v>
      </c>
      <c r="E131" s="137">
        <f>2000000-2000000</f>
        <v>0</v>
      </c>
    </row>
    <row r="132" spans="1:5" s="71" customFormat="1" ht="16.5" thickBot="1">
      <c r="A132" s="129" t="s">
        <v>361</v>
      </c>
      <c r="B132" s="128" t="s">
        <v>364</v>
      </c>
      <c r="C132" s="139"/>
      <c r="D132" s="139"/>
      <c r="E132" s="139"/>
    </row>
    <row r="133" spans="1:5" s="71" customFormat="1" ht="12" customHeight="1" thickBot="1">
      <c r="A133" s="79" t="s">
        <v>18</v>
      </c>
      <c r="B133" s="40" t="s">
        <v>447</v>
      </c>
      <c r="C133" s="81">
        <f>+C98+C119</f>
        <v>98776182</v>
      </c>
      <c r="D133" s="81">
        <f>+D98+D119</f>
        <v>98776182</v>
      </c>
      <c r="E133" s="81">
        <f>+E98+E119</f>
        <v>107347927</v>
      </c>
    </row>
    <row r="134" spans="1:5" s="71" customFormat="1" ht="12" customHeight="1" thickBot="1">
      <c r="A134" s="79" t="s">
        <v>19</v>
      </c>
      <c r="B134" s="40" t="s">
        <v>448</v>
      </c>
      <c r="C134" s="81">
        <f>+C135+C136+C137</f>
        <v>0</v>
      </c>
      <c r="D134" s="81">
        <f>+D135+D136+D137</f>
        <v>0</v>
      </c>
      <c r="E134" s="81">
        <f>+E135+E136+E137</f>
        <v>0</v>
      </c>
    </row>
    <row r="135" spans="1:5" s="71" customFormat="1" ht="12" customHeight="1">
      <c r="A135" s="83" t="s">
        <v>260</v>
      </c>
      <c r="B135" s="136" t="s">
        <v>455</v>
      </c>
      <c r="C135" s="137"/>
      <c r="D135" s="137"/>
      <c r="E135" s="137"/>
    </row>
    <row r="136" spans="1:5" s="71" customFormat="1" ht="12" customHeight="1">
      <c r="A136" s="83" t="s">
        <v>263</v>
      </c>
      <c r="B136" s="136" t="s">
        <v>456</v>
      </c>
      <c r="C136" s="137"/>
      <c r="D136" s="137"/>
      <c r="E136" s="137"/>
    </row>
    <row r="137" spans="1:5" s="71" customFormat="1" ht="12" customHeight="1" thickBot="1">
      <c r="A137" s="129" t="s">
        <v>264</v>
      </c>
      <c r="B137" s="136" t="s">
        <v>457</v>
      </c>
      <c r="C137" s="137"/>
      <c r="D137" s="137"/>
      <c r="E137" s="137"/>
    </row>
    <row r="138" spans="1:5" s="71" customFormat="1" ht="12" customHeight="1" thickBot="1">
      <c r="A138" s="79" t="s">
        <v>20</v>
      </c>
      <c r="B138" s="40" t="s">
        <v>449</v>
      </c>
      <c r="C138" s="81">
        <f>SUM(C139:C144)</f>
        <v>0</v>
      </c>
      <c r="D138" s="81">
        <f>SUM(D139:D144)</f>
        <v>0</v>
      </c>
      <c r="E138" s="81">
        <f>SUM(E139:E144)</f>
        <v>0</v>
      </c>
    </row>
    <row r="139" spans="1:5" s="71" customFormat="1" ht="12" customHeight="1">
      <c r="A139" s="83" t="s">
        <v>88</v>
      </c>
      <c r="B139" s="38" t="s">
        <v>458</v>
      </c>
      <c r="C139" s="137"/>
      <c r="D139" s="137"/>
      <c r="E139" s="137"/>
    </row>
    <row r="140" spans="1:5" s="71" customFormat="1" ht="12" customHeight="1">
      <c r="A140" s="83" t="s">
        <v>89</v>
      </c>
      <c r="B140" s="38" t="s">
        <v>450</v>
      </c>
      <c r="C140" s="137"/>
      <c r="D140" s="137"/>
      <c r="E140" s="137"/>
    </row>
    <row r="141" spans="1:5" s="71" customFormat="1" ht="12" customHeight="1">
      <c r="A141" s="83" t="s">
        <v>90</v>
      </c>
      <c r="B141" s="38" t="s">
        <v>451</v>
      </c>
      <c r="C141" s="137"/>
      <c r="D141" s="137"/>
      <c r="E141" s="137"/>
    </row>
    <row r="142" spans="1:5" s="71" customFormat="1" ht="12" customHeight="1">
      <c r="A142" s="83" t="s">
        <v>166</v>
      </c>
      <c r="B142" s="38" t="s">
        <v>452</v>
      </c>
      <c r="C142" s="137"/>
      <c r="D142" s="137"/>
      <c r="E142" s="137"/>
    </row>
    <row r="143" spans="1:5" s="71" customFormat="1" ht="12" customHeight="1">
      <c r="A143" s="83" t="s">
        <v>167</v>
      </c>
      <c r="B143" s="38" t="s">
        <v>453</v>
      </c>
      <c r="C143" s="137"/>
      <c r="D143" s="137"/>
      <c r="E143" s="137"/>
    </row>
    <row r="144" spans="1:5" s="71" customFormat="1" ht="12" customHeight="1" thickBot="1">
      <c r="A144" s="129" t="s">
        <v>168</v>
      </c>
      <c r="B144" s="38" t="s">
        <v>454</v>
      </c>
      <c r="C144" s="137"/>
      <c r="D144" s="137"/>
      <c r="E144" s="137"/>
    </row>
    <row r="145" spans="1:5" s="71" customFormat="1" ht="12" customHeight="1" thickBot="1">
      <c r="A145" s="79" t="s">
        <v>21</v>
      </c>
      <c r="B145" s="40" t="s">
        <v>462</v>
      </c>
      <c r="C145" s="95">
        <f>+C146+C147+C148+C149</f>
        <v>0</v>
      </c>
      <c r="D145" s="95">
        <f>+D146+D147+D148+D149</f>
        <v>0</v>
      </c>
      <c r="E145" s="95">
        <f>+E146+E147+E148+E149</f>
        <v>0</v>
      </c>
    </row>
    <row r="146" spans="1:5" s="71" customFormat="1" ht="12" customHeight="1">
      <c r="A146" s="83" t="s">
        <v>91</v>
      </c>
      <c r="B146" s="38" t="s">
        <v>369</v>
      </c>
      <c r="C146" s="137"/>
      <c r="D146" s="137"/>
      <c r="E146" s="137"/>
    </row>
    <row r="147" spans="1:5" s="71" customFormat="1" ht="12" customHeight="1">
      <c r="A147" s="83" t="s">
        <v>92</v>
      </c>
      <c r="B147" s="38" t="s">
        <v>370</v>
      </c>
      <c r="C147" s="137"/>
      <c r="D147" s="137"/>
      <c r="E147" s="137"/>
    </row>
    <row r="148" spans="1:5" s="71" customFormat="1" ht="12" customHeight="1">
      <c r="A148" s="83" t="s">
        <v>284</v>
      </c>
      <c r="B148" s="38" t="s">
        <v>463</v>
      </c>
      <c r="C148" s="137"/>
      <c r="D148" s="137"/>
      <c r="E148" s="137"/>
    </row>
    <row r="149" spans="1:5" s="71" customFormat="1" ht="12" customHeight="1" thickBot="1">
      <c r="A149" s="129" t="s">
        <v>285</v>
      </c>
      <c r="B149" s="34" t="s">
        <v>389</v>
      </c>
      <c r="C149" s="137"/>
      <c r="D149" s="137"/>
      <c r="E149" s="137"/>
    </row>
    <row r="150" spans="1:5" s="71" customFormat="1" ht="12" customHeight="1" thickBot="1">
      <c r="A150" s="79" t="s">
        <v>22</v>
      </c>
      <c r="B150" s="40" t="s">
        <v>464</v>
      </c>
      <c r="C150" s="140">
        <f>SUM(C151:C155)</f>
        <v>0</v>
      </c>
      <c r="D150" s="140">
        <f>SUM(D151:D155)</f>
        <v>0</v>
      </c>
      <c r="E150" s="140">
        <f>SUM(E151:E155)</f>
        <v>0</v>
      </c>
    </row>
    <row r="151" spans="1:5" s="71" customFormat="1" ht="12" customHeight="1">
      <c r="A151" s="83" t="s">
        <v>93</v>
      </c>
      <c r="B151" s="38" t="s">
        <v>459</v>
      </c>
      <c r="C151" s="137"/>
      <c r="D151" s="137"/>
      <c r="E151" s="137"/>
    </row>
    <row r="152" spans="1:5" s="71" customFormat="1" ht="12" customHeight="1">
      <c r="A152" s="83" t="s">
        <v>94</v>
      </c>
      <c r="B152" s="38" t="s">
        <v>466</v>
      </c>
      <c r="C152" s="137"/>
      <c r="D152" s="137"/>
      <c r="E152" s="137"/>
    </row>
    <row r="153" spans="1:5" s="71" customFormat="1" ht="12" customHeight="1">
      <c r="A153" s="83" t="s">
        <v>296</v>
      </c>
      <c r="B153" s="38" t="s">
        <v>461</v>
      </c>
      <c r="C153" s="137"/>
      <c r="D153" s="137"/>
      <c r="E153" s="137"/>
    </row>
    <row r="154" spans="1:5" s="71" customFormat="1" ht="12" customHeight="1">
      <c r="A154" s="83" t="s">
        <v>297</v>
      </c>
      <c r="B154" s="38" t="s">
        <v>467</v>
      </c>
      <c r="C154" s="137"/>
      <c r="D154" s="137"/>
      <c r="E154" s="137"/>
    </row>
    <row r="155" spans="1:5" s="71" customFormat="1" ht="12" customHeight="1" thickBot="1">
      <c r="A155" s="83" t="s">
        <v>465</v>
      </c>
      <c r="B155" s="38" t="s">
        <v>468</v>
      </c>
      <c r="C155" s="137"/>
      <c r="D155" s="137"/>
      <c r="E155" s="137"/>
    </row>
    <row r="156" spans="1:5" s="71" customFormat="1" ht="12" customHeight="1" thickBot="1">
      <c r="A156" s="79" t="s">
        <v>23</v>
      </c>
      <c r="B156" s="40" t="s">
        <v>469</v>
      </c>
      <c r="C156" s="141"/>
      <c r="D156" s="141"/>
      <c r="E156" s="141"/>
    </row>
    <row r="157" spans="1:5" s="71" customFormat="1" ht="12" customHeight="1" thickBot="1">
      <c r="A157" s="79" t="s">
        <v>24</v>
      </c>
      <c r="B157" s="40" t="s">
        <v>470</v>
      </c>
      <c r="C157" s="141"/>
      <c r="D157" s="141"/>
      <c r="E157" s="141"/>
    </row>
    <row r="158" spans="1:5" s="71" customFormat="1" ht="15" customHeight="1" thickBot="1">
      <c r="A158" s="79" t="s">
        <v>25</v>
      </c>
      <c r="B158" s="40" t="s">
        <v>472</v>
      </c>
      <c r="C158" s="142">
        <f>+C134+C138+C145+C150+C156+C157</f>
        <v>0</v>
      </c>
      <c r="D158" s="142">
        <f>+D134+D138+D145+D150+D156+D157</f>
        <v>0</v>
      </c>
      <c r="E158" s="142">
        <f>+E134+E138+E145+E150+E156+E157</f>
        <v>0</v>
      </c>
    </row>
    <row r="159" spans="1:5" s="82" customFormat="1" ht="12.95" customHeight="1" thickBot="1">
      <c r="A159" s="144" t="s">
        <v>26</v>
      </c>
      <c r="B159" s="145" t="s">
        <v>471</v>
      </c>
      <c r="C159" s="142">
        <f>+C133+C158</f>
        <v>98776182</v>
      </c>
      <c r="D159" s="142">
        <f>+D133+D158</f>
        <v>98776182</v>
      </c>
      <c r="E159" s="142">
        <f>+E133+E158</f>
        <v>107347927</v>
      </c>
    </row>
  </sheetData>
  <mergeCells count="4">
    <mergeCell ref="A6:B6"/>
    <mergeCell ref="A7:B7"/>
    <mergeCell ref="A94:B94"/>
    <mergeCell ref="A95:B95"/>
  </mergeCells>
  <phoneticPr fontId="6" type="noConversion"/>
  <printOptions horizontalCentered="1"/>
  <pageMargins left="0.19685039370078741" right="0.59055118110236227" top="1.1811023622047245" bottom="1.1811023622047245" header="0.78740157480314965" footer="0.59055118110236227"/>
  <pageSetup paperSize="9" scale="77" fitToHeight="2" orientation="portrait" r:id="rId1"/>
  <headerFooter alignWithMargins="0">
    <oddHeader>&amp;R&amp;"Times New Roman CE,Félkövér dőlt"&amp;11 1.3. melléklet a 13/2018. (VI.25.)  önkormányzati rendelethez</oddHeader>
    <oddFooter>&amp;P. oldal, összesen: &amp;N</oddFooter>
  </headerFooter>
  <rowBreaks count="3" manualBreakCount="3">
    <brk id="57" max="4" man="1"/>
    <brk id="92" max="4" man="1"/>
    <brk id="133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30">
    <tabColor rgb="FFFFFF00"/>
  </sheetPr>
  <dimension ref="A1:D31"/>
  <sheetViews>
    <sheetView topLeftCell="A4" zoomScaleNormal="100" workbookViewId="0">
      <selection activeCell="H6" sqref="H6"/>
    </sheetView>
  </sheetViews>
  <sheetFormatPr defaultRowHeight="12.75"/>
  <cols>
    <col min="1" max="1" width="5.83203125" style="469" customWidth="1"/>
    <col min="2" max="2" width="54.83203125" style="156" customWidth="1"/>
    <col min="3" max="4" width="17.6640625" style="156" customWidth="1"/>
    <col min="5" max="16384" width="9.33203125" style="156"/>
  </cols>
  <sheetData>
    <row r="1" spans="1:4" ht="31.5" customHeight="1">
      <c r="B1" s="752" t="s">
        <v>7</v>
      </c>
      <c r="C1" s="752"/>
      <c r="D1" s="752"/>
    </row>
    <row r="2" spans="1:4" s="472" customFormat="1" ht="16.5" thickBot="1">
      <c r="A2" s="471"/>
      <c r="B2" s="470"/>
      <c r="D2" s="473" t="s">
        <v>589</v>
      </c>
    </row>
    <row r="3" spans="1:4" s="477" customFormat="1" ht="48" customHeight="1" thickBot="1">
      <c r="A3" s="474" t="s">
        <v>14</v>
      </c>
      <c r="B3" s="475" t="s">
        <v>15</v>
      </c>
      <c r="C3" s="475" t="s">
        <v>68</v>
      </c>
      <c r="D3" s="476" t="s">
        <v>69</v>
      </c>
    </row>
    <row r="4" spans="1:4" s="477" customFormat="1" ht="14.1" customHeight="1" thickBot="1">
      <c r="A4" s="478" t="s">
        <v>486</v>
      </c>
      <c r="B4" s="19" t="s">
        <v>487</v>
      </c>
      <c r="C4" s="19" t="s">
        <v>488</v>
      </c>
      <c r="D4" s="20" t="s">
        <v>490</v>
      </c>
    </row>
    <row r="5" spans="1:4" ht="18" customHeight="1">
      <c r="A5" s="479" t="s">
        <v>16</v>
      </c>
      <c r="B5" s="480" t="s">
        <v>158</v>
      </c>
      <c r="C5" s="481"/>
      <c r="D5" s="44"/>
    </row>
    <row r="6" spans="1:4" ht="18" customHeight="1">
      <c r="A6" s="482" t="s">
        <v>17</v>
      </c>
      <c r="B6" s="483" t="s">
        <v>159</v>
      </c>
      <c r="C6" s="484"/>
      <c r="D6" s="63"/>
    </row>
    <row r="7" spans="1:4" ht="18" customHeight="1">
      <c r="A7" s="482" t="s">
        <v>18</v>
      </c>
      <c r="B7" s="483" t="s">
        <v>117</v>
      </c>
      <c r="C7" s="484"/>
      <c r="D7" s="63"/>
    </row>
    <row r="8" spans="1:4" ht="18" customHeight="1">
      <c r="A8" s="482" t="s">
        <v>19</v>
      </c>
      <c r="B8" s="483" t="s">
        <v>118</v>
      </c>
      <c r="C8" s="484"/>
      <c r="D8" s="63"/>
    </row>
    <row r="9" spans="1:4" ht="18" customHeight="1">
      <c r="A9" s="482" t="s">
        <v>20</v>
      </c>
      <c r="B9" s="483" t="s">
        <v>151</v>
      </c>
      <c r="C9" s="484"/>
      <c r="D9" s="63"/>
    </row>
    <row r="10" spans="1:4" ht="18" customHeight="1">
      <c r="A10" s="482" t="s">
        <v>21</v>
      </c>
      <c r="B10" s="483" t="s">
        <v>152</v>
      </c>
      <c r="C10" s="484"/>
      <c r="D10" s="63"/>
    </row>
    <row r="11" spans="1:4" ht="18" customHeight="1">
      <c r="A11" s="482" t="s">
        <v>22</v>
      </c>
      <c r="B11" s="485" t="s">
        <v>153</v>
      </c>
      <c r="C11" s="484"/>
      <c r="D11" s="63"/>
    </row>
    <row r="12" spans="1:4" ht="18" customHeight="1">
      <c r="A12" s="482" t="s">
        <v>24</v>
      </c>
      <c r="B12" s="485" t="s">
        <v>154</v>
      </c>
      <c r="C12" s="484"/>
      <c r="D12" s="63"/>
    </row>
    <row r="13" spans="1:4" ht="18" customHeight="1">
      <c r="A13" s="482" t="s">
        <v>25</v>
      </c>
      <c r="B13" s="485" t="s">
        <v>155</v>
      </c>
      <c r="C13" s="484"/>
      <c r="D13" s="63"/>
    </row>
    <row r="14" spans="1:4" ht="18" customHeight="1">
      <c r="A14" s="482" t="s">
        <v>26</v>
      </c>
      <c r="B14" s="485" t="s">
        <v>156</v>
      </c>
      <c r="C14" s="484"/>
      <c r="D14" s="63"/>
    </row>
    <row r="15" spans="1:4" ht="22.5" customHeight="1">
      <c r="A15" s="482" t="s">
        <v>27</v>
      </c>
      <c r="B15" s="485" t="s">
        <v>157</v>
      </c>
      <c r="C15" s="484"/>
      <c r="D15" s="63"/>
    </row>
    <row r="16" spans="1:4" ht="18" customHeight="1">
      <c r="A16" s="482" t="s">
        <v>28</v>
      </c>
      <c r="B16" s="483" t="s">
        <v>119</v>
      </c>
      <c r="C16" s="484"/>
      <c r="D16" s="63"/>
    </row>
    <row r="17" spans="1:4" ht="18" customHeight="1">
      <c r="A17" s="482" t="s">
        <v>29</v>
      </c>
      <c r="B17" s="483" t="s">
        <v>9</v>
      </c>
      <c r="C17" s="484"/>
      <c r="D17" s="63"/>
    </row>
    <row r="18" spans="1:4" ht="18" customHeight="1">
      <c r="A18" s="482" t="s">
        <v>30</v>
      </c>
      <c r="B18" s="483" t="s">
        <v>8</v>
      </c>
      <c r="C18" s="484"/>
      <c r="D18" s="63"/>
    </row>
    <row r="19" spans="1:4" ht="18" customHeight="1">
      <c r="A19" s="482" t="s">
        <v>31</v>
      </c>
      <c r="B19" s="483" t="s">
        <v>120</v>
      </c>
      <c r="C19" s="484"/>
      <c r="D19" s="63"/>
    </row>
    <row r="20" spans="1:4" ht="18" customHeight="1">
      <c r="A20" s="482" t="s">
        <v>32</v>
      </c>
      <c r="B20" s="483" t="s">
        <v>121</v>
      </c>
      <c r="C20" s="484"/>
      <c r="D20" s="63"/>
    </row>
    <row r="21" spans="1:4" ht="18" customHeight="1">
      <c r="A21" s="482" t="s">
        <v>33</v>
      </c>
      <c r="B21" s="486"/>
      <c r="C21" s="237"/>
      <c r="D21" s="63"/>
    </row>
    <row r="22" spans="1:4" ht="18" customHeight="1">
      <c r="A22" s="482" t="s">
        <v>34</v>
      </c>
      <c r="B22" s="487"/>
      <c r="C22" s="237"/>
      <c r="D22" s="63"/>
    </row>
    <row r="23" spans="1:4" ht="18" customHeight="1">
      <c r="A23" s="482" t="s">
        <v>35</v>
      </c>
      <c r="B23" s="487"/>
      <c r="C23" s="237"/>
      <c r="D23" s="63"/>
    </row>
    <row r="24" spans="1:4" ht="18" customHeight="1">
      <c r="A24" s="482" t="s">
        <v>36</v>
      </c>
      <c r="B24" s="487"/>
      <c r="C24" s="237"/>
      <c r="D24" s="63"/>
    </row>
    <row r="25" spans="1:4" ht="18" customHeight="1">
      <c r="A25" s="482" t="s">
        <v>37</v>
      </c>
      <c r="B25" s="487"/>
      <c r="C25" s="237"/>
      <c r="D25" s="63"/>
    </row>
    <row r="26" spans="1:4" ht="18" customHeight="1">
      <c r="A26" s="482" t="s">
        <v>38</v>
      </c>
      <c r="B26" s="487"/>
      <c r="C26" s="237"/>
      <c r="D26" s="63"/>
    </row>
    <row r="27" spans="1:4" ht="18" customHeight="1">
      <c r="A27" s="482" t="s">
        <v>39</v>
      </c>
      <c r="B27" s="487"/>
      <c r="C27" s="237"/>
      <c r="D27" s="63"/>
    </row>
    <row r="28" spans="1:4" ht="18" customHeight="1">
      <c r="A28" s="482" t="s">
        <v>40</v>
      </c>
      <c r="B28" s="487"/>
      <c r="C28" s="237"/>
      <c r="D28" s="63"/>
    </row>
    <row r="29" spans="1:4" ht="18" customHeight="1" thickBot="1">
      <c r="A29" s="488" t="s">
        <v>41</v>
      </c>
      <c r="B29" s="489"/>
      <c r="C29" s="490"/>
      <c r="D29" s="48"/>
    </row>
    <row r="30" spans="1:4" ht="18" customHeight="1" thickBot="1">
      <c r="A30" s="491" t="s">
        <v>42</v>
      </c>
      <c r="B30" s="492" t="s">
        <v>50</v>
      </c>
      <c r="C30" s="493">
        <f>+C5+C6+C7+C8+C9+C16+C17+C18+C19+C20+C21+C22+C23+C24+C25+C26+C27+C28+C29</f>
        <v>0</v>
      </c>
      <c r="D30" s="494">
        <f>+D5+D6+D7+D8+D9+D16+D17+D18+D19+D20+D21+D22+D23+D24+D25+D26+D27+D28+D29</f>
        <v>0</v>
      </c>
    </row>
    <row r="31" spans="1:4" ht="8.25" customHeight="1">
      <c r="A31" s="495"/>
      <c r="B31" s="751"/>
      <c r="C31" s="751"/>
      <c r="D31" s="751"/>
    </row>
  </sheetData>
  <mergeCells count="2">
    <mergeCell ref="B31:D31"/>
    <mergeCell ref="B1:D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9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1">
    <tabColor rgb="FFFFFF00"/>
  </sheetPr>
  <dimension ref="A1:O110"/>
  <sheetViews>
    <sheetView topLeftCell="A99" zoomScaleNormal="100" workbookViewId="0">
      <selection activeCell="H104" sqref="H104"/>
    </sheetView>
  </sheetViews>
  <sheetFormatPr defaultRowHeight="15.75"/>
  <cols>
    <col min="1" max="1" width="5.83203125" style="656" bestFit="1" customWidth="1"/>
    <col min="2" max="2" width="62.1640625" style="657" bestFit="1" customWidth="1"/>
    <col min="3" max="3" width="13" style="657" bestFit="1" customWidth="1"/>
    <col min="4" max="4" width="12.5" style="657" bestFit="1" customWidth="1"/>
    <col min="5" max="5" width="13" style="657" bestFit="1" customWidth="1"/>
    <col min="6" max="6" width="12.5" style="657" bestFit="1" customWidth="1"/>
    <col min="7" max="10" width="13" style="657" bestFit="1" customWidth="1"/>
    <col min="11" max="13" width="12.5" style="657" bestFit="1" customWidth="1"/>
    <col min="14" max="14" width="13.83203125" style="657" bestFit="1" customWidth="1"/>
    <col min="15" max="15" width="14.83203125" style="658" bestFit="1" customWidth="1"/>
    <col min="16" max="16384" width="9.33203125" style="657"/>
  </cols>
  <sheetData>
    <row r="1" spans="1:15">
      <c r="B1" s="657" t="s">
        <v>539</v>
      </c>
      <c r="L1" s="756" t="s">
        <v>736</v>
      </c>
      <c r="M1" s="756"/>
      <c r="N1" s="756"/>
    </row>
    <row r="5" spans="1:15" ht="20.25" customHeight="1">
      <c r="A5" s="757" t="s">
        <v>708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</row>
    <row r="6" spans="1:15" ht="21" customHeight="1">
      <c r="A6" s="757" t="s">
        <v>709</v>
      </c>
      <c r="B6" s="757"/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O6" s="757"/>
    </row>
    <row r="7" spans="1:15" ht="21" customHeight="1">
      <c r="A7" s="659"/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</row>
    <row r="8" spans="1:15" ht="16.5" thickBot="1">
      <c r="O8" s="660" t="s">
        <v>589</v>
      </c>
    </row>
    <row r="9" spans="1:15" s="656" customFormat="1" ht="31.5" customHeight="1" thickBot="1">
      <c r="A9" s="661" t="s">
        <v>14</v>
      </c>
      <c r="B9" s="662" t="s">
        <v>58</v>
      </c>
      <c r="C9" s="662" t="s">
        <v>70</v>
      </c>
      <c r="D9" s="662" t="s">
        <v>71</v>
      </c>
      <c r="E9" s="662" t="s">
        <v>72</v>
      </c>
      <c r="F9" s="662" t="s">
        <v>73</v>
      </c>
      <c r="G9" s="662" t="s">
        <v>74</v>
      </c>
      <c r="H9" s="662" t="s">
        <v>75</v>
      </c>
      <c r="I9" s="662" t="s">
        <v>76</v>
      </c>
      <c r="J9" s="662" t="s">
        <v>77</v>
      </c>
      <c r="K9" s="662" t="s">
        <v>78</v>
      </c>
      <c r="L9" s="662" t="s">
        <v>79</v>
      </c>
      <c r="M9" s="662" t="s">
        <v>80</v>
      </c>
      <c r="N9" s="662" t="s">
        <v>81</v>
      </c>
      <c r="O9" s="663" t="s">
        <v>48</v>
      </c>
    </row>
    <row r="10" spans="1:15" s="665" customFormat="1" ht="15" customHeight="1" thickBot="1">
      <c r="A10" s="664"/>
      <c r="B10" s="759" t="s">
        <v>53</v>
      </c>
      <c r="C10" s="760"/>
      <c r="D10" s="760"/>
      <c r="E10" s="760"/>
      <c r="F10" s="760"/>
      <c r="G10" s="760"/>
      <c r="H10" s="760"/>
      <c r="I10" s="760"/>
      <c r="J10" s="760"/>
      <c r="K10" s="760"/>
      <c r="L10" s="760"/>
      <c r="M10" s="760"/>
      <c r="N10" s="760"/>
      <c r="O10" s="761"/>
    </row>
    <row r="11" spans="1:15" s="670" customFormat="1" ht="22.5" customHeight="1">
      <c r="A11" s="666" t="s">
        <v>16</v>
      </c>
      <c r="B11" s="667" t="s">
        <v>372</v>
      </c>
      <c r="C11" s="668">
        <v>18199640</v>
      </c>
      <c r="D11" s="668">
        <v>18199640</v>
      </c>
      <c r="E11" s="668">
        <v>18199640</v>
      </c>
      <c r="F11" s="668">
        <v>18199640</v>
      </c>
      <c r="G11" s="668">
        <v>18199640</v>
      </c>
      <c r="H11" s="668">
        <v>18199640</v>
      </c>
      <c r="I11" s="668">
        <v>18199640</v>
      </c>
      <c r="J11" s="668">
        <v>18199640</v>
      </c>
      <c r="K11" s="668">
        <v>18199640</v>
      </c>
      <c r="L11" s="668">
        <v>18199640</v>
      </c>
      <c r="M11" s="668">
        <v>18199640</v>
      </c>
      <c r="N11" s="668">
        <v>18199639</v>
      </c>
      <c r="O11" s="669">
        <f t="shared" ref="O11:O20" si="0">SUM(C11:N11)</f>
        <v>218395679</v>
      </c>
    </row>
    <row r="12" spans="1:15" s="670" customFormat="1" ht="22.5" customHeight="1">
      <c r="A12" s="666" t="s">
        <v>17</v>
      </c>
      <c r="B12" s="667" t="s">
        <v>602</v>
      </c>
      <c r="C12" s="668">
        <f>4343448</f>
        <v>4343448</v>
      </c>
      <c r="D12" s="668">
        <f t="shared" ref="D12:N12" si="1">4343448</f>
        <v>4343448</v>
      </c>
      <c r="E12" s="668">
        <f t="shared" si="1"/>
        <v>4343448</v>
      </c>
      <c r="F12" s="668">
        <f t="shared" si="1"/>
        <v>4343448</v>
      </c>
      <c r="G12" s="668">
        <f t="shared" si="1"/>
        <v>4343448</v>
      </c>
      <c r="H12" s="668">
        <f>4343448+1418795</f>
        <v>5762243</v>
      </c>
      <c r="I12" s="668">
        <f t="shared" si="1"/>
        <v>4343448</v>
      </c>
      <c r="J12" s="668">
        <f t="shared" si="1"/>
        <v>4343448</v>
      </c>
      <c r="K12" s="668">
        <f>4343448+19701700</f>
        <v>24045148</v>
      </c>
      <c r="L12" s="668">
        <f t="shared" si="1"/>
        <v>4343448</v>
      </c>
      <c r="M12" s="668">
        <f t="shared" si="1"/>
        <v>4343448</v>
      </c>
      <c r="N12" s="668">
        <f t="shared" si="1"/>
        <v>4343448</v>
      </c>
      <c r="O12" s="669">
        <f t="shared" si="0"/>
        <v>73241871</v>
      </c>
    </row>
    <row r="13" spans="1:15" s="670" customFormat="1" ht="22.5" customHeight="1">
      <c r="A13" s="666" t="s">
        <v>18</v>
      </c>
      <c r="B13" s="667" t="s">
        <v>601</v>
      </c>
      <c r="C13" s="668"/>
      <c r="D13" s="668"/>
      <c r="E13" s="668"/>
      <c r="F13" s="668"/>
      <c r="G13" s="668"/>
      <c r="H13" s="668"/>
      <c r="I13" s="668">
        <v>55972518</v>
      </c>
      <c r="J13" s="668"/>
      <c r="K13" s="668"/>
      <c r="L13" s="668"/>
      <c r="M13" s="668"/>
      <c r="N13" s="668"/>
      <c r="O13" s="669">
        <f t="shared" si="0"/>
        <v>55972518</v>
      </c>
    </row>
    <row r="14" spans="1:15" s="670" customFormat="1" ht="22.5" customHeight="1">
      <c r="A14" s="666" t="s">
        <v>19</v>
      </c>
      <c r="B14" s="667" t="s">
        <v>165</v>
      </c>
      <c r="C14" s="668">
        <f>10827500</f>
        <v>10827500</v>
      </c>
      <c r="D14" s="668">
        <f t="shared" ref="D14:N14" si="2">10827500</f>
        <v>10827500</v>
      </c>
      <c r="E14" s="668">
        <f t="shared" si="2"/>
        <v>10827500</v>
      </c>
      <c r="F14" s="668">
        <f t="shared" si="2"/>
        <v>10827500</v>
      </c>
      <c r="G14" s="668">
        <f t="shared" si="2"/>
        <v>10827500</v>
      </c>
      <c r="H14" s="668">
        <f t="shared" si="2"/>
        <v>10827500</v>
      </c>
      <c r="I14" s="668">
        <f t="shared" si="2"/>
        <v>10827500</v>
      </c>
      <c r="J14" s="668">
        <f t="shared" si="2"/>
        <v>10827500</v>
      </c>
      <c r="K14" s="668">
        <f t="shared" si="2"/>
        <v>10827500</v>
      </c>
      <c r="L14" s="668">
        <f t="shared" si="2"/>
        <v>10827500</v>
      </c>
      <c r="M14" s="668">
        <f t="shared" si="2"/>
        <v>10827500</v>
      </c>
      <c r="N14" s="668">
        <f t="shared" si="2"/>
        <v>10827500</v>
      </c>
      <c r="O14" s="669">
        <f t="shared" si="0"/>
        <v>129930000</v>
      </c>
    </row>
    <row r="15" spans="1:15" s="670" customFormat="1" ht="22.5" customHeight="1">
      <c r="A15" s="666" t="s">
        <v>20</v>
      </c>
      <c r="B15" s="667" t="s">
        <v>418</v>
      </c>
      <c r="C15" s="668">
        <f>3200936+412855</f>
        <v>3613791</v>
      </c>
      <c r="D15" s="668">
        <f t="shared" ref="D15:N15" si="3">3200936</f>
        <v>3200936</v>
      </c>
      <c r="E15" s="668">
        <f t="shared" si="3"/>
        <v>3200936</v>
      </c>
      <c r="F15" s="668">
        <f t="shared" si="3"/>
        <v>3200936</v>
      </c>
      <c r="G15" s="668">
        <f t="shared" si="3"/>
        <v>3200936</v>
      </c>
      <c r="H15" s="668">
        <f>3200936+33686153</f>
        <v>36887089</v>
      </c>
      <c r="I15" s="668">
        <f>3200936+33686154</f>
        <v>36887090</v>
      </c>
      <c r="J15" s="668">
        <f>3200936+33686153</f>
        <v>36887089</v>
      </c>
      <c r="K15" s="668">
        <f t="shared" si="3"/>
        <v>3200936</v>
      </c>
      <c r="L15" s="668">
        <f t="shared" si="3"/>
        <v>3200936</v>
      </c>
      <c r="M15" s="668">
        <f t="shared" si="3"/>
        <v>3200936</v>
      </c>
      <c r="N15" s="668">
        <f t="shared" si="3"/>
        <v>3200936</v>
      </c>
      <c r="O15" s="669">
        <f t="shared" si="0"/>
        <v>139882547</v>
      </c>
    </row>
    <row r="16" spans="1:15" s="670" customFormat="1" ht="22.5" customHeight="1">
      <c r="A16" s="666" t="s">
        <v>21</v>
      </c>
      <c r="B16" s="667" t="s">
        <v>10</v>
      </c>
      <c r="C16" s="668">
        <v>10000</v>
      </c>
      <c r="D16" s="668">
        <v>10000</v>
      </c>
      <c r="E16" s="668">
        <v>10000</v>
      </c>
      <c r="F16" s="668">
        <v>10000</v>
      </c>
      <c r="G16" s="668">
        <v>10000</v>
      </c>
      <c r="H16" s="668">
        <v>10000</v>
      </c>
      <c r="I16" s="668">
        <v>10000</v>
      </c>
      <c r="J16" s="668">
        <v>10000</v>
      </c>
      <c r="K16" s="668">
        <v>10000</v>
      </c>
      <c r="L16" s="668">
        <v>10000</v>
      </c>
      <c r="M16" s="668">
        <v>10000</v>
      </c>
      <c r="N16" s="668">
        <v>10000</v>
      </c>
      <c r="O16" s="669">
        <f t="shared" si="0"/>
        <v>120000</v>
      </c>
    </row>
    <row r="17" spans="1:15" s="670" customFormat="1" ht="22.5" customHeight="1">
      <c r="A17" s="666" t="s">
        <v>22</v>
      </c>
      <c r="B17" s="667" t="s">
        <v>374</v>
      </c>
      <c r="C17" s="668"/>
      <c r="D17" s="668"/>
      <c r="E17" s="668"/>
      <c r="F17" s="668"/>
      <c r="G17" s="668"/>
      <c r="H17" s="668"/>
      <c r="I17" s="668"/>
      <c r="J17" s="668"/>
      <c r="K17" s="668"/>
      <c r="L17" s="668"/>
      <c r="M17" s="668"/>
      <c r="N17" s="668"/>
      <c r="O17" s="669">
        <f t="shared" si="0"/>
        <v>0</v>
      </c>
    </row>
    <row r="18" spans="1:15" s="670" customFormat="1" ht="22.5" customHeight="1">
      <c r="A18" s="666" t="s">
        <v>23</v>
      </c>
      <c r="B18" s="667" t="s">
        <v>406</v>
      </c>
      <c r="C18" s="668"/>
      <c r="D18" s="668"/>
      <c r="E18" s="668"/>
      <c r="F18" s="668"/>
      <c r="G18" s="668"/>
      <c r="H18" s="668"/>
      <c r="I18" s="668"/>
      <c r="J18" s="668"/>
      <c r="K18" s="668"/>
      <c r="L18" s="668"/>
      <c r="M18" s="668"/>
      <c r="N18" s="668"/>
      <c r="O18" s="669">
        <f t="shared" si="0"/>
        <v>0</v>
      </c>
    </row>
    <row r="19" spans="1:15" s="670" customFormat="1" ht="22.5" customHeight="1" thickBot="1">
      <c r="A19" s="666" t="s">
        <v>24</v>
      </c>
      <c r="B19" s="667" t="s">
        <v>11</v>
      </c>
      <c r="C19" s="668">
        <v>606054429</v>
      </c>
      <c r="D19" s="668"/>
      <c r="E19" s="668"/>
      <c r="F19" s="668"/>
      <c r="G19" s="668"/>
      <c r="H19" s="668"/>
      <c r="I19" s="668"/>
      <c r="J19" s="668"/>
      <c r="K19" s="668"/>
      <c r="L19" s="668"/>
      <c r="M19" s="668"/>
      <c r="N19" s="668"/>
      <c r="O19" s="669">
        <f t="shared" si="0"/>
        <v>606054429</v>
      </c>
    </row>
    <row r="20" spans="1:15" s="675" customFormat="1" ht="15.95" customHeight="1" thickBot="1">
      <c r="A20" s="671"/>
      <c r="B20" s="672" t="s">
        <v>106</v>
      </c>
      <c r="C20" s="673">
        <f t="shared" ref="C20:N20" si="4">SUM(C11:C19)</f>
        <v>643048808</v>
      </c>
      <c r="D20" s="673">
        <f t="shared" si="4"/>
        <v>36581524</v>
      </c>
      <c r="E20" s="673">
        <f t="shared" si="4"/>
        <v>36581524</v>
      </c>
      <c r="F20" s="673">
        <f t="shared" si="4"/>
        <v>36581524</v>
      </c>
      <c r="G20" s="673">
        <f t="shared" si="4"/>
        <v>36581524</v>
      </c>
      <c r="H20" s="673">
        <f t="shared" si="4"/>
        <v>71686472</v>
      </c>
      <c r="I20" s="673">
        <f t="shared" si="4"/>
        <v>126240196</v>
      </c>
      <c r="J20" s="673">
        <f t="shared" si="4"/>
        <v>70267677</v>
      </c>
      <c r="K20" s="673">
        <f t="shared" si="4"/>
        <v>56283224</v>
      </c>
      <c r="L20" s="673">
        <f t="shared" si="4"/>
        <v>36581524</v>
      </c>
      <c r="M20" s="673">
        <f t="shared" si="4"/>
        <v>36581524</v>
      </c>
      <c r="N20" s="673">
        <f t="shared" si="4"/>
        <v>36581523</v>
      </c>
      <c r="O20" s="674">
        <f t="shared" si="0"/>
        <v>1223597044</v>
      </c>
    </row>
    <row r="21" spans="1:15" s="675" customFormat="1" ht="15.95" customHeight="1">
      <c r="A21" s="676"/>
      <c r="B21" s="677"/>
      <c r="C21" s="678"/>
      <c r="D21" s="678"/>
      <c r="E21" s="678"/>
      <c r="F21" s="678"/>
      <c r="G21" s="678"/>
      <c r="H21" s="678"/>
      <c r="I21" s="678"/>
      <c r="J21" s="678"/>
      <c r="K21" s="678"/>
      <c r="L21" s="678"/>
      <c r="M21" s="678"/>
      <c r="N21" s="678"/>
      <c r="O21" s="678"/>
    </row>
    <row r="22" spans="1:15" s="682" customFormat="1" ht="15.95" customHeight="1">
      <c r="A22" s="679"/>
      <c r="B22" s="680"/>
      <c r="C22" s="681"/>
      <c r="D22" s="681"/>
      <c r="E22" s="681"/>
      <c r="F22" s="681"/>
      <c r="G22" s="681"/>
      <c r="H22" s="681"/>
      <c r="I22" s="681"/>
      <c r="J22" s="681"/>
      <c r="K22" s="681"/>
      <c r="L22" s="681"/>
      <c r="M22" s="681"/>
      <c r="N22" s="681"/>
      <c r="O22" s="681"/>
    </row>
    <row r="23" spans="1:15" s="665" customFormat="1" ht="15" customHeight="1" thickBot="1">
      <c r="A23" s="683"/>
      <c r="B23" s="753" t="s">
        <v>54</v>
      </c>
      <c r="C23" s="754"/>
      <c r="D23" s="754"/>
      <c r="E23" s="754"/>
      <c r="F23" s="754"/>
      <c r="G23" s="754"/>
      <c r="H23" s="754"/>
      <c r="I23" s="754"/>
      <c r="J23" s="754"/>
      <c r="K23" s="754"/>
      <c r="L23" s="754"/>
      <c r="M23" s="754"/>
      <c r="N23" s="754"/>
      <c r="O23" s="755"/>
    </row>
    <row r="24" spans="1:15" s="670" customFormat="1" ht="22.5" customHeight="1">
      <c r="A24" s="666" t="s">
        <v>16</v>
      </c>
      <c r="B24" s="667" t="s">
        <v>59</v>
      </c>
      <c r="C24" s="668">
        <f>5217471</f>
        <v>5217471</v>
      </c>
      <c r="D24" s="668">
        <f t="shared" ref="D24:N24" si="5">5217471</f>
        <v>5217471</v>
      </c>
      <c r="E24" s="668">
        <f t="shared" si="5"/>
        <v>5217471</v>
      </c>
      <c r="F24" s="668">
        <f t="shared" si="5"/>
        <v>5217471</v>
      </c>
      <c r="G24" s="668">
        <f t="shared" si="5"/>
        <v>5217471</v>
      </c>
      <c r="H24" s="668">
        <f>5217471+4506267</f>
        <v>9723738</v>
      </c>
      <c r="I24" s="668">
        <f>5217471+4506268</f>
        <v>9723739</v>
      </c>
      <c r="J24" s="668">
        <f>5217471+4506268</f>
        <v>9723739</v>
      </c>
      <c r="K24" s="668">
        <f t="shared" si="5"/>
        <v>5217471</v>
      </c>
      <c r="L24" s="668">
        <f t="shared" si="5"/>
        <v>5217471</v>
      </c>
      <c r="M24" s="668">
        <f t="shared" si="5"/>
        <v>5217471</v>
      </c>
      <c r="N24" s="668">
        <f t="shared" si="5"/>
        <v>5217471</v>
      </c>
      <c r="O24" s="669">
        <f>SUM(C24:N24)</f>
        <v>76128455</v>
      </c>
    </row>
    <row r="25" spans="1:15" s="670" customFormat="1" ht="22.5" customHeight="1">
      <c r="A25" s="666" t="s">
        <v>17</v>
      </c>
      <c r="B25" s="667" t="s">
        <v>174</v>
      </c>
      <c r="C25" s="668">
        <f>1132689</f>
        <v>1132689</v>
      </c>
      <c r="D25" s="668">
        <f t="shared" ref="D25:N25" si="6">1132689</f>
        <v>1132689</v>
      </c>
      <c r="E25" s="668">
        <f t="shared" si="6"/>
        <v>1132689</v>
      </c>
      <c r="F25" s="668">
        <f t="shared" si="6"/>
        <v>1132689</v>
      </c>
      <c r="G25" s="668">
        <f t="shared" si="6"/>
        <v>1132689</v>
      </c>
      <c r="H25" s="668">
        <f>1132689+930804</f>
        <v>2063493</v>
      </c>
      <c r="I25" s="668">
        <f>1132689+930811</f>
        <v>2063500</v>
      </c>
      <c r="J25" s="668">
        <f>1132689+930811</f>
        <v>2063500</v>
      </c>
      <c r="K25" s="668">
        <f t="shared" si="6"/>
        <v>1132689</v>
      </c>
      <c r="L25" s="668">
        <f t="shared" si="6"/>
        <v>1132689</v>
      </c>
      <c r="M25" s="668">
        <f t="shared" si="6"/>
        <v>1132689</v>
      </c>
      <c r="N25" s="668">
        <f t="shared" si="6"/>
        <v>1132689</v>
      </c>
      <c r="O25" s="669">
        <f>SUM(C25:N25)</f>
        <v>16384694</v>
      </c>
    </row>
    <row r="26" spans="1:15" s="670" customFormat="1" ht="22.5" customHeight="1">
      <c r="A26" s="666" t="s">
        <v>18</v>
      </c>
      <c r="B26" s="667" t="s">
        <v>133</v>
      </c>
      <c r="C26" s="668">
        <f>12710254</f>
        <v>12710254</v>
      </c>
      <c r="D26" s="668">
        <f t="shared" ref="D26:N26" si="7">12710254</f>
        <v>12710254</v>
      </c>
      <c r="E26" s="668">
        <f t="shared" si="7"/>
        <v>12710254</v>
      </c>
      <c r="F26" s="668">
        <f t="shared" si="7"/>
        <v>12710254</v>
      </c>
      <c r="G26" s="668">
        <f t="shared" si="7"/>
        <v>12710254</v>
      </c>
      <c r="H26" s="668">
        <f>12710254+20206980</f>
        <v>32917234</v>
      </c>
      <c r="I26" s="668">
        <f>12710254+20206983</f>
        <v>32917237</v>
      </c>
      <c r="J26" s="668">
        <f>12710254+20206983</f>
        <v>32917237</v>
      </c>
      <c r="K26" s="668">
        <f t="shared" si="7"/>
        <v>12710254</v>
      </c>
      <c r="L26" s="668">
        <f t="shared" si="7"/>
        <v>12710254</v>
      </c>
      <c r="M26" s="668">
        <f t="shared" si="7"/>
        <v>12710254</v>
      </c>
      <c r="N26" s="668">
        <f t="shared" si="7"/>
        <v>12710254</v>
      </c>
      <c r="O26" s="669">
        <f>SUM(C26:N26)</f>
        <v>213143994</v>
      </c>
    </row>
    <row r="27" spans="1:15" s="670" customFormat="1" ht="22.5" customHeight="1">
      <c r="A27" s="666" t="s">
        <v>19</v>
      </c>
      <c r="B27" s="667" t="s">
        <v>175</v>
      </c>
      <c r="C27" s="668">
        <f>792500</f>
        <v>792500</v>
      </c>
      <c r="D27" s="668">
        <f t="shared" ref="D27:N27" si="8">792500</f>
        <v>792500</v>
      </c>
      <c r="E27" s="668">
        <f t="shared" si="8"/>
        <v>792500</v>
      </c>
      <c r="F27" s="668">
        <f t="shared" si="8"/>
        <v>792500</v>
      </c>
      <c r="G27" s="668">
        <f t="shared" si="8"/>
        <v>792500</v>
      </c>
      <c r="H27" s="668">
        <f t="shared" si="8"/>
        <v>792500</v>
      </c>
      <c r="I27" s="668">
        <f t="shared" si="8"/>
        <v>792500</v>
      </c>
      <c r="J27" s="668">
        <f>792500+100000</f>
        <v>892500</v>
      </c>
      <c r="K27" s="668">
        <f t="shared" si="8"/>
        <v>792500</v>
      </c>
      <c r="L27" s="668">
        <f t="shared" si="8"/>
        <v>792500</v>
      </c>
      <c r="M27" s="668">
        <f>792500+100000</f>
        <v>892500</v>
      </c>
      <c r="N27" s="668">
        <f t="shared" si="8"/>
        <v>792500</v>
      </c>
      <c r="O27" s="669">
        <f>SUM(C27:N27)</f>
        <v>9710000</v>
      </c>
    </row>
    <row r="28" spans="1:15" s="670" customFormat="1" ht="22.5" customHeight="1">
      <c r="A28" s="666" t="s">
        <v>20</v>
      </c>
      <c r="B28" s="667" t="s">
        <v>653</v>
      </c>
      <c r="C28" s="668"/>
      <c r="D28" s="668"/>
      <c r="E28" s="668">
        <v>272642</v>
      </c>
      <c r="F28" s="668"/>
      <c r="G28" s="668"/>
      <c r="H28" s="668"/>
      <c r="I28" s="668"/>
      <c r="J28" s="668"/>
      <c r="K28" s="668"/>
      <c r="L28" s="668"/>
      <c r="M28" s="668"/>
      <c r="N28" s="668"/>
      <c r="O28" s="669">
        <f>SUM(C28:N28)</f>
        <v>272642</v>
      </c>
    </row>
    <row r="29" spans="1:15" s="670" customFormat="1" ht="22.5" customHeight="1">
      <c r="A29" s="666" t="s">
        <v>21</v>
      </c>
      <c r="B29" s="667" t="s">
        <v>602</v>
      </c>
      <c r="C29" s="668">
        <f>8998687+375000</f>
        <v>9373687</v>
      </c>
      <c r="D29" s="668">
        <f t="shared" ref="D29:M29" si="9">8998687</f>
        <v>8998687</v>
      </c>
      <c r="E29" s="668">
        <f>8998687+3939780</f>
        <v>12938467</v>
      </c>
      <c r="F29" s="668">
        <f t="shared" si="9"/>
        <v>8998687</v>
      </c>
      <c r="G29" s="668">
        <f t="shared" si="9"/>
        <v>8998687</v>
      </c>
      <c r="H29" s="668">
        <f t="shared" si="9"/>
        <v>8998687</v>
      </c>
      <c r="I29" s="668">
        <f t="shared" si="9"/>
        <v>8998687</v>
      </c>
      <c r="J29" s="668">
        <f>8998687+375000</f>
        <v>9373687</v>
      </c>
      <c r="K29" s="668">
        <f t="shared" si="9"/>
        <v>8998687</v>
      </c>
      <c r="L29" s="668">
        <f t="shared" si="9"/>
        <v>8998687</v>
      </c>
      <c r="M29" s="668">
        <f t="shared" si="9"/>
        <v>8998687</v>
      </c>
      <c r="N29" s="668">
        <f>8998683</f>
        <v>8998683</v>
      </c>
      <c r="O29" s="669">
        <f t="shared" ref="O29:O36" si="10">SUM(C29:N29)</f>
        <v>112674020</v>
      </c>
    </row>
    <row r="30" spans="1:15" s="670" customFormat="1" ht="22.5" customHeight="1">
      <c r="A30" s="666" t="s">
        <v>22</v>
      </c>
      <c r="B30" s="667" t="s">
        <v>603</v>
      </c>
      <c r="C30" s="668"/>
      <c r="D30" s="668"/>
      <c r="E30" s="668">
        <f>17830000+1440000</f>
        <v>19270000</v>
      </c>
      <c r="F30" s="668"/>
      <c r="G30" s="668"/>
      <c r="H30" s="668"/>
      <c r="I30" s="668"/>
      <c r="J30" s="668">
        <f>19701700</f>
        <v>19701700</v>
      </c>
      <c r="K30" s="668"/>
      <c r="L30" s="668"/>
      <c r="M30" s="668"/>
      <c r="N30" s="668"/>
      <c r="O30" s="669">
        <f t="shared" si="10"/>
        <v>38971700</v>
      </c>
    </row>
    <row r="31" spans="1:15" s="670" customFormat="1" ht="22.5" customHeight="1">
      <c r="A31" s="666" t="s">
        <v>23</v>
      </c>
      <c r="B31" s="667" t="s">
        <v>557</v>
      </c>
      <c r="C31" s="668"/>
      <c r="D31" s="668"/>
      <c r="E31" s="668"/>
      <c r="F31" s="668"/>
      <c r="G31" s="668"/>
      <c r="H31" s="668"/>
      <c r="I31" s="668"/>
      <c r="J31" s="668"/>
      <c r="K31" s="668"/>
      <c r="L31" s="668"/>
      <c r="M31" s="668"/>
      <c r="N31" s="668">
        <v>73618052</v>
      </c>
      <c r="O31" s="669">
        <f t="shared" si="10"/>
        <v>73618052</v>
      </c>
    </row>
    <row r="32" spans="1:15" s="670" customFormat="1" ht="22.5" customHeight="1">
      <c r="A32" s="666" t="s">
        <v>24</v>
      </c>
      <c r="B32" s="667" t="s">
        <v>219</v>
      </c>
      <c r="C32" s="668">
        <f>29531785</f>
        <v>29531785</v>
      </c>
      <c r="D32" s="668">
        <f t="shared" ref="D32:M32" si="11">29531785</f>
        <v>29531785</v>
      </c>
      <c r="E32" s="668">
        <f t="shared" si="11"/>
        <v>29531785</v>
      </c>
      <c r="F32" s="668">
        <f t="shared" si="11"/>
        <v>29531785</v>
      </c>
      <c r="G32" s="668">
        <f>29531785+15494000</f>
        <v>45025785</v>
      </c>
      <c r="H32" s="668">
        <f>29531785</f>
        <v>29531785</v>
      </c>
      <c r="I32" s="668">
        <f t="shared" si="11"/>
        <v>29531785</v>
      </c>
      <c r="J32" s="668">
        <f t="shared" si="11"/>
        <v>29531785</v>
      </c>
      <c r="K32" s="668">
        <f t="shared" si="11"/>
        <v>29531785</v>
      </c>
      <c r="L32" s="668">
        <f t="shared" si="11"/>
        <v>29531785</v>
      </c>
      <c r="M32" s="668">
        <f t="shared" si="11"/>
        <v>29531785</v>
      </c>
      <c r="N32" s="668">
        <f>29531779</f>
        <v>29531779</v>
      </c>
      <c r="O32" s="669">
        <f t="shared" si="10"/>
        <v>369875414</v>
      </c>
    </row>
    <row r="33" spans="1:15" s="670" customFormat="1" ht="22.5" customHeight="1">
      <c r="A33" s="666" t="s">
        <v>25</v>
      </c>
      <c r="B33" s="667" t="s">
        <v>178</v>
      </c>
      <c r="C33" s="668">
        <f>11383379</f>
        <v>11383379</v>
      </c>
      <c r="D33" s="668">
        <f t="shared" ref="D33:M33" si="12">11383379</f>
        <v>11383379</v>
      </c>
      <c r="E33" s="668">
        <f t="shared" si="12"/>
        <v>11383379</v>
      </c>
      <c r="F33" s="668">
        <f t="shared" si="12"/>
        <v>11383379</v>
      </c>
      <c r="G33" s="668">
        <f>11383379+6350000</f>
        <v>17733379</v>
      </c>
      <c r="H33" s="668">
        <f t="shared" si="12"/>
        <v>11383379</v>
      </c>
      <c r="I33" s="668">
        <f t="shared" si="12"/>
        <v>11383379</v>
      </c>
      <c r="J33" s="668">
        <f t="shared" si="12"/>
        <v>11383379</v>
      </c>
      <c r="K33" s="668">
        <f t="shared" si="12"/>
        <v>11383379</v>
      </c>
      <c r="L33" s="668">
        <f t="shared" si="12"/>
        <v>11383379</v>
      </c>
      <c r="M33" s="668">
        <f t="shared" si="12"/>
        <v>11383379</v>
      </c>
      <c r="N33" s="668">
        <f>11383376</f>
        <v>11383376</v>
      </c>
      <c r="O33" s="669">
        <f t="shared" si="10"/>
        <v>142950545</v>
      </c>
    </row>
    <row r="34" spans="1:15" s="670" customFormat="1" ht="22.5" customHeight="1">
      <c r="A34" s="666" t="s">
        <v>26</v>
      </c>
      <c r="B34" s="667" t="s">
        <v>222</v>
      </c>
      <c r="C34" s="668"/>
      <c r="D34" s="668"/>
      <c r="E34" s="668"/>
      <c r="F34" s="668"/>
      <c r="G34" s="668"/>
      <c r="H34" s="668"/>
      <c r="I34" s="668"/>
      <c r="J34" s="668"/>
      <c r="K34" s="668"/>
      <c r="L34" s="668"/>
      <c r="M34" s="668"/>
      <c r="N34" s="668"/>
      <c r="O34" s="669">
        <f t="shared" si="10"/>
        <v>0</v>
      </c>
    </row>
    <row r="35" spans="1:15" s="670" customFormat="1" ht="22.5" customHeight="1" thickBot="1">
      <c r="A35" s="666" t="s">
        <v>27</v>
      </c>
      <c r="B35" s="667" t="s">
        <v>12</v>
      </c>
      <c r="C35" s="668">
        <f>13492246+7960578</f>
        <v>21452824</v>
      </c>
      <c r="D35" s="668">
        <f t="shared" ref="D35:M35" si="13">13492246</f>
        <v>13492246</v>
      </c>
      <c r="E35" s="668">
        <f t="shared" si="13"/>
        <v>13492246</v>
      </c>
      <c r="F35" s="668">
        <f t="shared" si="13"/>
        <v>13492246</v>
      </c>
      <c r="G35" s="668">
        <f t="shared" si="13"/>
        <v>13492246</v>
      </c>
      <c r="H35" s="668">
        <f t="shared" si="13"/>
        <v>13492246</v>
      </c>
      <c r="I35" s="668">
        <f t="shared" si="13"/>
        <v>13492246</v>
      </c>
      <c r="J35" s="668">
        <f t="shared" si="13"/>
        <v>13492246</v>
      </c>
      <c r="K35" s="668">
        <f t="shared" si="13"/>
        <v>13492246</v>
      </c>
      <c r="L35" s="668">
        <f t="shared" si="13"/>
        <v>13492246</v>
      </c>
      <c r="M35" s="668">
        <f t="shared" si="13"/>
        <v>13492246</v>
      </c>
      <c r="N35" s="668">
        <f>13492244</f>
        <v>13492244</v>
      </c>
      <c r="O35" s="669">
        <f t="shared" si="10"/>
        <v>169867528</v>
      </c>
    </row>
    <row r="36" spans="1:15" s="675" customFormat="1" ht="15.95" customHeight="1" thickBot="1">
      <c r="A36" s="671"/>
      <c r="B36" s="672" t="s">
        <v>107</v>
      </c>
      <c r="C36" s="673">
        <f t="shared" ref="C36:N36" si="14">SUM(C24:C35)</f>
        <v>91594589</v>
      </c>
      <c r="D36" s="673">
        <f t="shared" si="14"/>
        <v>83259011</v>
      </c>
      <c r="E36" s="673">
        <f t="shared" si="14"/>
        <v>106741433</v>
      </c>
      <c r="F36" s="673">
        <f t="shared" si="14"/>
        <v>83259011</v>
      </c>
      <c r="G36" s="673">
        <f t="shared" si="14"/>
        <v>105103011</v>
      </c>
      <c r="H36" s="673">
        <f t="shared" si="14"/>
        <v>108903062</v>
      </c>
      <c r="I36" s="673">
        <f t="shared" si="14"/>
        <v>108903073</v>
      </c>
      <c r="J36" s="673">
        <f t="shared" si="14"/>
        <v>129079773</v>
      </c>
      <c r="K36" s="673">
        <f t="shared" si="14"/>
        <v>83259011</v>
      </c>
      <c r="L36" s="673">
        <f t="shared" si="14"/>
        <v>83259011</v>
      </c>
      <c r="M36" s="673">
        <f t="shared" si="14"/>
        <v>83359011</v>
      </c>
      <c r="N36" s="673">
        <f t="shared" si="14"/>
        <v>156877048</v>
      </c>
      <c r="O36" s="674">
        <f t="shared" si="10"/>
        <v>1223597044</v>
      </c>
    </row>
    <row r="37" spans="1:15" s="675" customFormat="1" ht="15.95" customHeight="1" thickBot="1">
      <c r="A37" s="684"/>
      <c r="B37" s="685"/>
      <c r="C37" s="686"/>
      <c r="D37" s="686"/>
      <c r="E37" s="686"/>
      <c r="F37" s="686"/>
      <c r="G37" s="686"/>
      <c r="H37" s="686"/>
      <c r="I37" s="686"/>
      <c r="J37" s="686"/>
      <c r="K37" s="686"/>
      <c r="L37" s="686"/>
      <c r="M37" s="686"/>
      <c r="N37" s="686"/>
      <c r="O37" s="686"/>
    </row>
    <row r="38" spans="1:15" ht="16.5" thickBot="1">
      <c r="A38" s="671"/>
      <c r="B38" s="672" t="s">
        <v>108</v>
      </c>
      <c r="C38" s="673">
        <f t="shared" ref="C38:O38" si="15">C20-C36</f>
        <v>551454219</v>
      </c>
      <c r="D38" s="673">
        <f t="shared" si="15"/>
        <v>-46677487</v>
      </c>
      <c r="E38" s="673">
        <f t="shared" si="15"/>
        <v>-70159909</v>
      </c>
      <c r="F38" s="673">
        <f t="shared" si="15"/>
        <v>-46677487</v>
      </c>
      <c r="G38" s="673">
        <f t="shared" si="15"/>
        <v>-68521487</v>
      </c>
      <c r="H38" s="673">
        <f t="shared" si="15"/>
        <v>-37216590</v>
      </c>
      <c r="I38" s="673">
        <f t="shared" si="15"/>
        <v>17337123</v>
      </c>
      <c r="J38" s="673">
        <f t="shared" si="15"/>
        <v>-58812096</v>
      </c>
      <c r="K38" s="673">
        <f t="shared" si="15"/>
        <v>-26975787</v>
      </c>
      <c r="L38" s="673">
        <f t="shared" si="15"/>
        <v>-46677487</v>
      </c>
      <c r="M38" s="673">
        <f t="shared" si="15"/>
        <v>-46777487</v>
      </c>
      <c r="N38" s="673">
        <f t="shared" si="15"/>
        <v>-120295525</v>
      </c>
      <c r="O38" s="674">
        <f t="shared" si="15"/>
        <v>0</v>
      </c>
    </row>
    <row r="41" spans="1:15" ht="20.25" customHeight="1">
      <c r="A41" s="757" t="s">
        <v>708</v>
      </c>
      <c r="B41" s="758"/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</row>
    <row r="42" spans="1:15" ht="21" customHeight="1">
      <c r="A42" s="757" t="s">
        <v>741</v>
      </c>
      <c r="B42" s="757"/>
      <c r="C42" s="757"/>
      <c r="D42" s="757"/>
      <c r="E42" s="757"/>
      <c r="F42" s="757"/>
      <c r="G42" s="757"/>
      <c r="H42" s="757"/>
      <c r="I42" s="757"/>
      <c r="J42" s="757"/>
      <c r="K42" s="757"/>
      <c r="L42" s="757"/>
      <c r="M42" s="757"/>
      <c r="N42" s="757"/>
      <c r="O42" s="757"/>
    </row>
    <row r="43" spans="1:15" ht="21" customHeight="1">
      <c r="A43" s="659"/>
      <c r="B43" s="659"/>
      <c r="C43" s="659"/>
      <c r="D43" s="659"/>
      <c r="E43" s="659"/>
      <c r="F43" s="659"/>
      <c r="G43" s="659"/>
      <c r="H43" s="659"/>
      <c r="I43" s="659"/>
      <c r="J43" s="659"/>
      <c r="K43" s="659"/>
      <c r="L43" s="659"/>
      <c r="M43" s="659"/>
      <c r="N43" s="659"/>
      <c r="O43" s="659"/>
    </row>
    <row r="44" spans="1:15" ht="16.5" thickBot="1">
      <c r="O44" s="660" t="s">
        <v>589</v>
      </c>
    </row>
    <row r="45" spans="1:15" s="656" customFormat="1" ht="31.5" customHeight="1" thickBot="1">
      <c r="A45" s="661" t="s">
        <v>14</v>
      </c>
      <c r="B45" s="662" t="s">
        <v>58</v>
      </c>
      <c r="C45" s="662" t="s">
        <v>70</v>
      </c>
      <c r="D45" s="662" t="s">
        <v>71</v>
      </c>
      <c r="E45" s="662" t="s">
        <v>72</v>
      </c>
      <c r="F45" s="662" t="s">
        <v>73</v>
      </c>
      <c r="G45" s="662" t="s">
        <v>74</v>
      </c>
      <c r="H45" s="662" t="s">
        <v>75</v>
      </c>
      <c r="I45" s="662" t="s">
        <v>76</v>
      </c>
      <c r="J45" s="662" t="s">
        <v>77</v>
      </c>
      <c r="K45" s="662" t="s">
        <v>78</v>
      </c>
      <c r="L45" s="662" t="s">
        <v>79</v>
      </c>
      <c r="M45" s="662" t="s">
        <v>80</v>
      </c>
      <c r="N45" s="662" t="s">
        <v>81</v>
      </c>
      <c r="O45" s="663" t="s">
        <v>48</v>
      </c>
    </row>
    <row r="46" spans="1:15" s="665" customFormat="1" ht="15" customHeight="1" thickBot="1">
      <c r="A46" s="664"/>
      <c r="B46" s="759" t="s">
        <v>53</v>
      </c>
      <c r="C46" s="760"/>
      <c r="D46" s="760"/>
      <c r="E46" s="760"/>
      <c r="F46" s="760"/>
      <c r="G46" s="760"/>
      <c r="H46" s="760"/>
      <c r="I46" s="760"/>
      <c r="J46" s="760"/>
      <c r="K46" s="760"/>
      <c r="L46" s="760"/>
      <c r="M46" s="760"/>
      <c r="N46" s="760"/>
      <c r="O46" s="761"/>
    </row>
    <row r="47" spans="1:15" s="670" customFormat="1" ht="22.5" customHeight="1">
      <c r="A47" s="666" t="s">
        <v>16</v>
      </c>
      <c r="B47" s="667" t="s">
        <v>372</v>
      </c>
      <c r="C47" s="668">
        <v>18199640</v>
      </c>
      <c r="D47" s="668">
        <v>18199640</v>
      </c>
      <c r="E47" s="668">
        <f>18199640+280587+241524</f>
        <v>18721751</v>
      </c>
      <c r="F47" s="668">
        <v>18199640</v>
      </c>
      <c r="G47" s="668">
        <v>18199640</v>
      </c>
      <c r="H47" s="668">
        <v>18199640</v>
      </c>
      <c r="I47" s="668">
        <v>18199640</v>
      </c>
      <c r="J47" s="668">
        <v>18199640</v>
      </c>
      <c r="K47" s="668">
        <v>18199640</v>
      </c>
      <c r="L47" s="668">
        <v>18199640</v>
      </c>
      <c r="M47" s="668">
        <v>18199640</v>
      </c>
      <c r="N47" s="668">
        <v>18199639</v>
      </c>
      <c r="O47" s="669">
        <f t="shared" ref="O47:O56" si="16">SUM(C47:N47)</f>
        <v>218917790</v>
      </c>
    </row>
    <row r="48" spans="1:15" s="670" customFormat="1" ht="22.5" customHeight="1">
      <c r="A48" s="666" t="s">
        <v>17</v>
      </c>
      <c r="B48" s="667" t="s">
        <v>602</v>
      </c>
      <c r="C48" s="668">
        <f>4343448</f>
        <v>4343448</v>
      </c>
      <c r="D48" s="668">
        <f t="shared" ref="D48:N48" si="17">4343448</f>
        <v>4343448</v>
      </c>
      <c r="E48" s="668">
        <f>4343448+105000+715832+78540+119640+1919391</f>
        <v>7281851</v>
      </c>
      <c r="F48" s="668">
        <f t="shared" si="17"/>
        <v>4343448</v>
      </c>
      <c r="G48" s="668">
        <f t="shared" si="17"/>
        <v>4343448</v>
      </c>
      <c r="H48" s="668">
        <f>4343448+1418795</f>
        <v>5762243</v>
      </c>
      <c r="I48" s="668">
        <f t="shared" si="17"/>
        <v>4343448</v>
      </c>
      <c r="J48" s="668">
        <f t="shared" si="17"/>
        <v>4343448</v>
      </c>
      <c r="K48" s="668">
        <f>4343448+19701700</f>
        <v>24045148</v>
      </c>
      <c r="L48" s="668">
        <f t="shared" si="17"/>
        <v>4343448</v>
      </c>
      <c r="M48" s="668">
        <f t="shared" si="17"/>
        <v>4343448</v>
      </c>
      <c r="N48" s="668">
        <f t="shared" si="17"/>
        <v>4343448</v>
      </c>
      <c r="O48" s="669">
        <f t="shared" si="16"/>
        <v>76180274</v>
      </c>
    </row>
    <row r="49" spans="1:15" s="670" customFormat="1" ht="22.5" customHeight="1">
      <c r="A49" s="666" t="s">
        <v>18</v>
      </c>
      <c r="B49" s="667" t="s">
        <v>601</v>
      </c>
      <c r="C49" s="668"/>
      <c r="D49" s="668"/>
      <c r="E49" s="668"/>
      <c r="F49" s="668"/>
      <c r="G49" s="668"/>
      <c r="H49" s="668"/>
      <c r="I49" s="668">
        <v>55972518</v>
      </c>
      <c r="J49" s="668"/>
      <c r="K49" s="668"/>
      <c r="L49" s="668"/>
      <c r="M49" s="668"/>
      <c r="N49" s="668"/>
      <c r="O49" s="669">
        <f t="shared" si="16"/>
        <v>55972518</v>
      </c>
    </row>
    <row r="50" spans="1:15" s="670" customFormat="1" ht="22.5" customHeight="1">
      <c r="A50" s="666" t="s">
        <v>19</v>
      </c>
      <c r="B50" s="667" t="s">
        <v>165</v>
      </c>
      <c r="C50" s="668">
        <f>10827500</f>
        <v>10827500</v>
      </c>
      <c r="D50" s="668">
        <f t="shared" ref="D50:N50" si="18">10827500</f>
        <v>10827500</v>
      </c>
      <c r="E50" s="668">
        <f t="shared" si="18"/>
        <v>10827500</v>
      </c>
      <c r="F50" s="668">
        <f t="shared" si="18"/>
        <v>10827500</v>
      </c>
      <c r="G50" s="668">
        <f t="shared" si="18"/>
        <v>10827500</v>
      </c>
      <c r="H50" s="668">
        <f t="shared" si="18"/>
        <v>10827500</v>
      </c>
      <c r="I50" s="668">
        <f t="shared" si="18"/>
        <v>10827500</v>
      </c>
      <c r="J50" s="668">
        <f t="shared" si="18"/>
        <v>10827500</v>
      </c>
      <c r="K50" s="668">
        <f t="shared" si="18"/>
        <v>10827500</v>
      </c>
      <c r="L50" s="668">
        <f t="shared" si="18"/>
        <v>10827500</v>
      </c>
      <c r="M50" s="668">
        <f t="shared" si="18"/>
        <v>10827500</v>
      </c>
      <c r="N50" s="668">
        <f t="shared" si="18"/>
        <v>10827500</v>
      </c>
      <c r="O50" s="669">
        <f t="shared" si="16"/>
        <v>129930000</v>
      </c>
    </row>
    <row r="51" spans="1:15" s="670" customFormat="1" ht="22.5" customHeight="1">
      <c r="A51" s="666" t="s">
        <v>20</v>
      </c>
      <c r="B51" s="667" t="s">
        <v>418</v>
      </c>
      <c r="C51" s="668">
        <f>3200936+412855</f>
        <v>3613791</v>
      </c>
      <c r="D51" s="668">
        <f t="shared" ref="D51:N51" si="19">3200936</f>
        <v>3200936</v>
      </c>
      <c r="E51" s="668">
        <f t="shared" si="19"/>
        <v>3200936</v>
      </c>
      <c r="F51" s="668">
        <f t="shared" si="19"/>
        <v>3200936</v>
      </c>
      <c r="G51" s="668">
        <f t="shared" si="19"/>
        <v>3200936</v>
      </c>
      <c r="H51" s="668">
        <f>3200936+33686153</f>
        <v>36887089</v>
      </c>
      <c r="I51" s="668">
        <f>3200936+33686154</f>
        <v>36887090</v>
      </c>
      <c r="J51" s="668">
        <f>3200936+33686153</f>
        <v>36887089</v>
      </c>
      <c r="K51" s="668">
        <f t="shared" si="19"/>
        <v>3200936</v>
      </c>
      <c r="L51" s="668">
        <f t="shared" si="19"/>
        <v>3200936</v>
      </c>
      <c r="M51" s="668">
        <f t="shared" si="19"/>
        <v>3200936</v>
      </c>
      <c r="N51" s="668">
        <f t="shared" si="19"/>
        <v>3200936</v>
      </c>
      <c r="O51" s="669">
        <f t="shared" si="16"/>
        <v>139882547</v>
      </c>
    </row>
    <row r="52" spans="1:15" s="670" customFormat="1" ht="22.5" customHeight="1">
      <c r="A52" s="666" t="s">
        <v>21</v>
      </c>
      <c r="B52" s="667" t="s">
        <v>10</v>
      </c>
      <c r="C52" s="668">
        <v>10000</v>
      </c>
      <c r="D52" s="668">
        <v>10000</v>
      </c>
      <c r="E52" s="668">
        <v>10000</v>
      </c>
      <c r="F52" s="668">
        <v>10000</v>
      </c>
      <c r="G52" s="668">
        <v>10000</v>
      </c>
      <c r="H52" s="668">
        <v>10000</v>
      </c>
      <c r="I52" s="668">
        <v>10000</v>
      </c>
      <c r="J52" s="668">
        <v>10000</v>
      </c>
      <c r="K52" s="668">
        <v>10000</v>
      </c>
      <c r="L52" s="668">
        <v>10000</v>
      </c>
      <c r="M52" s="668">
        <v>10000</v>
      </c>
      <c r="N52" s="668">
        <v>10000</v>
      </c>
      <c r="O52" s="669">
        <f t="shared" si="16"/>
        <v>120000</v>
      </c>
    </row>
    <row r="53" spans="1:15" s="670" customFormat="1" ht="22.5" customHeight="1">
      <c r="A53" s="666" t="s">
        <v>22</v>
      </c>
      <c r="B53" s="667" t="s">
        <v>374</v>
      </c>
      <c r="C53" s="668"/>
      <c r="D53" s="668"/>
      <c r="E53" s="668"/>
      <c r="F53" s="668"/>
      <c r="G53" s="668"/>
      <c r="H53" s="668"/>
      <c r="I53" s="668"/>
      <c r="J53" s="668"/>
      <c r="K53" s="668"/>
      <c r="L53" s="668"/>
      <c r="M53" s="668"/>
      <c r="N53" s="668"/>
      <c r="O53" s="669">
        <f t="shared" si="16"/>
        <v>0</v>
      </c>
    </row>
    <row r="54" spans="1:15" s="670" customFormat="1" ht="22.5" customHeight="1">
      <c r="A54" s="666" t="s">
        <v>23</v>
      </c>
      <c r="B54" s="667" t="s">
        <v>406</v>
      </c>
      <c r="C54" s="668"/>
      <c r="D54" s="668"/>
      <c r="E54" s="668"/>
      <c r="F54" s="668"/>
      <c r="G54" s="668"/>
      <c r="H54" s="668"/>
      <c r="I54" s="668"/>
      <c r="J54" s="668"/>
      <c r="K54" s="668"/>
      <c r="L54" s="668"/>
      <c r="M54" s="668"/>
      <c r="N54" s="668"/>
      <c r="O54" s="669">
        <f t="shared" si="16"/>
        <v>0</v>
      </c>
    </row>
    <row r="55" spans="1:15" s="670" customFormat="1" ht="22.5" customHeight="1" thickBot="1">
      <c r="A55" s="666" t="s">
        <v>24</v>
      </c>
      <c r="B55" s="667" t="s">
        <v>11</v>
      </c>
      <c r="C55" s="668">
        <v>606054429</v>
      </c>
      <c r="D55" s="668"/>
      <c r="E55" s="668">
        <v>72564</v>
      </c>
      <c r="F55" s="668"/>
      <c r="G55" s="668"/>
      <c r="H55" s="668"/>
      <c r="I55" s="668"/>
      <c r="J55" s="668"/>
      <c r="K55" s="668"/>
      <c r="L55" s="668"/>
      <c r="M55" s="668"/>
      <c r="N55" s="668"/>
      <c r="O55" s="669">
        <f t="shared" si="16"/>
        <v>606126993</v>
      </c>
    </row>
    <row r="56" spans="1:15" s="675" customFormat="1" ht="15.95" customHeight="1" thickBot="1">
      <c r="A56" s="671"/>
      <c r="B56" s="672" t="s">
        <v>106</v>
      </c>
      <c r="C56" s="673">
        <f t="shared" ref="C56:N56" si="20">SUM(C47:C55)</f>
        <v>643048808</v>
      </c>
      <c r="D56" s="673">
        <f t="shared" si="20"/>
        <v>36581524</v>
      </c>
      <c r="E56" s="673">
        <f t="shared" si="20"/>
        <v>40114602</v>
      </c>
      <c r="F56" s="673">
        <f t="shared" si="20"/>
        <v>36581524</v>
      </c>
      <c r="G56" s="673">
        <f t="shared" si="20"/>
        <v>36581524</v>
      </c>
      <c r="H56" s="673">
        <f t="shared" si="20"/>
        <v>71686472</v>
      </c>
      <c r="I56" s="673">
        <f t="shared" si="20"/>
        <v>126240196</v>
      </c>
      <c r="J56" s="673">
        <f t="shared" si="20"/>
        <v>70267677</v>
      </c>
      <c r="K56" s="673">
        <f t="shared" si="20"/>
        <v>56283224</v>
      </c>
      <c r="L56" s="673">
        <f t="shared" si="20"/>
        <v>36581524</v>
      </c>
      <c r="M56" s="673">
        <f t="shared" si="20"/>
        <v>36581524</v>
      </c>
      <c r="N56" s="673">
        <f t="shared" si="20"/>
        <v>36581523</v>
      </c>
      <c r="O56" s="674">
        <f t="shared" si="16"/>
        <v>1227130122</v>
      </c>
    </row>
    <row r="57" spans="1:15" s="675" customFormat="1" ht="15.95" customHeight="1">
      <c r="A57" s="676"/>
      <c r="B57" s="677"/>
      <c r="C57" s="678"/>
      <c r="D57" s="678"/>
      <c r="E57" s="678"/>
      <c r="F57" s="678"/>
      <c r="G57" s="678"/>
      <c r="H57" s="678"/>
      <c r="I57" s="678"/>
      <c r="J57" s="678"/>
      <c r="K57" s="678"/>
      <c r="L57" s="678"/>
      <c r="M57" s="678"/>
      <c r="N57" s="678"/>
      <c r="O57" s="678"/>
    </row>
    <row r="58" spans="1:15" s="682" customFormat="1" ht="15.95" customHeight="1">
      <c r="A58" s="679"/>
      <c r="B58" s="680"/>
      <c r="C58" s="681"/>
      <c r="D58" s="681"/>
      <c r="E58" s="681"/>
      <c r="F58" s="681"/>
      <c r="G58" s="681"/>
      <c r="H58" s="681"/>
      <c r="I58" s="681"/>
      <c r="J58" s="681"/>
      <c r="K58" s="681"/>
      <c r="L58" s="681"/>
      <c r="M58" s="681"/>
      <c r="N58" s="681"/>
      <c r="O58" s="681"/>
    </row>
    <row r="59" spans="1:15" s="665" customFormat="1" ht="15" customHeight="1" thickBot="1">
      <c r="A59" s="683"/>
      <c r="B59" s="753" t="s">
        <v>54</v>
      </c>
      <c r="C59" s="754"/>
      <c r="D59" s="754"/>
      <c r="E59" s="754"/>
      <c r="F59" s="754"/>
      <c r="G59" s="754"/>
      <c r="H59" s="754"/>
      <c r="I59" s="754"/>
      <c r="J59" s="754"/>
      <c r="K59" s="754"/>
      <c r="L59" s="754"/>
      <c r="M59" s="754"/>
      <c r="N59" s="754"/>
      <c r="O59" s="755"/>
    </row>
    <row r="60" spans="1:15" s="670" customFormat="1" ht="22.5" customHeight="1">
      <c r="A60" s="666" t="s">
        <v>16</v>
      </c>
      <c r="B60" s="667" t="s">
        <v>59</v>
      </c>
      <c r="C60" s="668">
        <f>5217471</f>
        <v>5217471</v>
      </c>
      <c r="D60" s="668">
        <f t="shared" ref="D60:N60" si="21">5217471</f>
        <v>5217471</v>
      </c>
      <c r="E60" s="668">
        <f>5217471+652240</f>
        <v>5869711</v>
      </c>
      <c r="F60" s="668">
        <f t="shared" si="21"/>
        <v>5217471</v>
      </c>
      <c r="G60" s="668">
        <f t="shared" si="21"/>
        <v>5217471</v>
      </c>
      <c r="H60" s="668">
        <f>5217471+4506267</f>
        <v>9723738</v>
      </c>
      <c r="I60" s="668">
        <f>5217471+4506268</f>
        <v>9723739</v>
      </c>
      <c r="J60" s="668">
        <f>5217471+4506268</f>
        <v>9723739</v>
      </c>
      <c r="K60" s="668">
        <f t="shared" si="21"/>
        <v>5217471</v>
      </c>
      <c r="L60" s="668">
        <f t="shared" si="21"/>
        <v>5217471</v>
      </c>
      <c r="M60" s="668">
        <f t="shared" si="21"/>
        <v>5217471</v>
      </c>
      <c r="N60" s="668">
        <f t="shared" si="21"/>
        <v>5217471</v>
      </c>
      <c r="O60" s="669">
        <f>SUM(C60:N60)</f>
        <v>76780695</v>
      </c>
    </row>
    <row r="61" spans="1:15" s="670" customFormat="1" ht="22.5" customHeight="1">
      <c r="A61" s="666" t="s">
        <v>17</v>
      </c>
      <c r="B61" s="667" t="s">
        <v>174</v>
      </c>
      <c r="C61" s="668">
        <f>1132689</f>
        <v>1132689</v>
      </c>
      <c r="D61" s="668">
        <f t="shared" ref="D61:N61" si="22">1132689</f>
        <v>1132689</v>
      </c>
      <c r="E61" s="668">
        <f>1132689+63592</f>
        <v>1196281</v>
      </c>
      <c r="F61" s="668">
        <f t="shared" si="22"/>
        <v>1132689</v>
      </c>
      <c r="G61" s="668">
        <f t="shared" si="22"/>
        <v>1132689</v>
      </c>
      <c r="H61" s="668">
        <f>1132689+930804</f>
        <v>2063493</v>
      </c>
      <c r="I61" s="668">
        <f>1132689+930811</f>
        <v>2063500</v>
      </c>
      <c r="J61" s="668">
        <f>1132689+930811</f>
        <v>2063500</v>
      </c>
      <c r="K61" s="668">
        <f t="shared" si="22"/>
        <v>1132689</v>
      </c>
      <c r="L61" s="668">
        <f t="shared" si="22"/>
        <v>1132689</v>
      </c>
      <c r="M61" s="668">
        <f t="shared" si="22"/>
        <v>1132689</v>
      </c>
      <c r="N61" s="668">
        <f t="shared" si="22"/>
        <v>1132689</v>
      </c>
      <c r="O61" s="669">
        <f>SUM(C61:N61)</f>
        <v>16448286</v>
      </c>
    </row>
    <row r="62" spans="1:15" s="670" customFormat="1" ht="22.5" customHeight="1">
      <c r="A62" s="666" t="s">
        <v>18</v>
      </c>
      <c r="B62" s="667" t="s">
        <v>133</v>
      </c>
      <c r="C62" s="668">
        <f>12710254</f>
        <v>12710254</v>
      </c>
      <c r="D62" s="668">
        <f t="shared" ref="D62:N62" si="23">12710254</f>
        <v>12710254</v>
      </c>
      <c r="E62" s="668">
        <f>12710254+635000+101600</f>
        <v>13446854</v>
      </c>
      <c r="F62" s="668">
        <f t="shared" si="23"/>
        <v>12710254</v>
      </c>
      <c r="G62" s="668">
        <f t="shared" si="23"/>
        <v>12710254</v>
      </c>
      <c r="H62" s="668">
        <f>12710254+20206980</f>
        <v>32917234</v>
      </c>
      <c r="I62" s="668">
        <f>12710254+20206983</f>
        <v>32917237</v>
      </c>
      <c r="J62" s="668">
        <f>12710254+20206983</f>
        <v>32917237</v>
      </c>
      <c r="K62" s="668">
        <f t="shared" si="23"/>
        <v>12710254</v>
      </c>
      <c r="L62" s="668">
        <f t="shared" si="23"/>
        <v>12710254</v>
      </c>
      <c r="M62" s="668">
        <f t="shared" si="23"/>
        <v>12710254</v>
      </c>
      <c r="N62" s="668">
        <f t="shared" si="23"/>
        <v>12710254</v>
      </c>
      <c r="O62" s="669">
        <f>SUM(C62:N62)</f>
        <v>213880594</v>
      </c>
    </row>
    <row r="63" spans="1:15" s="670" customFormat="1" ht="22.5" customHeight="1">
      <c r="A63" s="666" t="s">
        <v>19</v>
      </c>
      <c r="B63" s="667" t="s">
        <v>175</v>
      </c>
      <c r="C63" s="668">
        <f>792500</f>
        <v>792500</v>
      </c>
      <c r="D63" s="668">
        <f t="shared" ref="D63:N63" si="24">792500</f>
        <v>792500</v>
      </c>
      <c r="E63" s="668">
        <f t="shared" si="24"/>
        <v>792500</v>
      </c>
      <c r="F63" s="668">
        <f t="shared" si="24"/>
        <v>792500</v>
      </c>
      <c r="G63" s="668">
        <f t="shared" si="24"/>
        <v>792500</v>
      </c>
      <c r="H63" s="668">
        <f t="shared" si="24"/>
        <v>792500</v>
      </c>
      <c r="I63" s="668">
        <f t="shared" si="24"/>
        <v>792500</v>
      </c>
      <c r="J63" s="668">
        <f>792500+100000</f>
        <v>892500</v>
      </c>
      <c r="K63" s="668">
        <f t="shared" si="24"/>
        <v>792500</v>
      </c>
      <c r="L63" s="668">
        <f t="shared" si="24"/>
        <v>792500</v>
      </c>
      <c r="M63" s="668">
        <f>792500+100000</f>
        <v>892500</v>
      </c>
      <c r="N63" s="668">
        <f t="shared" si="24"/>
        <v>792500</v>
      </c>
      <c r="O63" s="669">
        <f>SUM(C63:N63)</f>
        <v>9710000</v>
      </c>
    </row>
    <row r="64" spans="1:15" s="670" customFormat="1" ht="22.5" customHeight="1">
      <c r="A64" s="666" t="s">
        <v>20</v>
      </c>
      <c r="B64" s="667" t="s">
        <v>653</v>
      </c>
      <c r="C64" s="668"/>
      <c r="D64" s="668"/>
      <c r="E64" s="668">
        <v>272642</v>
      </c>
      <c r="F64" s="668"/>
      <c r="G64" s="668"/>
      <c r="H64" s="668"/>
      <c r="I64" s="668"/>
      <c r="J64" s="668"/>
      <c r="K64" s="668"/>
      <c r="L64" s="668"/>
      <c r="M64" s="668"/>
      <c r="N64" s="668"/>
      <c r="O64" s="669">
        <f>SUM(C64:N64)</f>
        <v>272642</v>
      </c>
    </row>
    <row r="65" spans="1:15" s="670" customFormat="1" ht="22.5" customHeight="1">
      <c r="A65" s="666" t="s">
        <v>21</v>
      </c>
      <c r="B65" s="667" t="s">
        <v>602</v>
      </c>
      <c r="C65" s="668">
        <f>8998687+375000</f>
        <v>9373687</v>
      </c>
      <c r="D65" s="668">
        <f t="shared" ref="D65:M65" si="25">8998687</f>
        <v>8998687</v>
      </c>
      <c r="E65" s="668">
        <f>8998687+3939780+3987864</f>
        <v>16926331</v>
      </c>
      <c r="F65" s="668">
        <f t="shared" si="25"/>
        <v>8998687</v>
      </c>
      <c r="G65" s="668">
        <f t="shared" si="25"/>
        <v>8998687</v>
      </c>
      <c r="H65" s="668">
        <f t="shared" si="25"/>
        <v>8998687</v>
      </c>
      <c r="I65" s="668">
        <f t="shared" si="25"/>
        <v>8998687</v>
      </c>
      <c r="J65" s="668">
        <f>8998687+375000</f>
        <v>9373687</v>
      </c>
      <c r="K65" s="668">
        <f t="shared" si="25"/>
        <v>8998687</v>
      </c>
      <c r="L65" s="668">
        <f t="shared" si="25"/>
        <v>8998687</v>
      </c>
      <c r="M65" s="668">
        <f t="shared" si="25"/>
        <v>8998687</v>
      </c>
      <c r="N65" s="668">
        <f>8998683</f>
        <v>8998683</v>
      </c>
      <c r="O65" s="669">
        <f t="shared" ref="O65:O72" si="26">SUM(C65:N65)</f>
        <v>116661884</v>
      </c>
    </row>
    <row r="66" spans="1:15" s="670" customFormat="1" ht="22.5" customHeight="1">
      <c r="A66" s="666" t="s">
        <v>22</v>
      </c>
      <c r="B66" s="667" t="s">
        <v>603</v>
      </c>
      <c r="C66" s="668"/>
      <c r="D66" s="668"/>
      <c r="E66" s="668">
        <f>17830000+1440000</f>
        <v>19270000</v>
      </c>
      <c r="F66" s="668"/>
      <c r="G66" s="668"/>
      <c r="H66" s="668"/>
      <c r="I66" s="668"/>
      <c r="J66" s="668">
        <f>19701700</f>
        <v>19701700</v>
      </c>
      <c r="K66" s="668"/>
      <c r="L66" s="668"/>
      <c r="M66" s="668"/>
      <c r="N66" s="668"/>
      <c r="O66" s="669">
        <f t="shared" si="26"/>
        <v>38971700</v>
      </c>
    </row>
    <row r="67" spans="1:15" s="670" customFormat="1" ht="22.5" customHeight="1">
      <c r="A67" s="666" t="s">
        <v>23</v>
      </c>
      <c r="B67" s="667" t="s">
        <v>557</v>
      </c>
      <c r="C67" s="668"/>
      <c r="D67" s="668"/>
      <c r="E67" s="668">
        <f>105000+78540+119640+280587+241524+1919391-3987864</f>
        <v>-1243182</v>
      </c>
      <c r="F67" s="668"/>
      <c r="G67" s="668"/>
      <c r="H67" s="668"/>
      <c r="I67" s="668"/>
      <c r="J67" s="668"/>
      <c r="K67" s="668"/>
      <c r="L67" s="668"/>
      <c r="M67" s="668"/>
      <c r="N67" s="668">
        <v>73618052</v>
      </c>
      <c r="O67" s="669">
        <f t="shared" si="26"/>
        <v>72374870</v>
      </c>
    </row>
    <row r="68" spans="1:15" s="670" customFormat="1" ht="22.5" customHeight="1">
      <c r="A68" s="666" t="s">
        <v>24</v>
      </c>
      <c r="B68" s="667" t="s">
        <v>219</v>
      </c>
      <c r="C68" s="668">
        <f>29531785</f>
        <v>29531785</v>
      </c>
      <c r="D68" s="668">
        <f t="shared" ref="D68:M68" si="27">29531785</f>
        <v>29531785</v>
      </c>
      <c r="E68" s="668">
        <f>29531785-635000-101600</f>
        <v>28795185</v>
      </c>
      <c r="F68" s="668">
        <f t="shared" si="27"/>
        <v>29531785</v>
      </c>
      <c r="G68" s="668">
        <f>29531785+15494000</f>
        <v>45025785</v>
      </c>
      <c r="H68" s="668">
        <f>29531785</f>
        <v>29531785</v>
      </c>
      <c r="I68" s="668">
        <f t="shared" si="27"/>
        <v>29531785</v>
      </c>
      <c r="J68" s="668">
        <f t="shared" si="27"/>
        <v>29531785</v>
      </c>
      <c r="K68" s="668">
        <f t="shared" si="27"/>
        <v>29531785</v>
      </c>
      <c r="L68" s="668">
        <f t="shared" si="27"/>
        <v>29531785</v>
      </c>
      <c r="M68" s="668">
        <f t="shared" si="27"/>
        <v>29531785</v>
      </c>
      <c r="N68" s="668">
        <f>29531779</f>
        <v>29531779</v>
      </c>
      <c r="O68" s="669">
        <f t="shared" si="26"/>
        <v>369138814</v>
      </c>
    </row>
    <row r="69" spans="1:15" s="670" customFormat="1" ht="22.5" customHeight="1">
      <c r="A69" s="666" t="s">
        <v>25</v>
      </c>
      <c r="B69" s="667" t="s">
        <v>178</v>
      </c>
      <c r="C69" s="668">
        <f>11383379</f>
        <v>11383379</v>
      </c>
      <c r="D69" s="668">
        <f t="shared" ref="D69:M69" si="28">11383379</f>
        <v>11383379</v>
      </c>
      <c r="E69" s="668">
        <f t="shared" si="28"/>
        <v>11383379</v>
      </c>
      <c r="F69" s="668">
        <f t="shared" si="28"/>
        <v>11383379</v>
      </c>
      <c r="G69" s="668">
        <f>11383379+6350000</f>
        <v>17733379</v>
      </c>
      <c r="H69" s="668">
        <f t="shared" si="28"/>
        <v>11383379</v>
      </c>
      <c r="I69" s="668">
        <f t="shared" si="28"/>
        <v>11383379</v>
      </c>
      <c r="J69" s="668">
        <f t="shared" si="28"/>
        <v>11383379</v>
      </c>
      <c r="K69" s="668">
        <f t="shared" si="28"/>
        <v>11383379</v>
      </c>
      <c r="L69" s="668">
        <f t="shared" si="28"/>
        <v>11383379</v>
      </c>
      <c r="M69" s="668">
        <f t="shared" si="28"/>
        <v>11383379</v>
      </c>
      <c r="N69" s="668">
        <f>11383376</f>
        <v>11383376</v>
      </c>
      <c r="O69" s="669">
        <f t="shared" si="26"/>
        <v>142950545</v>
      </c>
    </row>
    <row r="70" spans="1:15" s="670" customFormat="1" ht="22.5" customHeight="1">
      <c r="A70" s="666" t="s">
        <v>26</v>
      </c>
      <c r="B70" s="667" t="s">
        <v>222</v>
      </c>
      <c r="C70" s="668"/>
      <c r="D70" s="668"/>
      <c r="E70" s="668"/>
      <c r="F70" s="668"/>
      <c r="G70" s="668"/>
      <c r="H70" s="668"/>
      <c r="I70" s="668"/>
      <c r="J70" s="668"/>
      <c r="K70" s="668"/>
      <c r="L70" s="668"/>
      <c r="M70" s="668"/>
      <c r="N70" s="668"/>
      <c r="O70" s="669">
        <f t="shared" si="26"/>
        <v>0</v>
      </c>
    </row>
    <row r="71" spans="1:15" s="670" customFormat="1" ht="22.5" customHeight="1" thickBot="1">
      <c r="A71" s="666" t="s">
        <v>27</v>
      </c>
      <c r="B71" s="667" t="s">
        <v>12</v>
      </c>
      <c r="C71" s="668">
        <f>13492246+7960578</f>
        <v>21452824</v>
      </c>
      <c r="D71" s="668">
        <f t="shared" ref="D71:M71" si="29">13492246</f>
        <v>13492246</v>
      </c>
      <c r="E71" s="668">
        <f>13492246+72564</f>
        <v>13564810</v>
      </c>
      <c r="F71" s="668">
        <f t="shared" si="29"/>
        <v>13492246</v>
      </c>
      <c r="G71" s="668">
        <f t="shared" si="29"/>
        <v>13492246</v>
      </c>
      <c r="H71" s="668">
        <f t="shared" si="29"/>
        <v>13492246</v>
      </c>
      <c r="I71" s="668">
        <f t="shared" si="29"/>
        <v>13492246</v>
      </c>
      <c r="J71" s="668">
        <f t="shared" si="29"/>
        <v>13492246</v>
      </c>
      <c r="K71" s="668">
        <f t="shared" si="29"/>
        <v>13492246</v>
      </c>
      <c r="L71" s="668">
        <f t="shared" si="29"/>
        <v>13492246</v>
      </c>
      <c r="M71" s="668">
        <f t="shared" si="29"/>
        <v>13492246</v>
      </c>
      <c r="N71" s="668">
        <f>13492244</f>
        <v>13492244</v>
      </c>
      <c r="O71" s="669">
        <f t="shared" si="26"/>
        <v>169940092</v>
      </c>
    </row>
    <row r="72" spans="1:15" s="675" customFormat="1" ht="15.95" customHeight="1" thickBot="1">
      <c r="A72" s="671"/>
      <c r="B72" s="672" t="s">
        <v>107</v>
      </c>
      <c r="C72" s="673">
        <f t="shared" ref="C72:N72" si="30">SUM(C60:C71)</f>
        <v>91594589</v>
      </c>
      <c r="D72" s="673">
        <f t="shared" si="30"/>
        <v>83259011</v>
      </c>
      <c r="E72" s="673">
        <f t="shared" si="30"/>
        <v>110274511</v>
      </c>
      <c r="F72" s="673">
        <f t="shared" si="30"/>
        <v>83259011</v>
      </c>
      <c r="G72" s="673">
        <f t="shared" si="30"/>
        <v>105103011</v>
      </c>
      <c r="H72" s="673">
        <f t="shared" si="30"/>
        <v>108903062</v>
      </c>
      <c r="I72" s="673">
        <f t="shared" si="30"/>
        <v>108903073</v>
      </c>
      <c r="J72" s="673">
        <f t="shared" si="30"/>
        <v>129079773</v>
      </c>
      <c r="K72" s="673">
        <f t="shared" si="30"/>
        <v>83259011</v>
      </c>
      <c r="L72" s="673">
        <f t="shared" si="30"/>
        <v>83259011</v>
      </c>
      <c r="M72" s="673">
        <f t="shared" si="30"/>
        <v>83359011</v>
      </c>
      <c r="N72" s="673">
        <f t="shared" si="30"/>
        <v>156877048</v>
      </c>
      <c r="O72" s="674">
        <f t="shared" si="26"/>
        <v>1227130122</v>
      </c>
    </row>
    <row r="73" spans="1:15" s="675" customFormat="1" ht="15.95" customHeight="1" thickBot="1">
      <c r="A73" s="684"/>
      <c r="B73" s="685"/>
      <c r="C73" s="686"/>
      <c r="D73" s="686"/>
      <c r="E73" s="686"/>
      <c r="F73" s="686"/>
      <c r="G73" s="686"/>
      <c r="H73" s="686"/>
      <c r="I73" s="686"/>
      <c r="J73" s="686"/>
      <c r="K73" s="686"/>
      <c r="L73" s="686"/>
      <c r="M73" s="686"/>
      <c r="N73" s="686"/>
      <c r="O73" s="686"/>
    </row>
    <row r="74" spans="1:15" ht="16.5" thickBot="1">
      <c r="A74" s="671"/>
      <c r="B74" s="672" t="s">
        <v>108</v>
      </c>
      <c r="C74" s="673">
        <f t="shared" ref="C74:O74" si="31">C56-C72</f>
        <v>551454219</v>
      </c>
      <c r="D74" s="673">
        <f t="shared" si="31"/>
        <v>-46677487</v>
      </c>
      <c r="E74" s="673">
        <f t="shared" si="31"/>
        <v>-70159909</v>
      </c>
      <c r="F74" s="673">
        <f t="shared" si="31"/>
        <v>-46677487</v>
      </c>
      <c r="G74" s="673">
        <f t="shared" si="31"/>
        <v>-68521487</v>
      </c>
      <c r="H74" s="673">
        <f t="shared" si="31"/>
        <v>-37216590</v>
      </c>
      <c r="I74" s="673">
        <f t="shared" si="31"/>
        <v>17337123</v>
      </c>
      <c r="J74" s="673">
        <f t="shared" si="31"/>
        <v>-58812096</v>
      </c>
      <c r="K74" s="673">
        <f t="shared" si="31"/>
        <v>-26975787</v>
      </c>
      <c r="L74" s="673">
        <f t="shared" si="31"/>
        <v>-46677487</v>
      </c>
      <c r="M74" s="673">
        <f t="shared" si="31"/>
        <v>-46777487</v>
      </c>
      <c r="N74" s="673">
        <f t="shared" si="31"/>
        <v>-120295525</v>
      </c>
      <c r="O74" s="674">
        <f t="shared" si="31"/>
        <v>0</v>
      </c>
    </row>
    <row r="77" spans="1:15" ht="20.25" customHeight="1">
      <c r="A77" s="757" t="s">
        <v>708</v>
      </c>
      <c r="B77" s="758"/>
      <c r="C77" s="758"/>
      <c r="D77" s="758"/>
      <c r="E77" s="758"/>
      <c r="F77" s="758"/>
      <c r="G77" s="758"/>
      <c r="H77" s="758"/>
      <c r="I77" s="758"/>
      <c r="J77" s="758"/>
      <c r="K77" s="758"/>
      <c r="L77" s="758"/>
      <c r="M77" s="758"/>
      <c r="N77" s="758"/>
      <c r="O77" s="758"/>
    </row>
    <row r="78" spans="1:15" ht="21" customHeight="1">
      <c r="A78" s="757" t="s">
        <v>745</v>
      </c>
      <c r="B78" s="757"/>
      <c r="C78" s="757"/>
      <c r="D78" s="757"/>
      <c r="E78" s="757"/>
      <c r="F78" s="757"/>
      <c r="G78" s="757"/>
      <c r="H78" s="757"/>
      <c r="I78" s="757"/>
      <c r="J78" s="757"/>
      <c r="K78" s="757"/>
      <c r="L78" s="757"/>
      <c r="M78" s="757"/>
      <c r="N78" s="757"/>
      <c r="O78" s="757"/>
    </row>
    <row r="79" spans="1:15" ht="21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</row>
    <row r="80" spans="1:15" ht="16.5" thickBot="1">
      <c r="O80" s="660" t="s">
        <v>589</v>
      </c>
    </row>
    <row r="81" spans="1:15" s="656" customFormat="1" ht="31.5" customHeight="1" thickBot="1">
      <c r="A81" s="661" t="s">
        <v>14</v>
      </c>
      <c r="B81" s="662" t="s">
        <v>58</v>
      </c>
      <c r="C81" s="662" t="s">
        <v>70</v>
      </c>
      <c r="D81" s="662" t="s">
        <v>71</v>
      </c>
      <c r="E81" s="662" t="s">
        <v>72</v>
      </c>
      <c r="F81" s="662" t="s">
        <v>73</v>
      </c>
      <c r="G81" s="662" t="s">
        <v>74</v>
      </c>
      <c r="H81" s="662" t="s">
        <v>75</v>
      </c>
      <c r="I81" s="662" t="s">
        <v>76</v>
      </c>
      <c r="J81" s="662" t="s">
        <v>77</v>
      </c>
      <c r="K81" s="662" t="s">
        <v>78</v>
      </c>
      <c r="L81" s="662" t="s">
        <v>79</v>
      </c>
      <c r="M81" s="662" t="s">
        <v>80</v>
      </c>
      <c r="N81" s="662" t="s">
        <v>81</v>
      </c>
      <c r="O81" s="663" t="s">
        <v>48</v>
      </c>
    </row>
    <row r="82" spans="1:15" s="665" customFormat="1" ht="15" customHeight="1" thickBot="1">
      <c r="A82" s="664"/>
      <c r="B82" s="759" t="s">
        <v>53</v>
      </c>
      <c r="C82" s="760"/>
      <c r="D82" s="760"/>
      <c r="E82" s="760"/>
      <c r="F82" s="760"/>
      <c r="G82" s="760"/>
      <c r="H82" s="760"/>
      <c r="I82" s="760"/>
      <c r="J82" s="760"/>
      <c r="K82" s="760"/>
      <c r="L82" s="760"/>
      <c r="M82" s="760"/>
      <c r="N82" s="760"/>
      <c r="O82" s="761"/>
    </row>
    <row r="83" spans="1:15" s="670" customFormat="1" ht="22.5" customHeight="1">
      <c r="A83" s="666" t="s">
        <v>16</v>
      </c>
      <c r="B83" s="667" t="s">
        <v>372</v>
      </c>
      <c r="C83" s="668">
        <v>18199640</v>
      </c>
      <c r="D83" s="668">
        <v>18199640</v>
      </c>
      <c r="E83" s="668">
        <f>18199640+280587+241524</f>
        <v>18721751</v>
      </c>
      <c r="F83" s="668">
        <v>18199640</v>
      </c>
      <c r="G83" s="668">
        <v>18199640</v>
      </c>
      <c r="H83" s="668">
        <f>18199640+411269+533400-152000+187376+293730-2814800</f>
        <v>16658615</v>
      </c>
      <c r="I83" s="668">
        <v>18199640</v>
      </c>
      <c r="J83" s="668">
        <v>18199640</v>
      </c>
      <c r="K83" s="668">
        <v>18199640</v>
      </c>
      <c r="L83" s="668">
        <v>18199640</v>
      </c>
      <c r="M83" s="668">
        <v>18199640</v>
      </c>
      <c r="N83" s="668">
        <v>18199639</v>
      </c>
      <c r="O83" s="669">
        <f t="shared" ref="O83:O92" si="32">SUM(C83:N83)</f>
        <v>217376765</v>
      </c>
    </row>
    <row r="84" spans="1:15" s="670" customFormat="1" ht="22.5" customHeight="1">
      <c r="A84" s="666" t="s">
        <v>17</v>
      </c>
      <c r="B84" s="667" t="s">
        <v>602</v>
      </c>
      <c r="C84" s="668">
        <f>4343448</f>
        <v>4343448</v>
      </c>
      <c r="D84" s="668">
        <f t="shared" ref="D84:N84" si="33">4343448</f>
        <v>4343448</v>
      </c>
      <c r="E84" s="668">
        <f>4343448+105000+715832+78540+119640+1919391</f>
        <v>7281851</v>
      </c>
      <c r="F84" s="668">
        <f t="shared" si="33"/>
        <v>4343448</v>
      </c>
      <c r="G84" s="668">
        <f t="shared" si="33"/>
        <v>4343448</v>
      </c>
      <c r="H84" s="668">
        <f>4343448+1418795-1919391+2706807+112502</f>
        <v>6662161</v>
      </c>
      <c r="I84" s="668">
        <f t="shared" si="33"/>
        <v>4343448</v>
      </c>
      <c r="J84" s="668">
        <f t="shared" si="33"/>
        <v>4343448</v>
      </c>
      <c r="K84" s="668">
        <f>4343448+19701700</f>
        <v>24045148</v>
      </c>
      <c r="L84" s="668">
        <f t="shared" si="33"/>
        <v>4343448</v>
      </c>
      <c r="M84" s="668">
        <f t="shared" si="33"/>
        <v>4343448</v>
      </c>
      <c r="N84" s="668">
        <f t="shared" si="33"/>
        <v>4343448</v>
      </c>
      <c r="O84" s="669">
        <f t="shared" si="32"/>
        <v>77080192</v>
      </c>
    </row>
    <row r="85" spans="1:15" s="670" customFormat="1" ht="22.5" customHeight="1">
      <c r="A85" s="666" t="s">
        <v>18</v>
      </c>
      <c r="B85" s="667" t="s">
        <v>601</v>
      </c>
      <c r="C85" s="668"/>
      <c r="D85" s="668"/>
      <c r="E85" s="668"/>
      <c r="F85" s="668"/>
      <c r="G85" s="668"/>
      <c r="H85" s="668">
        <f>7817442</f>
        <v>7817442</v>
      </c>
      <c r="I85" s="668">
        <v>55972518</v>
      </c>
      <c r="J85" s="668"/>
      <c r="K85" s="668"/>
      <c r="L85" s="668"/>
      <c r="M85" s="668"/>
      <c r="N85" s="668"/>
      <c r="O85" s="669">
        <f t="shared" si="32"/>
        <v>63789960</v>
      </c>
    </row>
    <row r="86" spans="1:15" s="670" customFormat="1" ht="22.5" customHeight="1">
      <c r="A86" s="666" t="s">
        <v>19</v>
      </c>
      <c r="B86" s="667" t="s">
        <v>165</v>
      </c>
      <c r="C86" s="668">
        <f>10827500</f>
        <v>10827500</v>
      </c>
      <c r="D86" s="668">
        <f t="shared" ref="D86:N86" si="34">10827500</f>
        <v>10827500</v>
      </c>
      <c r="E86" s="668">
        <f t="shared" si="34"/>
        <v>10827500</v>
      </c>
      <c r="F86" s="668">
        <f t="shared" si="34"/>
        <v>10827500</v>
      </c>
      <c r="G86" s="668">
        <f t="shared" si="34"/>
        <v>10827500</v>
      </c>
      <c r="H86" s="668">
        <f t="shared" si="34"/>
        <v>10827500</v>
      </c>
      <c r="I86" s="668">
        <f t="shared" si="34"/>
        <v>10827500</v>
      </c>
      <c r="J86" s="668">
        <f t="shared" si="34"/>
        <v>10827500</v>
      </c>
      <c r="K86" s="668">
        <f t="shared" si="34"/>
        <v>10827500</v>
      </c>
      <c r="L86" s="668">
        <f t="shared" si="34"/>
        <v>10827500</v>
      </c>
      <c r="M86" s="668">
        <f t="shared" si="34"/>
        <v>10827500</v>
      </c>
      <c r="N86" s="668">
        <f t="shared" si="34"/>
        <v>10827500</v>
      </c>
      <c r="O86" s="669">
        <f t="shared" si="32"/>
        <v>129930000</v>
      </c>
    </row>
    <row r="87" spans="1:15" s="670" customFormat="1" ht="22.5" customHeight="1">
      <c r="A87" s="666" t="s">
        <v>20</v>
      </c>
      <c r="B87" s="667" t="s">
        <v>418</v>
      </c>
      <c r="C87" s="668">
        <f>3200936+412855</f>
        <v>3613791</v>
      </c>
      <c r="D87" s="668">
        <f t="shared" ref="D87:N87" si="35">3200936</f>
        <v>3200936</v>
      </c>
      <c r="E87" s="668">
        <f t="shared" si="35"/>
        <v>3200936</v>
      </c>
      <c r="F87" s="668">
        <f t="shared" si="35"/>
        <v>3200936</v>
      </c>
      <c r="G87" s="668">
        <f t="shared" si="35"/>
        <v>3200936</v>
      </c>
      <c r="H87" s="668">
        <f>3200936+33686153+82824+167910-249000-150000</f>
        <v>36738823</v>
      </c>
      <c r="I87" s="668">
        <f>3200936+33686154</f>
        <v>36887090</v>
      </c>
      <c r="J87" s="668">
        <f>3200936+33686153</f>
        <v>36887089</v>
      </c>
      <c r="K87" s="668">
        <f t="shared" si="35"/>
        <v>3200936</v>
      </c>
      <c r="L87" s="668">
        <f t="shared" si="35"/>
        <v>3200936</v>
      </c>
      <c r="M87" s="668">
        <f t="shared" si="35"/>
        <v>3200936</v>
      </c>
      <c r="N87" s="668">
        <f t="shared" si="35"/>
        <v>3200936</v>
      </c>
      <c r="O87" s="669">
        <f t="shared" si="32"/>
        <v>139734281</v>
      </c>
    </row>
    <row r="88" spans="1:15" s="670" customFormat="1" ht="22.5" customHeight="1">
      <c r="A88" s="666" t="s">
        <v>21</v>
      </c>
      <c r="B88" s="667" t="s">
        <v>10</v>
      </c>
      <c r="C88" s="668">
        <v>10000</v>
      </c>
      <c r="D88" s="668">
        <v>10000</v>
      </c>
      <c r="E88" s="668">
        <v>10000</v>
      </c>
      <c r="F88" s="668">
        <v>10000</v>
      </c>
      <c r="G88" s="668">
        <v>10000</v>
      </c>
      <c r="H88" s="668">
        <v>10000</v>
      </c>
      <c r="I88" s="668">
        <v>10000</v>
      </c>
      <c r="J88" s="668">
        <v>10000</v>
      </c>
      <c r="K88" s="668">
        <v>10000</v>
      </c>
      <c r="L88" s="668">
        <v>10000</v>
      </c>
      <c r="M88" s="668">
        <v>10000</v>
      </c>
      <c r="N88" s="668">
        <v>10000</v>
      </c>
      <c r="O88" s="669">
        <f t="shared" si="32"/>
        <v>120000</v>
      </c>
    </row>
    <row r="89" spans="1:15" s="670" customFormat="1" ht="22.5" customHeight="1">
      <c r="A89" s="666" t="s">
        <v>22</v>
      </c>
      <c r="B89" s="667" t="s">
        <v>374</v>
      </c>
      <c r="C89" s="668"/>
      <c r="D89" s="668"/>
      <c r="E89" s="668"/>
      <c r="F89" s="668"/>
      <c r="G89" s="668"/>
      <c r="H89" s="668"/>
      <c r="I89" s="668"/>
      <c r="J89" s="668"/>
      <c r="K89" s="668"/>
      <c r="L89" s="668"/>
      <c r="M89" s="668"/>
      <c r="N89" s="668"/>
      <c r="O89" s="669">
        <f t="shared" si="32"/>
        <v>0</v>
      </c>
    </row>
    <row r="90" spans="1:15" s="670" customFormat="1" ht="22.5" customHeight="1">
      <c r="A90" s="666" t="s">
        <v>23</v>
      </c>
      <c r="B90" s="667" t="s">
        <v>406</v>
      </c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9">
        <f t="shared" si="32"/>
        <v>0</v>
      </c>
    </row>
    <row r="91" spans="1:15" s="670" customFormat="1" ht="22.5" customHeight="1" thickBot="1">
      <c r="A91" s="666" t="s">
        <v>24</v>
      </c>
      <c r="B91" s="667" t="s">
        <v>11</v>
      </c>
      <c r="C91" s="668">
        <v>606054429</v>
      </c>
      <c r="D91" s="668"/>
      <c r="E91" s="668">
        <v>72564</v>
      </c>
      <c r="F91" s="668"/>
      <c r="G91" s="668"/>
      <c r="H91" s="668">
        <f>-350000</f>
        <v>-350000</v>
      </c>
      <c r="I91" s="668"/>
      <c r="J91" s="668"/>
      <c r="K91" s="668"/>
      <c r="L91" s="668"/>
      <c r="M91" s="668"/>
      <c r="N91" s="668"/>
      <c r="O91" s="669">
        <f t="shared" si="32"/>
        <v>605776993</v>
      </c>
    </row>
    <row r="92" spans="1:15" s="675" customFormat="1" ht="15.95" customHeight="1" thickBot="1">
      <c r="A92" s="671"/>
      <c r="B92" s="672" t="s">
        <v>106</v>
      </c>
      <c r="C92" s="673">
        <f t="shared" ref="C92:N92" si="36">SUM(C83:C91)</f>
        <v>643048808</v>
      </c>
      <c r="D92" s="673">
        <f t="shared" si="36"/>
        <v>36581524</v>
      </c>
      <c r="E92" s="673">
        <f t="shared" si="36"/>
        <v>40114602</v>
      </c>
      <c r="F92" s="673">
        <f t="shared" si="36"/>
        <v>36581524</v>
      </c>
      <c r="G92" s="673">
        <f t="shared" si="36"/>
        <v>36581524</v>
      </c>
      <c r="H92" s="673">
        <f t="shared" si="36"/>
        <v>78364541</v>
      </c>
      <c r="I92" s="673">
        <f t="shared" si="36"/>
        <v>126240196</v>
      </c>
      <c r="J92" s="673">
        <f t="shared" si="36"/>
        <v>70267677</v>
      </c>
      <c r="K92" s="673">
        <f t="shared" si="36"/>
        <v>56283224</v>
      </c>
      <c r="L92" s="673">
        <f t="shared" si="36"/>
        <v>36581524</v>
      </c>
      <c r="M92" s="673">
        <f t="shared" si="36"/>
        <v>36581524</v>
      </c>
      <c r="N92" s="673">
        <f t="shared" si="36"/>
        <v>36581523</v>
      </c>
      <c r="O92" s="674">
        <f t="shared" si="32"/>
        <v>1233808191</v>
      </c>
    </row>
    <row r="93" spans="1:15" s="675" customFormat="1" ht="15.95" customHeight="1">
      <c r="A93" s="676"/>
      <c r="B93" s="677"/>
      <c r="C93" s="678"/>
      <c r="D93" s="678"/>
      <c r="E93" s="678"/>
      <c r="F93" s="678"/>
      <c r="G93" s="678"/>
      <c r="H93" s="678"/>
      <c r="I93" s="678"/>
      <c r="J93" s="678"/>
      <c r="K93" s="678"/>
      <c r="L93" s="678"/>
      <c r="M93" s="678"/>
      <c r="N93" s="678"/>
      <c r="O93" s="678"/>
    </row>
    <row r="94" spans="1:15" s="682" customFormat="1" ht="15.95" customHeight="1">
      <c r="A94" s="679"/>
      <c r="B94" s="680"/>
      <c r="C94" s="681"/>
      <c r="D94" s="681"/>
      <c r="E94" s="681"/>
      <c r="F94" s="681"/>
      <c r="G94" s="681"/>
      <c r="H94" s="681"/>
      <c r="I94" s="681"/>
      <c r="J94" s="681"/>
      <c r="K94" s="681"/>
      <c r="L94" s="681"/>
      <c r="M94" s="681"/>
      <c r="N94" s="681"/>
      <c r="O94" s="681"/>
    </row>
    <row r="95" spans="1:15" s="665" customFormat="1" ht="15" customHeight="1" thickBot="1">
      <c r="A95" s="683"/>
      <c r="B95" s="753" t="s">
        <v>54</v>
      </c>
      <c r="C95" s="754"/>
      <c r="D95" s="754"/>
      <c r="E95" s="754"/>
      <c r="F95" s="754"/>
      <c r="G95" s="754"/>
      <c r="H95" s="754"/>
      <c r="I95" s="754"/>
      <c r="J95" s="754"/>
      <c r="K95" s="754"/>
      <c r="L95" s="754"/>
      <c r="M95" s="754"/>
      <c r="N95" s="754"/>
      <c r="O95" s="755"/>
    </row>
    <row r="96" spans="1:15" s="670" customFormat="1" ht="22.5" customHeight="1">
      <c r="A96" s="666" t="s">
        <v>16</v>
      </c>
      <c r="B96" s="667" t="s">
        <v>59</v>
      </c>
      <c r="C96" s="668">
        <f>5217471</f>
        <v>5217471</v>
      </c>
      <c r="D96" s="668">
        <f t="shared" ref="D96:N96" si="37">5217471</f>
        <v>5217471</v>
      </c>
      <c r="E96" s="668">
        <f>5217471+652240</f>
        <v>5869711</v>
      </c>
      <c r="F96" s="668">
        <f t="shared" si="37"/>
        <v>5217471</v>
      </c>
      <c r="G96" s="668">
        <f t="shared" si="37"/>
        <v>5217471</v>
      </c>
      <c r="H96" s="668">
        <f>5217471+4506267+2595000+80625-3120000-136576</f>
        <v>9142787</v>
      </c>
      <c r="I96" s="668">
        <f>5217471+4506268</f>
        <v>9723739</v>
      </c>
      <c r="J96" s="668">
        <f>5217471+4506268</f>
        <v>9723739</v>
      </c>
      <c r="K96" s="668">
        <f t="shared" si="37"/>
        <v>5217471</v>
      </c>
      <c r="L96" s="668">
        <f t="shared" si="37"/>
        <v>5217471</v>
      </c>
      <c r="M96" s="668">
        <f t="shared" si="37"/>
        <v>5217471</v>
      </c>
      <c r="N96" s="668">
        <f t="shared" si="37"/>
        <v>5217471</v>
      </c>
      <c r="O96" s="669">
        <f>SUM(C96:N96)</f>
        <v>76199744</v>
      </c>
    </row>
    <row r="97" spans="1:15" s="670" customFormat="1" ht="22.5" customHeight="1">
      <c r="A97" s="666" t="s">
        <v>17</v>
      </c>
      <c r="B97" s="667" t="s">
        <v>174</v>
      </c>
      <c r="C97" s="668">
        <f>1132689</f>
        <v>1132689</v>
      </c>
      <c r="D97" s="668">
        <f t="shared" ref="D97:N97" si="38">1132689</f>
        <v>1132689</v>
      </c>
      <c r="E97" s="668">
        <f>1132689+63592</f>
        <v>1196281</v>
      </c>
      <c r="F97" s="668">
        <f t="shared" si="38"/>
        <v>1132689</v>
      </c>
      <c r="G97" s="668">
        <f t="shared" si="38"/>
        <v>1132689</v>
      </c>
      <c r="H97" s="668">
        <f>1132689+930804+506025+27590-608400-30047</f>
        <v>1958661</v>
      </c>
      <c r="I97" s="668">
        <f>1132689+930811</f>
        <v>2063500</v>
      </c>
      <c r="J97" s="668">
        <f>1132689+930811</f>
        <v>2063500</v>
      </c>
      <c r="K97" s="668">
        <f t="shared" si="38"/>
        <v>1132689</v>
      </c>
      <c r="L97" s="668">
        <f t="shared" si="38"/>
        <v>1132689</v>
      </c>
      <c r="M97" s="668">
        <f t="shared" si="38"/>
        <v>1132689</v>
      </c>
      <c r="N97" s="668">
        <f t="shared" si="38"/>
        <v>1132689</v>
      </c>
      <c r="O97" s="669">
        <f>SUM(C97:N97)</f>
        <v>16343454</v>
      </c>
    </row>
    <row r="98" spans="1:15" s="670" customFormat="1" ht="22.5" customHeight="1">
      <c r="A98" s="666" t="s">
        <v>18</v>
      </c>
      <c r="B98" s="667" t="s">
        <v>133</v>
      </c>
      <c r="C98" s="668">
        <f>12710254</f>
        <v>12710254</v>
      </c>
      <c r="D98" s="668">
        <f t="shared" ref="D98:N98" si="39">12710254</f>
        <v>12710254</v>
      </c>
      <c r="E98" s="668">
        <f>12710254+635000+101600</f>
        <v>13446854</v>
      </c>
      <c r="F98" s="668">
        <f t="shared" si="39"/>
        <v>12710254</v>
      </c>
      <c r="G98" s="668">
        <f t="shared" si="39"/>
        <v>12710254</v>
      </c>
      <c r="H98" s="668">
        <f>12710254+20206980+533400+167910+190500+34360+13694572+9032376+6502400+702474+132358+1911775+1441313</f>
        <v>67260672</v>
      </c>
      <c r="I98" s="668">
        <f>12710254+20206983</f>
        <v>32917237</v>
      </c>
      <c r="J98" s="668">
        <f>12710254+20206983</f>
        <v>32917237</v>
      </c>
      <c r="K98" s="668">
        <f t="shared" si="39"/>
        <v>12710254</v>
      </c>
      <c r="L98" s="668">
        <f t="shared" si="39"/>
        <v>12710254</v>
      </c>
      <c r="M98" s="668">
        <f t="shared" si="39"/>
        <v>12710254</v>
      </c>
      <c r="N98" s="668">
        <f t="shared" si="39"/>
        <v>12710254</v>
      </c>
      <c r="O98" s="669">
        <f>SUM(C98:N98)</f>
        <v>248224032</v>
      </c>
    </row>
    <row r="99" spans="1:15" s="670" customFormat="1" ht="22.5" customHeight="1">
      <c r="A99" s="666" t="s">
        <v>19</v>
      </c>
      <c r="B99" s="667" t="s">
        <v>175</v>
      </c>
      <c r="C99" s="668">
        <f>792500</f>
        <v>792500</v>
      </c>
      <c r="D99" s="668">
        <f t="shared" ref="D99:N99" si="40">792500</f>
        <v>792500</v>
      </c>
      <c r="E99" s="668">
        <f t="shared" si="40"/>
        <v>792500</v>
      </c>
      <c r="F99" s="668">
        <f t="shared" si="40"/>
        <v>792500</v>
      </c>
      <c r="G99" s="668">
        <f t="shared" si="40"/>
        <v>792500</v>
      </c>
      <c r="H99" s="668">
        <f t="shared" si="40"/>
        <v>792500</v>
      </c>
      <c r="I99" s="668">
        <f t="shared" si="40"/>
        <v>792500</v>
      </c>
      <c r="J99" s="668">
        <f>792500+100000</f>
        <v>892500</v>
      </c>
      <c r="K99" s="668">
        <f t="shared" si="40"/>
        <v>792500</v>
      </c>
      <c r="L99" s="668">
        <f t="shared" si="40"/>
        <v>792500</v>
      </c>
      <c r="M99" s="668">
        <f>792500+100000</f>
        <v>892500</v>
      </c>
      <c r="N99" s="668">
        <f t="shared" si="40"/>
        <v>792500</v>
      </c>
      <c r="O99" s="669">
        <f>SUM(C99:N99)</f>
        <v>9710000</v>
      </c>
    </row>
    <row r="100" spans="1:15" s="670" customFormat="1" ht="22.5" customHeight="1">
      <c r="A100" s="666" t="s">
        <v>20</v>
      </c>
      <c r="B100" s="667" t="s">
        <v>653</v>
      </c>
      <c r="C100" s="668"/>
      <c r="D100" s="668"/>
      <c r="E100" s="668">
        <v>272642</v>
      </c>
      <c r="F100" s="668"/>
      <c r="G100" s="668"/>
      <c r="H100" s="668"/>
      <c r="I100" s="668"/>
      <c r="J100" s="668"/>
      <c r="K100" s="668"/>
      <c r="L100" s="668"/>
      <c r="M100" s="668"/>
      <c r="N100" s="668"/>
      <c r="O100" s="669">
        <f>SUM(C100:N100)</f>
        <v>272642</v>
      </c>
    </row>
    <row r="101" spans="1:15" s="670" customFormat="1" ht="22.5" customHeight="1">
      <c r="A101" s="666" t="s">
        <v>21</v>
      </c>
      <c r="B101" s="667" t="s">
        <v>602</v>
      </c>
      <c r="C101" s="668">
        <f>8998687+375000</f>
        <v>9373687</v>
      </c>
      <c r="D101" s="668">
        <f t="shared" ref="D101:M101" si="41">8998687</f>
        <v>8998687</v>
      </c>
      <c r="E101" s="668">
        <f>8998687+3939780+3987864</f>
        <v>16926331</v>
      </c>
      <c r="F101" s="668">
        <f t="shared" si="41"/>
        <v>8998687</v>
      </c>
      <c r="G101" s="668">
        <f t="shared" si="41"/>
        <v>8998687</v>
      </c>
      <c r="H101" s="668">
        <f>8998687+1224473-374484</f>
        <v>9848676</v>
      </c>
      <c r="I101" s="668">
        <f t="shared" si="41"/>
        <v>8998687</v>
      </c>
      <c r="J101" s="668">
        <f>8998687+375000</f>
        <v>9373687</v>
      </c>
      <c r="K101" s="668">
        <f t="shared" si="41"/>
        <v>8998687</v>
      </c>
      <c r="L101" s="668">
        <f t="shared" si="41"/>
        <v>8998687</v>
      </c>
      <c r="M101" s="668">
        <f t="shared" si="41"/>
        <v>8998687</v>
      </c>
      <c r="N101" s="668">
        <f>8998683</f>
        <v>8998683</v>
      </c>
      <c r="O101" s="669">
        <f t="shared" ref="O101:O108" si="42">SUM(C101:N101)</f>
        <v>117511873</v>
      </c>
    </row>
    <row r="102" spans="1:15" s="670" customFormat="1" ht="22.5" customHeight="1">
      <c r="A102" s="666" t="s">
        <v>22</v>
      </c>
      <c r="B102" s="667" t="s">
        <v>603</v>
      </c>
      <c r="C102" s="668"/>
      <c r="D102" s="668"/>
      <c r="E102" s="668">
        <f>17830000+1440000</f>
        <v>19270000</v>
      </c>
      <c r="F102" s="668"/>
      <c r="G102" s="668"/>
      <c r="H102" s="668">
        <f>30000</f>
        <v>30000</v>
      </c>
      <c r="I102" s="668"/>
      <c r="J102" s="668">
        <f>19701700</f>
        <v>19701700</v>
      </c>
      <c r="K102" s="668"/>
      <c r="L102" s="668"/>
      <c r="M102" s="668"/>
      <c r="N102" s="668"/>
      <c r="O102" s="669">
        <f t="shared" si="42"/>
        <v>39001700</v>
      </c>
    </row>
    <row r="103" spans="1:15" s="670" customFormat="1" ht="22.5" customHeight="1">
      <c r="A103" s="666" t="s">
        <v>23</v>
      </c>
      <c r="B103" s="667" t="s">
        <v>557</v>
      </c>
      <c r="C103" s="668"/>
      <c r="D103" s="668"/>
      <c r="E103" s="668">
        <f>105000+78540+119640+280587+241524+1919391-3987864</f>
        <v>-1243182</v>
      </c>
      <c r="F103" s="668"/>
      <c r="G103" s="668"/>
      <c r="H103" s="668">
        <f>-5717922+82824-350000-152000+187376+293730-1919391-1224473-1000000-3101025-2814800+374484-605530+782302-190500-142575-249000-150000-2774000-5000000-3086614-597073-30000</f>
        <v>-27384187</v>
      </c>
      <c r="I103" s="668"/>
      <c r="J103" s="668"/>
      <c r="K103" s="668"/>
      <c r="L103" s="668"/>
      <c r="M103" s="668"/>
      <c r="N103" s="668">
        <v>73618052</v>
      </c>
      <c r="O103" s="669">
        <f t="shared" si="42"/>
        <v>44990683</v>
      </c>
    </row>
    <row r="104" spans="1:15" s="670" customFormat="1" ht="22.5" customHeight="1">
      <c r="A104" s="666" t="s">
        <v>24</v>
      </c>
      <c r="B104" s="667" t="s">
        <v>219</v>
      </c>
      <c r="C104" s="668">
        <f>29531785</f>
        <v>29531785</v>
      </c>
      <c r="D104" s="668">
        <f t="shared" ref="D104:M104" si="43">29531785</f>
        <v>29531785</v>
      </c>
      <c r="E104" s="668">
        <f>29531785-635000-101600</f>
        <v>28795185</v>
      </c>
      <c r="F104" s="668">
        <f t="shared" si="43"/>
        <v>29531785</v>
      </c>
      <c r="G104" s="668">
        <f>29531785+15494000</f>
        <v>45025785</v>
      </c>
      <c r="H104" s="668">
        <f>29531785+5717922+1000000-76200-13694572-6566274+9196991-1399405+6779509-946684-2746211-1911775-1441313</f>
        <v>23443773</v>
      </c>
      <c r="I104" s="668">
        <f t="shared" si="43"/>
        <v>29531785</v>
      </c>
      <c r="J104" s="668">
        <f t="shared" si="43"/>
        <v>29531785</v>
      </c>
      <c r="K104" s="668">
        <f t="shared" si="43"/>
        <v>29531785</v>
      </c>
      <c r="L104" s="668">
        <f t="shared" si="43"/>
        <v>29531785</v>
      </c>
      <c r="M104" s="668">
        <f t="shared" si="43"/>
        <v>29531785</v>
      </c>
      <c r="N104" s="668">
        <f>29531779</f>
        <v>29531779</v>
      </c>
      <c r="O104" s="669">
        <f t="shared" si="42"/>
        <v>363050802</v>
      </c>
    </row>
    <row r="105" spans="1:15" s="670" customFormat="1" ht="22.5" customHeight="1">
      <c r="A105" s="666" t="s">
        <v>25</v>
      </c>
      <c r="B105" s="667" t="s">
        <v>178</v>
      </c>
      <c r="C105" s="668">
        <f>11383379</f>
        <v>11383379</v>
      </c>
      <c r="D105" s="668">
        <f t="shared" ref="D105:M105" si="44">11383379</f>
        <v>11383379</v>
      </c>
      <c r="E105" s="668">
        <f t="shared" si="44"/>
        <v>11383379</v>
      </c>
      <c r="F105" s="668">
        <f t="shared" si="44"/>
        <v>11383379</v>
      </c>
      <c r="G105" s="668">
        <f>11383379+6350000</f>
        <v>17733379</v>
      </c>
      <c r="H105" s="668">
        <f>11383379+76200-9032376+13737230+597073</f>
        <v>16761506</v>
      </c>
      <c r="I105" s="668">
        <f t="shared" si="44"/>
        <v>11383379</v>
      </c>
      <c r="J105" s="668">
        <f t="shared" si="44"/>
        <v>11383379</v>
      </c>
      <c r="K105" s="668">
        <f t="shared" si="44"/>
        <v>11383379</v>
      </c>
      <c r="L105" s="668">
        <f t="shared" si="44"/>
        <v>11383379</v>
      </c>
      <c r="M105" s="668">
        <f t="shared" si="44"/>
        <v>11383379</v>
      </c>
      <c r="N105" s="668">
        <f>11383376</f>
        <v>11383376</v>
      </c>
      <c r="O105" s="669">
        <f t="shared" si="42"/>
        <v>148328672</v>
      </c>
    </row>
    <row r="106" spans="1:15" s="670" customFormat="1" ht="22.5" customHeight="1">
      <c r="A106" s="666" t="s">
        <v>26</v>
      </c>
      <c r="B106" s="667" t="s">
        <v>222</v>
      </c>
      <c r="C106" s="668"/>
      <c r="D106" s="668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9">
        <f t="shared" si="42"/>
        <v>0</v>
      </c>
    </row>
    <row r="107" spans="1:15" s="670" customFormat="1" ht="22.5" customHeight="1" thickBot="1">
      <c r="A107" s="666" t="s">
        <v>27</v>
      </c>
      <c r="B107" s="667" t="s">
        <v>12</v>
      </c>
      <c r="C107" s="668">
        <f>13492246+7960578</f>
        <v>21452824</v>
      </c>
      <c r="D107" s="668">
        <f t="shared" ref="D107:M107" si="45">13492246</f>
        <v>13492246</v>
      </c>
      <c r="E107" s="668">
        <f>13492246+72564</f>
        <v>13564810</v>
      </c>
      <c r="F107" s="668">
        <f t="shared" si="45"/>
        <v>13492246</v>
      </c>
      <c r="G107" s="668">
        <f t="shared" si="45"/>
        <v>13492246</v>
      </c>
      <c r="H107" s="668">
        <f>13492246+411269+605530-782302</f>
        <v>13726743</v>
      </c>
      <c r="I107" s="668">
        <f t="shared" si="45"/>
        <v>13492246</v>
      </c>
      <c r="J107" s="668">
        <f t="shared" si="45"/>
        <v>13492246</v>
      </c>
      <c r="K107" s="668">
        <f t="shared" si="45"/>
        <v>13492246</v>
      </c>
      <c r="L107" s="668">
        <f t="shared" si="45"/>
        <v>13492246</v>
      </c>
      <c r="M107" s="668">
        <f t="shared" si="45"/>
        <v>13492246</v>
      </c>
      <c r="N107" s="668">
        <f>13492244</f>
        <v>13492244</v>
      </c>
      <c r="O107" s="669">
        <f t="shared" si="42"/>
        <v>170174589</v>
      </c>
    </row>
    <row r="108" spans="1:15" s="675" customFormat="1" ht="15.95" customHeight="1" thickBot="1">
      <c r="A108" s="671"/>
      <c r="B108" s="672" t="s">
        <v>107</v>
      </c>
      <c r="C108" s="673">
        <f t="shared" ref="C108:N108" si="46">SUM(C96:C107)</f>
        <v>91594589</v>
      </c>
      <c r="D108" s="673">
        <f t="shared" si="46"/>
        <v>83259011</v>
      </c>
      <c r="E108" s="673">
        <f t="shared" si="46"/>
        <v>110274511</v>
      </c>
      <c r="F108" s="673">
        <f t="shared" si="46"/>
        <v>83259011</v>
      </c>
      <c r="G108" s="673">
        <f t="shared" si="46"/>
        <v>105103011</v>
      </c>
      <c r="H108" s="673">
        <f t="shared" si="46"/>
        <v>115581131</v>
      </c>
      <c r="I108" s="673">
        <f t="shared" si="46"/>
        <v>108903073</v>
      </c>
      <c r="J108" s="673">
        <f t="shared" si="46"/>
        <v>129079773</v>
      </c>
      <c r="K108" s="673">
        <f t="shared" si="46"/>
        <v>83259011</v>
      </c>
      <c r="L108" s="673">
        <f t="shared" si="46"/>
        <v>83259011</v>
      </c>
      <c r="M108" s="673">
        <f t="shared" si="46"/>
        <v>83359011</v>
      </c>
      <c r="N108" s="673">
        <f t="shared" si="46"/>
        <v>156877048</v>
      </c>
      <c r="O108" s="674">
        <f t="shared" si="42"/>
        <v>1233808191</v>
      </c>
    </row>
    <row r="109" spans="1:15" s="675" customFormat="1" ht="15.95" customHeight="1" thickBot="1">
      <c r="A109" s="684"/>
      <c r="B109" s="685"/>
      <c r="C109" s="686"/>
      <c r="D109" s="686"/>
      <c r="E109" s="686"/>
      <c r="F109" s="686"/>
      <c r="G109" s="686"/>
      <c r="H109" s="686"/>
      <c r="I109" s="686"/>
      <c r="J109" s="686"/>
      <c r="K109" s="686"/>
      <c r="L109" s="686"/>
      <c r="M109" s="686"/>
      <c r="N109" s="686"/>
      <c r="O109" s="686"/>
    </row>
    <row r="110" spans="1:15" ht="16.5" thickBot="1">
      <c r="A110" s="671"/>
      <c r="B110" s="672" t="s">
        <v>108</v>
      </c>
      <c r="C110" s="673">
        <f t="shared" ref="C110:O110" si="47">C92-C108</f>
        <v>551454219</v>
      </c>
      <c r="D110" s="673">
        <f t="shared" si="47"/>
        <v>-46677487</v>
      </c>
      <c r="E110" s="673">
        <f t="shared" si="47"/>
        <v>-70159909</v>
      </c>
      <c r="F110" s="673">
        <f t="shared" si="47"/>
        <v>-46677487</v>
      </c>
      <c r="G110" s="673">
        <f t="shared" si="47"/>
        <v>-68521487</v>
      </c>
      <c r="H110" s="673">
        <f t="shared" si="47"/>
        <v>-37216590</v>
      </c>
      <c r="I110" s="673">
        <f t="shared" si="47"/>
        <v>17337123</v>
      </c>
      <c r="J110" s="673">
        <f t="shared" si="47"/>
        <v>-58812096</v>
      </c>
      <c r="K110" s="673">
        <f t="shared" si="47"/>
        <v>-26975787</v>
      </c>
      <c r="L110" s="673">
        <f t="shared" si="47"/>
        <v>-46677487</v>
      </c>
      <c r="M110" s="673">
        <f t="shared" si="47"/>
        <v>-46777487</v>
      </c>
      <c r="N110" s="673">
        <f t="shared" si="47"/>
        <v>-120295525</v>
      </c>
      <c r="O110" s="674">
        <f t="shared" si="47"/>
        <v>0</v>
      </c>
    </row>
  </sheetData>
  <mergeCells count="13">
    <mergeCell ref="A77:O77"/>
    <mergeCell ref="A78:O78"/>
    <mergeCell ref="B82:O82"/>
    <mergeCell ref="B95:O95"/>
    <mergeCell ref="L1:N1"/>
    <mergeCell ref="A41:O41"/>
    <mergeCell ref="A42:O42"/>
    <mergeCell ref="B46:O46"/>
    <mergeCell ref="B59:O59"/>
    <mergeCell ref="A5:O5"/>
    <mergeCell ref="A6:O6"/>
    <mergeCell ref="B10:O10"/>
    <mergeCell ref="B23:O23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60" orientation="landscape" r:id="rId1"/>
  <headerFooter alignWithMargins="0">
    <oddHeader xml:space="preserve">&amp;R&amp;"Times New Roman CE,Félkövér dőlt"&amp;11 </oddHeader>
    <oddFooter>&amp;P. oldal, összesen: &amp;N</oddFooter>
  </headerFooter>
  <rowBreaks count="2" manualBreakCount="2">
    <brk id="40" max="14" man="1"/>
    <brk id="76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2">
    <tabColor rgb="FFFFFF00"/>
    <pageSetUpPr fitToPage="1"/>
  </sheetPr>
  <dimension ref="A1:D45"/>
  <sheetViews>
    <sheetView topLeftCell="B16" zoomScaleNormal="100" workbookViewId="0">
      <selection activeCell="C36" sqref="C36"/>
    </sheetView>
  </sheetViews>
  <sheetFormatPr defaultRowHeight="15.75"/>
  <cols>
    <col min="1" max="1" width="106.83203125" style="446" bestFit="1" customWidth="1"/>
    <col min="2" max="4" width="31.33203125" style="446" customWidth="1"/>
    <col min="5" max="16384" width="9.33203125" style="446"/>
  </cols>
  <sheetData>
    <row r="1" spans="1:4">
      <c r="A1" s="643" t="s">
        <v>539</v>
      </c>
    </row>
    <row r="2" spans="1:4" ht="47.25" customHeight="1">
      <c r="A2" s="445" t="s">
        <v>596</v>
      </c>
    </row>
    <row r="3" spans="1:4" ht="47.25" customHeight="1">
      <c r="A3" s="447" t="s">
        <v>711</v>
      </c>
      <c r="B3" s="447"/>
      <c r="C3" s="447"/>
      <c r="D3" s="447"/>
    </row>
    <row r="4" spans="1:4" ht="22.5" customHeight="1">
      <c r="A4" s="448"/>
      <c r="B4" s="449" t="s">
        <v>589</v>
      </c>
      <c r="C4" s="449" t="s">
        <v>589</v>
      </c>
      <c r="D4" s="449" t="s">
        <v>589</v>
      </c>
    </row>
    <row r="5" spans="1:4" s="451" customFormat="1" ht="30.95" customHeight="1">
      <c r="A5" s="450" t="s">
        <v>49</v>
      </c>
      <c r="B5" s="450" t="s">
        <v>710</v>
      </c>
      <c r="C5" s="450" t="s">
        <v>743</v>
      </c>
      <c r="D5" s="450" t="s">
        <v>746</v>
      </c>
    </row>
    <row r="6" spans="1:4" s="452" customFormat="1">
      <c r="A6" s="450" t="s">
        <v>486</v>
      </c>
      <c r="B6" s="450" t="s">
        <v>487</v>
      </c>
      <c r="C6" s="450" t="s">
        <v>487</v>
      </c>
      <c r="D6" s="450" t="s">
        <v>487</v>
      </c>
    </row>
    <row r="7" spans="1:4">
      <c r="A7" s="453" t="s">
        <v>561</v>
      </c>
      <c r="B7" s="454">
        <f>SUM(B8+B9+B15+B17+B16+B14)</f>
        <v>117822978</v>
      </c>
      <c r="C7" s="454">
        <f>SUM(C8+C9+C15+C17+C16+C14)</f>
        <v>117822978</v>
      </c>
      <c r="D7" s="454">
        <f>SUM(D8+D9+D15+D17+D16+D14)</f>
        <v>117822978</v>
      </c>
    </row>
    <row r="8" spans="1:4" ht="15.75" customHeight="1">
      <c r="A8" s="455" t="s">
        <v>562</v>
      </c>
      <c r="B8" s="456">
        <v>48319000</v>
      </c>
      <c r="C8" s="456">
        <v>48319000</v>
      </c>
      <c r="D8" s="456">
        <v>48319000</v>
      </c>
    </row>
    <row r="9" spans="1:4">
      <c r="A9" s="455" t="s">
        <v>563</v>
      </c>
      <c r="B9" s="457">
        <f>B10+B11+B12+B13</f>
        <v>32862214</v>
      </c>
      <c r="C9" s="457">
        <f>C10+C11+C12+C13</f>
        <v>32862214</v>
      </c>
      <c r="D9" s="457">
        <f>D10+D11+D12+D13</f>
        <v>32862214</v>
      </c>
    </row>
    <row r="10" spans="1:4">
      <c r="A10" s="458" t="s">
        <v>564</v>
      </c>
      <c r="B10" s="456">
        <v>7361230</v>
      </c>
      <c r="C10" s="456">
        <v>7361230</v>
      </c>
      <c r="D10" s="456">
        <v>7361230</v>
      </c>
    </row>
    <row r="11" spans="1:4">
      <c r="A11" s="458" t="s">
        <v>565</v>
      </c>
      <c r="B11" s="456">
        <v>14400000</v>
      </c>
      <c r="C11" s="456">
        <v>14400000</v>
      </c>
      <c r="D11" s="456">
        <v>14400000</v>
      </c>
    </row>
    <row r="12" spans="1:4">
      <c r="A12" s="458" t="s">
        <v>566</v>
      </c>
      <c r="B12" s="456">
        <v>1744044</v>
      </c>
      <c r="C12" s="456">
        <v>1744044</v>
      </c>
      <c r="D12" s="456">
        <v>1744044</v>
      </c>
    </row>
    <row r="13" spans="1:4">
      <c r="A13" s="458" t="s">
        <v>567</v>
      </c>
      <c r="B13" s="456">
        <v>9356940</v>
      </c>
      <c r="C13" s="456">
        <v>9356940</v>
      </c>
      <c r="D13" s="456">
        <v>9356940</v>
      </c>
    </row>
    <row r="14" spans="1:4">
      <c r="A14" s="455" t="s">
        <v>716</v>
      </c>
      <c r="B14" s="456">
        <v>1041000</v>
      </c>
      <c r="C14" s="456">
        <v>1041000</v>
      </c>
      <c r="D14" s="456">
        <v>1041000</v>
      </c>
    </row>
    <row r="15" spans="1:4">
      <c r="A15" s="455" t="s">
        <v>591</v>
      </c>
      <c r="B15" s="456">
        <v>6836400</v>
      </c>
      <c r="C15" s="456">
        <v>6836400</v>
      </c>
      <c r="D15" s="456">
        <v>6836400</v>
      </c>
    </row>
    <row r="16" spans="1:4">
      <c r="A16" s="455" t="s">
        <v>578</v>
      </c>
      <c r="B16" s="459">
        <v>28764364</v>
      </c>
      <c r="C16" s="459">
        <v>28764364</v>
      </c>
      <c r="D16" s="459">
        <v>28764364</v>
      </c>
    </row>
    <row r="17" spans="1:4">
      <c r="A17" s="455" t="s">
        <v>713</v>
      </c>
      <c r="B17" s="459"/>
      <c r="C17" s="459"/>
      <c r="D17" s="459"/>
    </row>
    <row r="18" spans="1:4" ht="12.75" customHeight="1">
      <c r="A18" s="460" t="s">
        <v>568</v>
      </c>
      <c r="B18" s="461">
        <f>SUM(B19:B20)</f>
        <v>56900500</v>
      </c>
      <c r="C18" s="461">
        <f>SUM(C19:C20)</f>
        <v>56900500</v>
      </c>
      <c r="D18" s="461">
        <f>SUM(D19:D20)</f>
        <v>54085700</v>
      </c>
    </row>
    <row r="19" spans="1:4" ht="30">
      <c r="A19" s="455" t="s">
        <v>592</v>
      </c>
      <c r="B19" s="456">
        <v>49465800</v>
      </c>
      <c r="C19" s="456">
        <v>49465800</v>
      </c>
      <c r="D19" s="456">
        <f>49465800-2651400</f>
        <v>46814400</v>
      </c>
    </row>
    <row r="20" spans="1:4">
      <c r="A20" s="455" t="s">
        <v>569</v>
      </c>
      <c r="B20" s="456">
        <v>7434700</v>
      </c>
      <c r="C20" s="456">
        <v>7434700</v>
      </c>
      <c r="D20" s="456">
        <f>7434700-163400</f>
        <v>7271300</v>
      </c>
    </row>
    <row r="21" spans="1:4">
      <c r="A21" s="460" t="s">
        <v>594</v>
      </c>
      <c r="B21" s="461">
        <f>B22+B23+B24+B25+B26</f>
        <v>40194081</v>
      </c>
      <c r="C21" s="461">
        <f>C22+C23+C24+C25+C26</f>
        <v>40194081</v>
      </c>
      <c r="D21" s="461">
        <f>D22+D23+D24+D25+D26</f>
        <v>40042081</v>
      </c>
    </row>
    <row r="22" spans="1:4">
      <c r="A22" s="462" t="s">
        <v>570</v>
      </c>
      <c r="B22" s="463">
        <v>17003000</v>
      </c>
      <c r="C22" s="463">
        <v>17003000</v>
      </c>
      <c r="D22" s="463">
        <v>17003000</v>
      </c>
    </row>
    <row r="23" spans="1:4">
      <c r="A23" s="464" t="s">
        <v>571</v>
      </c>
      <c r="B23" s="465">
        <v>885760</v>
      </c>
      <c r="C23" s="465">
        <v>885760</v>
      </c>
      <c r="D23" s="465">
        <v>885760</v>
      </c>
    </row>
    <row r="24" spans="1:4">
      <c r="A24" s="455" t="s">
        <v>576</v>
      </c>
      <c r="B24" s="459">
        <v>11780000</v>
      </c>
      <c r="C24" s="459">
        <v>11780000</v>
      </c>
      <c r="D24" s="459">
        <f>11780000-152000</f>
        <v>11628000</v>
      </c>
    </row>
    <row r="25" spans="1:4">
      <c r="A25" s="455" t="s">
        <v>577</v>
      </c>
      <c r="B25" s="459">
        <v>10525321</v>
      </c>
      <c r="C25" s="459">
        <v>10525321</v>
      </c>
      <c r="D25" s="459">
        <v>10525321</v>
      </c>
    </row>
    <row r="26" spans="1:4" s="502" customFormat="1">
      <c r="A26" s="500" t="s">
        <v>572</v>
      </c>
      <c r="B26" s="501">
        <f>B27+B29+B30+B28</f>
        <v>0</v>
      </c>
      <c r="C26" s="501">
        <f>C27+C29+C30+C28</f>
        <v>0</v>
      </c>
      <c r="D26" s="501">
        <f>D27+D29+D30+D28</f>
        <v>0</v>
      </c>
    </row>
    <row r="27" spans="1:4">
      <c r="A27" s="464" t="s">
        <v>573</v>
      </c>
      <c r="B27" s="465"/>
      <c r="C27" s="465"/>
      <c r="D27" s="465"/>
    </row>
    <row r="28" spans="1:4">
      <c r="A28" s="464" t="s">
        <v>574</v>
      </c>
      <c r="B28" s="465"/>
      <c r="C28" s="465"/>
      <c r="D28" s="465"/>
    </row>
    <row r="29" spans="1:4">
      <c r="A29" s="464" t="s">
        <v>575</v>
      </c>
      <c r="B29" s="465"/>
      <c r="C29" s="465"/>
      <c r="D29" s="465"/>
    </row>
    <row r="30" spans="1:4">
      <c r="A30" s="464" t="s">
        <v>590</v>
      </c>
      <c r="B30" s="465"/>
      <c r="C30" s="465"/>
      <c r="D30" s="465"/>
    </row>
    <row r="31" spans="1:4">
      <c r="A31" s="460" t="s">
        <v>595</v>
      </c>
      <c r="B31" s="466">
        <f>B32+B33+B34</f>
        <v>3063720</v>
      </c>
      <c r="C31" s="466">
        <f>C32+C33+C34</f>
        <v>3344307</v>
      </c>
      <c r="D31" s="466">
        <f>D32+D33+D34</f>
        <v>3942952</v>
      </c>
    </row>
    <row r="32" spans="1:4">
      <c r="A32" s="464" t="s">
        <v>593</v>
      </c>
      <c r="B32" s="465">
        <v>3063720</v>
      </c>
      <c r="C32" s="465">
        <v>3063720</v>
      </c>
      <c r="D32" s="465">
        <v>3063720</v>
      </c>
    </row>
    <row r="33" spans="1:4">
      <c r="A33" s="464" t="s">
        <v>656</v>
      </c>
      <c r="B33" s="465"/>
      <c r="C33" s="465">
        <f>280587</f>
        <v>280587</v>
      </c>
      <c r="D33" s="465">
        <f>280587+187376</f>
        <v>467963</v>
      </c>
    </row>
    <row r="34" spans="1:4">
      <c r="A34" s="464" t="s">
        <v>677</v>
      </c>
      <c r="B34" s="465"/>
      <c r="C34" s="465"/>
      <c r="D34" s="465">
        <v>411269</v>
      </c>
    </row>
    <row r="35" spans="1:4" s="467" customFormat="1" ht="19.5" customHeight="1">
      <c r="A35" s="460" t="s">
        <v>675</v>
      </c>
      <c r="B35" s="466">
        <f>B36+B38+B39+B40+B37</f>
        <v>414400</v>
      </c>
      <c r="C35" s="466">
        <f>C36+C38+C39+C40+C37</f>
        <v>655924</v>
      </c>
      <c r="D35" s="466">
        <f>D36+D38+D39+D40+D37</f>
        <v>1483054</v>
      </c>
    </row>
    <row r="36" spans="1:4">
      <c r="A36" s="455" t="s">
        <v>686</v>
      </c>
      <c r="B36" s="459"/>
      <c r="C36" s="459"/>
      <c r="D36" s="459"/>
    </row>
    <row r="37" spans="1:4">
      <c r="A37" s="455" t="s">
        <v>748</v>
      </c>
      <c r="B37" s="459"/>
      <c r="C37" s="459"/>
      <c r="D37" s="459">
        <v>533400</v>
      </c>
    </row>
    <row r="38" spans="1:4">
      <c r="A38" s="455" t="s">
        <v>717</v>
      </c>
      <c r="B38" s="459">
        <v>414400</v>
      </c>
      <c r="C38" s="459">
        <v>414400</v>
      </c>
      <c r="D38" s="459">
        <v>414400</v>
      </c>
    </row>
    <row r="39" spans="1:4">
      <c r="A39" s="455" t="s">
        <v>579</v>
      </c>
      <c r="B39" s="459"/>
      <c r="C39" s="459">
        <f>241524</f>
        <v>241524</v>
      </c>
      <c r="D39" s="459">
        <f>241524+293730</f>
        <v>535254</v>
      </c>
    </row>
    <row r="40" spans="1:4">
      <c r="A40" s="455" t="s">
        <v>674</v>
      </c>
      <c r="B40" s="459"/>
      <c r="C40" s="459"/>
      <c r="D40" s="459"/>
    </row>
    <row r="41" spans="1:4">
      <c r="A41" s="460" t="s">
        <v>430</v>
      </c>
      <c r="B41" s="466">
        <f>B42</f>
        <v>0</v>
      </c>
      <c r="C41" s="466">
        <f>C42</f>
        <v>0</v>
      </c>
      <c r="D41" s="466">
        <f>D42</f>
        <v>0</v>
      </c>
    </row>
    <row r="42" spans="1:4">
      <c r="A42" s="455" t="s">
        <v>712</v>
      </c>
      <c r="B42" s="459"/>
      <c r="C42" s="459"/>
      <c r="D42" s="459"/>
    </row>
    <row r="43" spans="1:4">
      <c r="A43" s="455"/>
      <c r="B43" s="459"/>
      <c r="C43" s="459"/>
      <c r="D43" s="459"/>
    </row>
    <row r="44" spans="1:4">
      <c r="A44" s="455"/>
      <c r="B44" s="459"/>
      <c r="C44" s="459"/>
      <c r="D44" s="459"/>
    </row>
    <row r="45" spans="1:4">
      <c r="A45" s="468" t="s">
        <v>50</v>
      </c>
      <c r="B45" s="454">
        <f>B7+B18+B21+B31+B35+B41</f>
        <v>218395679</v>
      </c>
      <c r="C45" s="454">
        <f>C7+C18+C21+C31+C35+C41</f>
        <v>218917790</v>
      </c>
      <c r="D45" s="454">
        <f>D7+D18+D21+D31+D35+D41</f>
        <v>217376765</v>
      </c>
    </row>
  </sheetData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5" orientation="landscape" verticalDpi="300" r:id="rId1"/>
  <headerFooter alignWithMargins="0">
    <oddHeader>&amp;R5. sz. tájékoztató tábla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3">
    <tabColor rgb="FFFFFF00"/>
  </sheetPr>
  <dimension ref="A1:F22"/>
  <sheetViews>
    <sheetView topLeftCell="A13" zoomScaleNormal="100" workbookViewId="0">
      <selection activeCell="B26" sqref="B26"/>
    </sheetView>
  </sheetViews>
  <sheetFormatPr defaultColWidth="14" defaultRowHeight="15.75"/>
  <cols>
    <col min="1" max="1" width="9.33203125" style="435" bestFit="1" customWidth="1"/>
    <col min="2" max="2" width="73.83203125" style="435" bestFit="1" customWidth="1"/>
    <col min="3" max="3" width="51" style="435" bestFit="1" customWidth="1"/>
    <col min="4" max="6" width="13.33203125" style="435" bestFit="1" customWidth="1"/>
    <col min="7" max="16384" width="14" style="435"/>
  </cols>
  <sheetData>
    <row r="1" spans="1:6" ht="22.5" customHeight="1">
      <c r="A1" s="762" t="s">
        <v>588</v>
      </c>
      <c r="B1" s="762"/>
      <c r="C1" s="762"/>
    </row>
    <row r="2" spans="1:6" ht="17.25" customHeight="1">
      <c r="A2" s="762" t="s">
        <v>714</v>
      </c>
      <c r="B2" s="762"/>
      <c r="C2" s="762"/>
      <c r="D2" s="434"/>
      <c r="E2" s="434"/>
      <c r="F2" s="434"/>
    </row>
    <row r="3" spans="1:6" ht="17.25" customHeight="1">
      <c r="A3" s="434"/>
      <c r="B3" s="434"/>
      <c r="C3" s="434"/>
      <c r="D3" s="434"/>
      <c r="E3" s="434"/>
      <c r="F3" s="434"/>
    </row>
    <row r="4" spans="1:6" ht="16.5" thickBot="1">
      <c r="A4" s="436"/>
      <c r="B4" s="436"/>
      <c r="C4" s="512" t="s">
        <v>589</v>
      </c>
    </row>
    <row r="5" spans="1:6" ht="55.5" customHeight="1">
      <c r="A5" s="437" t="s">
        <v>586</v>
      </c>
      <c r="B5" s="437" t="s">
        <v>122</v>
      </c>
      <c r="C5" s="437" t="s">
        <v>123</v>
      </c>
      <c r="D5" s="438" t="s">
        <v>715</v>
      </c>
      <c r="E5" s="438" t="s">
        <v>742</v>
      </c>
      <c r="F5" s="438" t="s">
        <v>747</v>
      </c>
    </row>
    <row r="6" spans="1:6" ht="15.95" customHeight="1">
      <c r="A6" s="439" t="s">
        <v>16</v>
      </c>
      <c r="B6" s="440" t="s">
        <v>553</v>
      </c>
      <c r="C6" s="440" t="s">
        <v>581</v>
      </c>
      <c r="D6" s="441">
        <v>100000</v>
      </c>
      <c r="E6" s="441">
        <v>100000</v>
      </c>
      <c r="F6" s="441">
        <v>100000</v>
      </c>
    </row>
    <row r="7" spans="1:6" ht="15.95" customHeight="1">
      <c r="A7" s="439" t="s">
        <v>17</v>
      </c>
      <c r="B7" s="541" t="s">
        <v>545</v>
      </c>
      <c r="C7" s="541" t="s">
        <v>581</v>
      </c>
      <c r="D7" s="542">
        <v>200000</v>
      </c>
      <c r="E7" s="542">
        <v>200000</v>
      </c>
      <c r="F7" s="542">
        <v>200000</v>
      </c>
    </row>
    <row r="8" spans="1:6" ht="15.95" customHeight="1">
      <c r="A8" s="439" t="s">
        <v>18</v>
      </c>
      <c r="B8" s="440" t="s">
        <v>546</v>
      </c>
      <c r="C8" s="440" t="s">
        <v>581</v>
      </c>
      <c r="D8" s="441">
        <v>100000</v>
      </c>
      <c r="E8" s="441">
        <v>100000</v>
      </c>
      <c r="F8" s="441">
        <v>100000</v>
      </c>
    </row>
    <row r="9" spans="1:6" ht="18.75" customHeight="1">
      <c r="A9" s="439" t="s">
        <v>19</v>
      </c>
      <c r="B9" s="442" t="s">
        <v>548</v>
      </c>
      <c r="C9" s="440" t="s">
        <v>581</v>
      </c>
      <c r="D9" s="441">
        <v>1150000</v>
      </c>
      <c r="E9" s="441">
        <v>1150000</v>
      </c>
      <c r="F9" s="441">
        <v>1150000</v>
      </c>
    </row>
    <row r="10" spans="1:6" ht="15.95" customHeight="1">
      <c r="A10" s="439" t="s">
        <v>20</v>
      </c>
      <c r="B10" s="440" t="s">
        <v>549</v>
      </c>
      <c r="C10" s="440" t="s">
        <v>581</v>
      </c>
      <c r="D10" s="441">
        <v>200000</v>
      </c>
      <c r="E10" s="441">
        <v>200000</v>
      </c>
      <c r="F10" s="441">
        <v>200000</v>
      </c>
    </row>
    <row r="11" spans="1:6" ht="15.95" customHeight="1">
      <c r="A11" s="439" t="s">
        <v>21</v>
      </c>
      <c r="B11" s="440" t="s">
        <v>549</v>
      </c>
      <c r="C11" s="440" t="s">
        <v>581</v>
      </c>
      <c r="D11" s="441">
        <v>500000</v>
      </c>
      <c r="E11" s="441">
        <v>500000</v>
      </c>
      <c r="F11" s="441">
        <v>500000</v>
      </c>
    </row>
    <row r="12" spans="1:6" ht="15.95" customHeight="1">
      <c r="A12" s="439" t="s">
        <v>22</v>
      </c>
      <c r="B12" s="440" t="s">
        <v>657</v>
      </c>
      <c r="C12" s="440" t="s">
        <v>581</v>
      </c>
      <c r="D12" s="441">
        <v>30000</v>
      </c>
      <c r="E12" s="441">
        <v>30000</v>
      </c>
      <c r="F12" s="441">
        <v>30000</v>
      </c>
    </row>
    <row r="13" spans="1:6" ht="15.95" customHeight="1">
      <c r="A13" s="439" t="s">
        <v>23</v>
      </c>
      <c r="B13" s="440" t="s">
        <v>687</v>
      </c>
      <c r="C13" s="440" t="s">
        <v>581</v>
      </c>
      <c r="D13" s="441">
        <v>100000</v>
      </c>
      <c r="E13" s="441">
        <v>100000</v>
      </c>
      <c r="F13" s="441">
        <v>100000</v>
      </c>
    </row>
    <row r="14" spans="1:6" ht="15.95" customHeight="1">
      <c r="A14" s="439" t="s">
        <v>24</v>
      </c>
      <c r="B14" s="440" t="s">
        <v>550</v>
      </c>
      <c r="C14" s="440" t="s">
        <v>581</v>
      </c>
      <c r="D14" s="441">
        <v>8200000</v>
      </c>
      <c r="E14" s="441">
        <v>8200000</v>
      </c>
      <c r="F14" s="441">
        <v>8200000</v>
      </c>
    </row>
    <row r="15" spans="1:6" ht="15.95" customHeight="1">
      <c r="A15" s="439" t="s">
        <v>25</v>
      </c>
      <c r="B15" s="440" t="s">
        <v>551</v>
      </c>
      <c r="C15" s="440" t="s">
        <v>581</v>
      </c>
      <c r="D15" s="441">
        <v>700000</v>
      </c>
      <c r="E15" s="441">
        <v>700000</v>
      </c>
      <c r="F15" s="441">
        <v>700000</v>
      </c>
    </row>
    <row r="16" spans="1:6" ht="16.5" customHeight="1">
      <c r="A16" s="439" t="s">
        <v>26</v>
      </c>
      <c r="B16" s="440" t="s">
        <v>547</v>
      </c>
      <c r="C16" s="440" t="s">
        <v>581</v>
      </c>
      <c r="D16" s="441">
        <v>750000</v>
      </c>
      <c r="E16" s="441">
        <v>750000</v>
      </c>
      <c r="F16" s="441">
        <v>750000</v>
      </c>
    </row>
    <row r="17" spans="1:6" ht="15.95" customHeight="1">
      <c r="A17" s="439" t="s">
        <v>27</v>
      </c>
      <c r="B17" s="440" t="s">
        <v>673</v>
      </c>
      <c r="C17" s="440" t="s">
        <v>581</v>
      </c>
      <c r="D17" s="441">
        <v>5600000</v>
      </c>
      <c r="E17" s="441">
        <v>5600000</v>
      </c>
      <c r="F17" s="441">
        <v>5600000</v>
      </c>
    </row>
    <row r="18" spans="1:6" ht="15.95" customHeight="1">
      <c r="A18" s="439" t="s">
        <v>28</v>
      </c>
      <c r="B18" s="440" t="s">
        <v>552</v>
      </c>
      <c r="C18" s="440" t="s">
        <v>581</v>
      </c>
      <c r="D18" s="441">
        <v>200000</v>
      </c>
      <c r="E18" s="441">
        <v>200000</v>
      </c>
      <c r="F18" s="441">
        <v>200000</v>
      </c>
    </row>
    <row r="19" spans="1:6" ht="15.95" customHeight="1">
      <c r="A19" s="439" t="s">
        <v>29</v>
      </c>
      <c r="B19" s="440" t="s">
        <v>638</v>
      </c>
      <c r="C19" s="440" t="s">
        <v>581</v>
      </c>
      <c r="D19" s="441">
        <v>95000</v>
      </c>
      <c r="E19" s="441">
        <v>95000</v>
      </c>
      <c r="F19" s="441">
        <v>95000</v>
      </c>
    </row>
    <row r="20" spans="1:6" ht="15.95" customHeight="1">
      <c r="A20" s="439" t="s">
        <v>30</v>
      </c>
      <c r="B20" s="440" t="s">
        <v>587</v>
      </c>
      <c r="C20" s="440" t="s">
        <v>581</v>
      </c>
      <c r="D20" s="441">
        <v>1440000</v>
      </c>
      <c r="E20" s="441">
        <v>1440000</v>
      </c>
      <c r="F20" s="441">
        <v>1440000</v>
      </c>
    </row>
    <row r="21" spans="1:6" ht="15.95" customHeight="1" thickBot="1">
      <c r="A21" s="439" t="s">
        <v>31</v>
      </c>
      <c r="B21" s="440" t="s">
        <v>756</v>
      </c>
      <c r="C21" s="440" t="s">
        <v>581</v>
      </c>
      <c r="D21" s="441"/>
      <c r="E21" s="441"/>
      <c r="F21" s="441">
        <v>30000</v>
      </c>
    </row>
    <row r="22" spans="1:6" ht="15.95" customHeight="1" thickBot="1">
      <c r="A22" s="763" t="s">
        <v>50</v>
      </c>
      <c r="B22" s="764"/>
      <c r="C22" s="443"/>
      <c r="D22" s="444">
        <f>SUM(D6:D21)</f>
        <v>19365000</v>
      </c>
      <c r="E22" s="444">
        <f>SUM(E6:E21)</f>
        <v>19365000</v>
      </c>
      <c r="F22" s="444">
        <f>SUM(F6:F21)</f>
        <v>19395000</v>
      </c>
    </row>
  </sheetData>
  <mergeCells count="3">
    <mergeCell ref="A1:C1"/>
    <mergeCell ref="A22:B22"/>
    <mergeCell ref="A2:C2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92" orientation="landscape" copies="4" r:id="rId1"/>
  <headerFooter alignWithMargins="0">
    <oddHeader>&amp;LVonyarcvashegy Nagyközség Önkormányzata&amp;R&amp;"Times New Roman CE,Félkövér dőlt"&amp;11 6. tájékoztató tábla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4">
    <tabColor rgb="FFFFFF00"/>
  </sheetPr>
  <dimension ref="A1:F48"/>
  <sheetViews>
    <sheetView zoomScale="120" zoomScaleNormal="120" zoomScaleSheetLayoutView="100" workbookViewId="0">
      <selection activeCell="H7" sqref="H7"/>
    </sheetView>
  </sheetViews>
  <sheetFormatPr defaultRowHeight="15.75"/>
  <cols>
    <col min="1" max="1" width="9" style="71" customWidth="1"/>
    <col min="2" max="2" width="66.33203125" style="71" bestFit="1" customWidth="1"/>
    <col min="3" max="5" width="15.5" style="146" customWidth="1"/>
    <col min="6" max="6" width="9" style="71" customWidth="1"/>
    <col min="7" max="16384" width="9.33203125" style="71"/>
  </cols>
  <sheetData>
    <row r="1" spans="1:5" ht="15.95" customHeight="1">
      <c r="A1" s="692" t="s">
        <v>13</v>
      </c>
      <c r="B1" s="692"/>
      <c r="C1" s="692"/>
      <c r="D1" s="692"/>
      <c r="E1" s="692"/>
    </row>
    <row r="2" spans="1:5" ht="15.95" customHeight="1" thickBot="1">
      <c r="A2" s="691" t="s">
        <v>144</v>
      </c>
      <c r="B2" s="691"/>
    </row>
    <row r="3" spans="1:5" ht="38.1" customHeight="1" thickBot="1">
      <c r="A3" s="73" t="s">
        <v>66</v>
      </c>
      <c r="B3" s="74" t="s">
        <v>15</v>
      </c>
      <c r="C3" s="74" t="s">
        <v>585</v>
      </c>
      <c r="D3" s="74" t="s">
        <v>737</v>
      </c>
      <c r="E3" s="74" t="s">
        <v>738</v>
      </c>
    </row>
    <row r="4" spans="1:5" s="78" customFormat="1" ht="12" customHeight="1" thickBot="1">
      <c r="A4" s="116" t="s">
        <v>486</v>
      </c>
      <c r="B4" s="117" t="s">
        <v>487</v>
      </c>
      <c r="C4" s="117" t="s">
        <v>488</v>
      </c>
      <c r="D4" s="117" t="s">
        <v>488</v>
      </c>
      <c r="E4" s="117" t="s">
        <v>488</v>
      </c>
    </row>
    <row r="5" spans="1:5" s="82" customFormat="1" ht="12" customHeight="1" thickBot="1">
      <c r="A5" s="79" t="s">
        <v>16</v>
      </c>
      <c r="B5" s="80" t="s">
        <v>525</v>
      </c>
      <c r="C5" s="644">
        <f>218395679-414400</f>
        <v>217981279</v>
      </c>
      <c r="D5" s="644">
        <f>218395679-414400</f>
        <v>217981279</v>
      </c>
      <c r="E5" s="644">
        <f>218395679-414400</f>
        <v>217981279</v>
      </c>
    </row>
    <row r="6" spans="1:5" s="82" customFormat="1" ht="12" customHeight="1" thickBot="1">
      <c r="A6" s="79" t="s">
        <v>17</v>
      </c>
      <c r="B6" s="92" t="s">
        <v>373</v>
      </c>
      <c r="C6" s="644">
        <f>73241871-(1418795/2)</f>
        <v>72532473.5</v>
      </c>
      <c r="D6" s="644">
        <f>73241871-1418795</f>
        <v>71823076</v>
      </c>
      <c r="E6" s="644">
        <f>73241871-1418795</f>
        <v>71823076</v>
      </c>
    </row>
    <row r="7" spans="1:5" s="82" customFormat="1" ht="12" customHeight="1" thickBot="1">
      <c r="A7" s="79" t="s">
        <v>18</v>
      </c>
      <c r="B7" s="80" t="s">
        <v>381</v>
      </c>
      <c r="C7" s="644">
        <f>55972518-(45874382/2)-10098136</f>
        <v>22937191</v>
      </c>
      <c r="D7" s="644"/>
      <c r="E7" s="644"/>
    </row>
    <row r="8" spans="1:5" s="82" customFormat="1" ht="12" customHeight="1" thickBot="1">
      <c r="A8" s="79" t="s">
        <v>164</v>
      </c>
      <c r="B8" s="80" t="s">
        <v>259</v>
      </c>
      <c r="C8" s="645">
        <f>+C9+C13+C14+C15</f>
        <v>129930000</v>
      </c>
      <c r="D8" s="645">
        <f>+D9+D13+D14+D15</f>
        <v>129930000</v>
      </c>
      <c r="E8" s="645">
        <f>+E9+E13+E14+E15</f>
        <v>129930000</v>
      </c>
    </row>
    <row r="9" spans="1:5" s="82" customFormat="1" ht="12" customHeight="1">
      <c r="A9" s="83" t="s">
        <v>260</v>
      </c>
      <c r="B9" s="84" t="s">
        <v>436</v>
      </c>
      <c r="C9" s="646">
        <f>+C10+C11+C12</f>
        <v>94400000</v>
      </c>
      <c r="D9" s="646">
        <f>+D10+D11+D12</f>
        <v>94400000</v>
      </c>
      <c r="E9" s="646">
        <f>+E10+E11+E12</f>
        <v>94400000</v>
      </c>
    </row>
    <row r="10" spans="1:5" s="82" customFormat="1" ht="12" customHeight="1">
      <c r="A10" s="86" t="s">
        <v>261</v>
      </c>
      <c r="B10" s="87" t="s">
        <v>266</v>
      </c>
      <c r="C10" s="647">
        <v>56400000</v>
      </c>
      <c r="D10" s="647">
        <v>56400000</v>
      </c>
      <c r="E10" s="647">
        <v>56400000</v>
      </c>
    </row>
    <row r="11" spans="1:5" s="82" customFormat="1" ht="12" customHeight="1">
      <c r="A11" s="86" t="s">
        <v>262</v>
      </c>
      <c r="B11" s="87" t="s">
        <v>267</v>
      </c>
      <c r="C11" s="647"/>
      <c r="D11" s="647"/>
      <c r="E11" s="647"/>
    </row>
    <row r="12" spans="1:5" s="82" customFormat="1" ht="12" customHeight="1">
      <c r="A12" s="86" t="s">
        <v>434</v>
      </c>
      <c r="B12" s="97" t="s">
        <v>435</v>
      </c>
      <c r="C12" s="647">
        <v>38000000</v>
      </c>
      <c r="D12" s="647">
        <v>38000000</v>
      </c>
      <c r="E12" s="647">
        <v>38000000</v>
      </c>
    </row>
    <row r="13" spans="1:5" s="82" customFormat="1" ht="12" customHeight="1">
      <c r="A13" s="86" t="s">
        <v>263</v>
      </c>
      <c r="B13" s="87" t="s">
        <v>268</v>
      </c>
      <c r="C13" s="647">
        <v>7400000</v>
      </c>
      <c r="D13" s="647">
        <v>7400000</v>
      </c>
      <c r="E13" s="647">
        <v>7400000</v>
      </c>
    </row>
    <row r="14" spans="1:5" s="82" customFormat="1" ht="12" customHeight="1">
      <c r="A14" s="86" t="s">
        <v>264</v>
      </c>
      <c r="B14" s="87" t="s">
        <v>269</v>
      </c>
      <c r="C14" s="647">
        <v>27500000</v>
      </c>
      <c r="D14" s="647">
        <v>27500000</v>
      </c>
      <c r="E14" s="647">
        <v>27500000</v>
      </c>
    </row>
    <row r="15" spans="1:5" s="82" customFormat="1" ht="12" customHeight="1" thickBot="1">
      <c r="A15" s="90" t="s">
        <v>265</v>
      </c>
      <c r="B15" s="94" t="s">
        <v>270</v>
      </c>
      <c r="C15" s="648">
        <v>630000</v>
      </c>
      <c r="D15" s="648">
        <v>630000</v>
      </c>
      <c r="E15" s="648">
        <v>630000</v>
      </c>
    </row>
    <row r="16" spans="1:5" s="82" customFormat="1" ht="12" customHeight="1" thickBot="1">
      <c r="A16" s="79" t="s">
        <v>20</v>
      </c>
      <c r="B16" s="80" t="s">
        <v>528</v>
      </c>
      <c r="C16" s="644">
        <v>139882547</v>
      </c>
      <c r="D16" s="644">
        <v>139882547</v>
      </c>
      <c r="E16" s="644">
        <v>139882547</v>
      </c>
    </row>
    <row r="17" spans="1:6" s="82" customFormat="1" ht="12" customHeight="1" thickBot="1">
      <c r="A17" s="79" t="s">
        <v>21</v>
      </c>
      <c r="B17" s="80" t="s">
        <v>10</v>
      </c>
      <c r="C17" s="644">
        <v>100000</v>
      </c>
      <c r="D17" s="644"/>
      <c r="E17" s="644"/>
    </row>
    <row r="18" spans="1:6" s="82" customFormat="1" ht="12" customHeight="1" thickBot="1">
      <c r="A18" s="79" t="s">
        <v>171</v>
      </c>
      <c r="B18" s="80" t="s">
        <v>527</v>
      </c>
      <c r="C18" s="644"/>
      <c r="D18" s="644"/>
      <c r="E18" s="644"/>
    </row>
    <row r="19" spans="1:6" s="82" customFormat="1" ht="12" customHeight="1" thickBot="1">
      <c r="A19" s="79" t="s">
        <v>23</v>
      </c>
      <c r="B19" s="92" t="s">
        <v>526</v>
      </c>
      <c r="C19" s="644"/>
      <c r="D19" s="644"/>
      <c r="E19" s="644"/>
    </row>
    <row r="20" spans="1:6" s="82" customFormat="1" ht="12" customHeight="1" thickBot="1">
      <c r="A20" s="79" t="s">
        <v>24</v>
      </c>
      <c r="B20" s="80" t="s">
        <v>303</v>
      </c>
      <c r="C20" s="645">
        <f>+C5+C6+C7+C8+C16+C17+C18+C19</f>
        <v>583363490.5</v>
      </c>
      <c r="D20" s="645">
        <f>+D5+D6+D7+D8+D16+D17+D18+D19</f>
        <v>559616902</v>
      </c>
      <c r="E20" s="645">
        <f>+E5+E6+E7+E8+E16+E17+E18+E19</f>
        <v>559616902</v>
      </c>
    </row>
    <row r="21" spans="1:6" s="82" customFormat="1" ht="12" customHeight="1" thickBot="1">
      <c r="A21" s="79" t="s">
        <v>25</v>
      </c>
      <c r="B21" s="80" t="s">
        <v>529</v>
      </c>
      <c r="C21" s="649">
        <f>606054429-31000000-2000000-973800-37370113-43811784-66654221-3001184-57527892</f>
        <v>363715435</v>
      </c>
      <c r="D21" s="649">
        <f>606054429-31000000-2000000-973800-37370113-43811784-31000000-66654221-3001184-115055783</f>
        <v>275187544</v>
      </c>
      <c r="E21" s="649">
        <f>606054429-31000000-2000000-973800-37370113-43811784-31000000-66654221-3001184-115055783-57527892</f>
        <v>217659652</v>
      </c>
    </row>
    <row r="22" spans="1:6" s="82" customFormat="1" ht="12" customHeight="1" thickBot="1">
      <c r="A22" s="79" t="s">
        <v>26</v>
      </c>
      <c r="B22" s="80" t="s">
        <v>530</v>
      </c>
      <c r="C22" s="645">
        <f>+C20+C21</f>
        <v>947078925.5</v>
      </c>
      <c r="D22" s="645">
        <f>+D20+D21</f>
        <v>834804446</v>
      </c>
      <c r="E22" s="645">
        <f>+E20+E21</f>
        <v>777276554</v>
      </c>
    </row>
    <row r="23" spans="1:6" s="82" customFormat="1" ht="12" customHeight="1">
      <c r="A23" s="496"/>
      <c r="B23" s="497"/>
      <c r="C23" s="650"/>
      <c r="D23" s="650"/>
      <c r="E23" s="650"/>
    </row>
    <row r="24" spans="1:6" s="82" customFormat="1" ht="12" customHeight="1">
      <c r="A24" s="692" t="s">
        <v>44</v>
      </c>
      <c r="B24" s="692"/>
      <c r="C24" s="692"/>
      <c r="D24" s="692"/>
      <c r="E24" s="692"/>
    </row>
    <row r="25" spans="1:6" s="82" customFormat="1" ht="12" customHeight="1" thickBot="1">
      <c r="A25" s="693" t="s">
        <v>145</v>
      </c>
      <c r="B25" s="693"/>
      <c r="C25" s="146"/>
      <c r="D25" s="146"/>
      <c r="E25" s="146"/>
    </row>
    <row r="26" spans="1:6" s="82" customFormat="1" ht="24" customHeight="1" thickBot="1">
      <c r="A26" s="73" t="s">
        <v>14</v>
      </c>
      <c r="B26" s="74" t="s">
        <v>45</v>
      </c>
      <c r="C26" s="74" t="str">
        <f>+C3</f>
        <v>2019. évi</v>
      </c>
      <c r="D26" s="74" t="str">
        <f>+D3</f>
        <v>2020. évi</v>
      </c>
      <c r="E26" s="74" t="str">
        <f>+E3</f>
        <v>2021. évi</v>
      </c>
      <c r="F26" s="498"/>
    </row>
    <row r="27" spans="1:6" s="82" customFormat="1" ht="12" customHeight="1" thickBot="1">
      <c r="A27" s="75" t="s">
        <v>486</v>
      </c>
      <c r="B27" s="76" t="s">
        <v>487</v>
      </c>
      <c r="C27" s="76" t="s">
        <v>488</v>
      </c>
      <c r="D27" s="76" t="s">
        <v>488</v>
      </c>
      <c r="E27" s="76" t="s">
        <v>488</v>
      </c>
      <c r="F27" s="498"/>
    </row>
    <row r="28" spans="1:6" s="82" customFormat="1" ht="15" customHeight="1" thickBot="1">
      <c r="A28" s="79" t="s">
        <v>16</v>
      </c>
      <c r="B28" s="147" t="s">
        <v>531</v>
      </c>
      <c r="C28" s="644">
        <f>540903557-20000-414400-3500000-(2067949/2)-23512-973800-10098136-1589011-3001184-6305057</f>
        <v>513944482.5</v>
      </c>
      <c r="D28" s="644">
        <f>540903557-20000-414400-3500000-23512-973800-10098136-22937191-100000-1418795-324577-3500000-1589011-3001184-12610114</f>
        <v>480392837</v>
      </c>
      <c r="E28" s="644">
        <f>540903557-20000-414400-3500000-23512-973800-10098136-22937191-100000-1418795-324577-3500000-1589011-3001184-12610114-6305056</f>
        <v>474087781</v>
      </c>
      <c r="F28" s="498"/>
    </row>
    <row r="29" spans="1:6" ht="12" customHeight="1" thickBot="1">
      <c r="A29" s="133" t="s">
        <v>17</v>
      </c>
      <c r="B29" s="499" t="s">
        <v>536</v>
      </c>
      <c r="C29" s="651">
        <f>C30+C31+C32</f>
        <v>263266915</v>
      </c>
      <c r="D29" s="651">
        <f>D30+D31+D32</f>
        <v>184544080</v>
      </c>
      <c r="E29" s="651">
        <f>E30+E31+E32</f>
        <v>133321245</v>
      </c>
    </row>
    <row r="30" spans="1:6" ht="12" customHeight="1">
      <c r="A30" s="83" t="s">
        <v>101</v>
      </c>
      <c r="B30" s="32" t="s">
        <v>219</v>
      </c>
      <c r="C30" s="652">
        <f>369875414-27500000-(6566274/2)-1468488-2500000-65065210-51222835</f>
        <v>218835744</v>
      </c>
      <c r="D30" s="652">
        <f>369875414-27500000-(6566274/2)-1468488-2500000-27500000-65065210-102445670</f>
        <v>140112909</v>
      </c>
      <c r="E30" s="652">
        <f>369875414-27500000-(6566274/2)-1468488-2500000-27500000-65065210-102445670-51222835</f>
        <v>88890074</v>
      </c>
    </row>
    <row r="31" spans="1:6" ht="12" customHeight="1">
      <c r="A31" s="83" t="s">
        <v>102</v>
      </c>
      <c r="B31" s="136" t="s">
        <v>178</v>
      </c>
      <c r="C31" s="647">
        <f>142950545-(57114270/2)+(18455316/2)-508000-34870113-43811784</f>
        <v>44431171</v>
      </c>
      <c r="D31" s="647">
        <f>142950545-(57114270/2)+(18455316/2)-508000-34870113-43811784</f>
        <v>44431171</v>
      </c>
      <c r="E31" s="647">
        <f>142950545-(57114270/2)+(18455316/2)-508000-34870113-43811784</f>
        <v>44431171</v>
      </c>
    </row>
    <row r="32" spans="1:6" ht="12" customHeight="1" thickBot="1">
      <c r="A32" s="83" t="s">
        <v>103</v>
      </c>
      <c r="B32" s="91" t="s">
        <v>222</v>
      </c>
      <c r="C32" s="647"/>
      <c r="D32" s="647"/>
      <c r="E32" s="647"/>
    </row>
    <row r="33" spans="1:6" ht="12" customHeight="1" thickBot="1">
      <c r="A33" s="79" t="s">
        <v>18</v>
      </c>
      <c r="B33" s="40" t="s">
        <v>447</v>
      </c>
      <c r="C33" s="653">
        <f>+C28+C29</f>
        <v>777211397.5</v>
      </c>
      <c r="D33" s="653">
        <f>+D28+D29</f>
        <v>664936917</v>
      </c>
      <c r="E33" s="653">
        <f>+E28+E29</f>
        <v>607409026</v>
      </c>
    </row>
    <row r="34" spans="1:6" ht="15" customHeight="1" thickBot="1">
      <c r="A34" s="79" t="s">
        <v>19</v>
      </c>
      <c r="B34" s="40" t="s">
        <v>532</v>
      </c>
      <c r="C34" s="654">
        <v>169867528</v>
      </c>
      <c r="D34" s="654">
        <v>169867528</v>
      </c>
      <c r="E34" s="654">
        <v>169867528</v>
      </c>
      <c r="F34" s="143"/>
    </row>
    <row r="35" spans="1:6" s="82" customFormat="1" ht="12.95" customHeight="1" thickBot="1">
      <c r="A35" s="144" t="s">
        <v>20</v>
      </c>
      <c r="B35" s="145" t="s">
        <v>533</v>
      </c>
      <c r="C35" s="655">
        <f>+C33+C34</f>
        <v>947078925.5</v>
      </c>
      <c r="D35" s="655">
        <f>+D33+D34</f>
        <v>834804445</v>
      </c>
      <c r="E35" s="655">
        <f>+E33+E34</f>
        <v>777276554</v>
      </c>
    </row>
    <row r="36" spans="1:6">
      <c r="C36" s="71"/>
      <c r="D36" s="71"/>
      <c r="E36" s="71"/>
    </row>
    <row r="37" spans="1:6">
      <c r="C37" s="71"/>
      <c r="D37" s="71"/>
      <c r="E37" s="71"/>
    </row>
    <row r="38" spans="1:6">
      <c r="C38" s="71"/>
      <c r="D38" s="71"/>
      <c r="E38" s="71"/>
    </row>
    <row r="39" spans="1:6" ht="16.5" customHeight="1">
      <c r="C39" s="71"/>
      <c r="D39" s="71"/>
      <c r="E39" s="71"/>
    </row>
    <row r="40" spans="1:6">
      <c r="C40" s="71"/>
      <c r="D40" s="71"/>
      <c r="E40" s="71"/>
    </row>
    <row r="41" spans="1:6">
      <c r="C41" s="71"/>
      <c r="D41" s="71"/>
      <c r="E41" s="71"/>
    </row>
    <row r="42" spans="1:6">
      <c r="C42" s="71"/>
      <c r="D42" s="71"/>
      <c r="E42" s="71"/>
    </row>
    <row r="43" spans="1:6">
      <c r="C43" s="71"/>
      <c r="D43" s="71"/>
      <c r="E43" s="71"/>
    </row>
    <row r="44" spans="1:6">
      <c r="C44" s="71"/>
      <c r="D44" s="71"/>
      <c r="E44" s="71"/>
    </row>
    <row r="45" spans="1:6">
      <c r="C45" s="71"/>
      <c r="D45" s="71"/>
      <c r="E45" s="71"/>
    </row>
    <row r="46" spans="1:6">
      <c r="C46" s="71"/>
      <c r="D46" s="71"/>
      <c r="E46" s="71"/>
    </row>
    <row r="47" spans="1:6">
      <c r="C47" s="71"/>
      <c r="D47" s="71"/>
      <c r="E47" s="71"/>
    </row>
    <row r="48" spans="1:6">
      <c r="C48" s="71"/>
      <c r="D48" s="71"/>
      <c r="E48" s="71"/>
    </row>
  </sheetData>
  <mergeCells count="4">
    <mergeCell ref="A1:E1"/>
    <mergeCell ref="A2:B2"/>
    <mergeCell ref="A24:E24"/>
    <mergeCell ref="A25:B25"/>
  </mergeCells>
  <phoneticPr fontId="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8" fitToWidth="3" fitToHeight="2" orientation="portrait" r:id="rId1"/>
  <headerFooter alignWithMargins="0">
    <oddHeader>&amp;C&amp;"Times New Roman CE,Félkövér"&amp;12Vonyarcvashegy Nagyközség Önkormányzata
2018. ÉVI KÖLTSÉGVETÉSI ÉVET KÖVETŐ 3 ÉV TERVEZETT BEVÉTELEI, KIADÁSAI&amp;R&amp;"Times New Roman CE,Félkövér dőlt"&amp;11 7. számú tájékoztató tábla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FFC000"/>
  </sheetPr>
  <dimension ref="A1:E163"/>
  <sheetViews>
    <sheetView view="pageLayout" topLeftCell="A91" zoomScaleNormal="100" zoomScaleSheetLayoutView="100" workbookViewId="0">
      <selection activeCell="B100" sqref="B100"/>
    </sheetView>
  </sheetViews>
  <sheetFormatPr defaultRowHeight="15.75"/>
  <cols>
    <col min="1" max="1" width="9.5" style="71" customWidth="1"/>
    <col min="2" max="2" width="91.6640625" style="71" customWidth="1"/>
    <col min="3" max="5" width="21.6640625" style="146" customWidth="1"/>
    <col min="6" max="16384" width="9.33203125" style="71"/>
  </cols>
  <sheetData>
    <row r="1" spans="1:5">
      <c r="B1" s="510" t="s">
        <v>690</v>
      </c>
    </row>
    <row r="2" spans="1:5">
      <c r="B2" s="510" t="s">
        <v>691</v>
      </c>
    </row>
    <row r="3" spans="1:5">
      <c r="B3" s="518" t="s">
        <v>694</v>
      </c>
    </row>
    <row r="5" spans="1:5" ht="15.95" customHeight="1">
      <c r="A5" s="692" t="s">
        <v>13</v>
      </c>
      <c r="B5" s="692"/>
      <c r="C5" s="71"/>
      <c r="D5" s="71"/>
      <c r="E5" s="71"/>
    </row>
    <row r="6" spans="1:5" ht="15.95" customHeight="1" thickBot="1">
      <c r="A6" s="691" t="s">
        <v>144</v>
      </c>
      <c r="B6" s="691"/>
      <c r="C6" s="72" t="s">
        <v>589</v>
      </c>
      <c r="D6" s="72" t="s">
        <v>589</v>
      </c>
      <c r="E6" s="72" t="s">
        <v>589</v>
      </c>
    </row>
    <row r="7" spans="1:5" ht="38.1" customHeight="1" thickBot="1">
      <c r="A7" s="73" t="s">
        <v>66</v>
      </c>
      <c r="B7" s="74" t="s">
        <v>15</v>
      </c>
      <c r="C7" s="16" t="s">
        <v>688</v>
      </c>
      <c r="D7" s="16" t="s">
        <v>739</v>
      </c>
      <c r="E7" s="16" t="s">
        <v>744</v>
      </c>
    </row>
    <row r="8" spans="1:5" s="78" customFormat="1" ht="12" customHeight="1" thickBot="1">
      <c r="A8" s="75" t="s">
        <v>486</v>
      </c>
      <c r="B8" s="76" t="s">
        <v>487</v>
      </c>
      <c r="C8" s="77" t="s">
        <v>488</v>
      </c>
      <c r="D8" s="77" t="s">
        <v>488</v>
      </c>
      <c r="E8" s="77" t="s">
        <v>488</v>
      </c>
    </row>
    <row r="9" spans="1:5" s="82" customFormat="1" ht="12" customHeight="1" thickBot="1">
      <c r="A9" s="79" t="s">
        <v>16</v>
      </c>
      <c r="B9" s="80" t="s">
        <v>244</v>
      </c>
      <c r="C9" s="81">
        <f>+C10+C11+C12+C13+C14+C15</f>
        <v>0</v>
      </c>
      <c r="D9" s="81">
        <f>+D10+D11+D12+D13+D14+D15</f>
        <v>0</v>
      </c>
      <c r="E9" s="81">
        <f>+E10+E11+E12+E13+E14+E15</f>
        <v>0</v>
      </c>
    </row>
    <row r="10" spans="1:5" s="82" customFormat="1" ht="12" customHeight="1">
      <c r="A10" s="83" t="s">
        <v>95</v>
      </c>
      <c r="B10" s="84" t="s">
        <v>245</v>
      </c>
      <c r="C10" s="85"/>
      <c r="D10" s="85"/>
      <c r="E10" s="85"/>
    </row>
    <row r="11" spans="1:5" s="82" customFormat="1" ht="12" customHeight="1">
      <c r="A11" s="86" t="s">
        <v>96</v>
      </c>
      <c r="B11" s="87" t="s">
        <v>246</v>
      </c>
      <c r="C11" s="88"/>
      <c r="D11" s="88"/>
      <c r="E11" s="88"/>
    </row>
    <row r="12" spans="1:5" s="82" customFormat="1" ht="12" customHeight="1">
      <c r="A12" s="86" t="s">
        <v>97</v>
      </c>
      <c r="B12" s="87" t="s">
        <v>247</v>
      </c>
      <c r="C12" s="88"/>
      <c r="D12" s="88"/>
      <c r="E12" s="88"/>
    </row>
    <row r="13" spans="1:5" s="82" customFormat="1" ht="12" customHeight="1">
      <c r="A13" s="86" t="s">
        <v>98</v>
      </c>
      <c r="B13" s="87" t="s">
        <v>248</v>
      </c>
      <c r="C13" s="88"/>
      <c r="D13" s="88"/>
      <c r="E13" s="88"/>
    </row>
    <row r="14" spans="1:5" s="82" customFormat="1" ht="12" customHeight="1">
      <c r="A14" s="86" t="s">
        <v>141</v>
      </c>
      <c r="B14" s="89" t="s">
        <v>429</v>
      </c>
      <c r="C14" s="88"/>
      <c r="D14" s="88"/>
      <c r="E14" s="88"/>
    </row>
    <row r="15" spans="1:5" s="82" customFormat="1" ht="12" customHeight="1" thickBot="1">
      <c r="A15" s="90" t="s">
        <v>99</v>
      </c>
      <c r="B15" s="91" t="s">
        <v>430</v>
      </c>
      <c r="C15" s="88"/>
      <c r="D15" s="88"/>
      <c r="E15" s="88"/>
    </row>
    <row r="16" spans="1:5" s="82" customFormat="1" ht="12" customHeight="1" thickBot="1">
      <c r="A16" s="79" t="s">
        <v>17</v>
      </c>
      <c r="B16" s="92" t="s">
        <v>249</v>
      </c>
      <c r="C16" s="81">
        <f>+C17+C18+C19+C20+C21</f>
        <v>0</v>
      </c>
      <c r="D16" s="81">
        <f>+D17+D18+D19+D20+D21</f>
        <v>0</v>
      </c>
      <c r="E16" s="81">
        <f>+E17+E18+E19+E20+E21</f>
        <v>0</v>
      </c>
    </row>
    <row r="17" spans="1:5" s="82" customFormat="1" ht="12" customHeight="1">
      <c r="A17" s="83" t="s">
        <v>101</v>
      </c>
      <c r="B17" s="84" t="s">
        <v>250</v>
      </c>
      <c r="C17" s="85"/>
      <c r="D17" s="85"/>
      <c r="E17" s="85"/>
    </row>
    <row r="18" spans="1:5" s="82" customFormat="1" ht="12" customHeight="1">
      <c r="A18" s="86" t="s">
        <v>102</v>
      </c>
      <c r="B18" s="87" t="s">
        <v>251</v>
      </c>
      <c r="C18" s="88"/>
      <c r="D18" s="88"/>
      <c r="E18" s="88"/>
    </row>
    <row r="19" spans="1:5" s="82" customFormat="1" ht="12" customHeight="1">
      <c r="A19" s="86" t="s">
        <v>103</v>
      </c>
      <c r="B19" s="87" t="s">
        <v>419</v>
      </c>
      <c r="C19" s="88"/>
      <c r="D19" s="88"/>
      <c r="E19" s="88"/>
    </row>
    <row r="20" spans="1:5" s="82" customFormat="1" ht="12" customHeight="1">
      <c r="A20" s="86" t="s">
        <v>104</v>
      </c>
      <c r="B20" s="87" t="s">
        <v>420</v>
      </c>
      <c r="C20" s="88"/>
      <c r="D20" s="88"/>
      <c r="E20" s="88"/>
    </row>
    <row r="21" spans="1:5" s="82" customFormat="1" ht="12" customHeight="1">
      <c r="A21" s="86" t="s">
        <v>105</v>
      </c>
      <c r="B21" s="87" t="s">
        <v>252</v>
      </c>
      <c r="C21" s="88"/>
      <c r="D21" s="88"/>
      <c r="E21" s="88"/>
    </row>
    <row r="22" spans="1:5" s="82" customFormat="1" ht="12" customHeight="1" thickBot="1">
      <c r="A22" s="90" t="s">
        <v>114</v>
      </c>
      <c r="B22" s="91" t="s">
        <v>253</v>
      </c>
      <c r="C22" s="93"/>
      <c r="D22" s="93"/>
      <c r="E22" s="93"/>
    </row>
    <row r="23" spans="1:5" s="82" customFormat="1" ht="12" customHeight="1" thickBot="1">
      <c r="A23" s="79" t="s">
        <v>18</v>
      </c>
      <c r="B23" s="80" t="s">
        <v>254</v>
      </c>
      <c r="C23" s="81">
        <f>+C24+C25+C26+C27+C28</f>
        <v>0</v>
      </c>
      <c r="D23" s="81">
        <f>+D24+D25+D26+D27+D28</f>
        <v>0</v>
      </c>
      <c r="E23" s="81">
        <f>+E24+E25+E26+E27+E28</f>
        <v>0</v>
      </c>
    </row>
    <row r="24" spans="1:5" s="82" customFormat="1" ht="12" customHeight="1">
      <c r="A24" s="83" t="s">
        <v>84</v>
      </c>
      <c r="B24" s="84" t="s">
        <v>255</v>
      </c>
      <c r="C24" s="85"/>
      <c r="D24" s="85"/>
      <c r="E24" s="85"/>
    </row>
    <row r="25" spans="1:5" s="82" customFormat="1" ht="12" customHeight="1">
      <c r="A25" s="86" t="s">
        <v>85</v>
      </c>
      <c r="B25" s="87" t="s">
        <v>256</v>
      </c>
      <c r="C25" s="88"/>
      <c r="D25" s="88"/>
      <c r="E25" s="88"/>
    </row>
    <row r="26" spans="1:5" s="82" customFormat="1" ht="12" customHeight="1">
      <c r="A26" s="86" t="s">
        <v>86</v>
      </c>
      <c r="B26" s="87" t="s">
        <v>421</v>
      </c>
      <c r="C26" s="88"/>
      <c r="D26" s="88"/>
      <c r="E26" s="88"/>
    </row>
    <row r="27" spans="1:5" s="82" customFormat="1" ht="12" customHeight="1">
      <c r="A27" s="86" t="s">
        <v>87</v>
      </c>
      <c r="B27" s="87" t="s">
        <v>422</v>
      </c>
      <c r="C27" s="88"/>
      <c r="D27" s="88"/>
      <c r="E27" s="88"/>
    </row>
    <row r="28" spans="1:5" s="82" customFormat="1" ht="12" customHeight="1">
      <c r="A28" s="86" t="s">
        <v>162</v>
      </c>
      <c r="B28" s="87" t="s">
        <v>257</v>
      </c>
      <c r="C28" s="88"/>
      <c r="D28" s="88"/>
      <c r="E28" s="88"/>
    </row>
    <row r="29" spans="1:5" s="82" customFormat="1" ht="12" customHeight="1" thickBot="1">
      <c r="A29" s="90" t="s">
        <v>163</v>
      </c>
      <c r="B29" s="94" t="s">
        <v>258</v>
      </c>
      <c r="C29" s="93"/>
      <c r="D29" s="93"/>
      <c r="E29" s="93"/>
    </row>
    <row r="30" spans="1:5" s="82" customFormat="1" ht="12" customHeight="1" thickBot="1">
      <c r="A30" s="79" t="s">
        <v>164</v>
      </c>
      <c r="B30" s="80" t="s">
        <v>259</v>
      </c>
      <c r="C30" s="95">
        <f>+C31+C35+C36+C37</f>
        <v>0</v>
      </c>
      <c r="D30" s="95">
        <f>+D31+D35+D36+D37</f>
        <v>0</v>
      </c>
      <c r="E30" s="95">
        <f>+E31+E35+E36+E37</f>
        <v>0</v>
      </c>
    </row>
    <row r="31" spans="1:5" s="82" customFormat="1" ht="12" customHeight="1">
      <c r="A31" s="83" t="s">
        <v>260</v>
      </c>
      <c r="B31" s="84" t="s">
        <v>436</v>
      </c>
      <c r="C31" s="96">
        <f>+C32+C33+C34</f>
        <v>0</v>
      </c>
      <c r="D31" s="96">
        <f>+D32+D33+D34</f>
        <v>0</v>
      </c>
      <c r="E31" s="96">
        <f>+E32+E33+E34</f>
        <v>0</v>
      </c>
    </row>
    <row r="32" spans="1:5" s="82" customFormat="1" ht="12" customHeight="1">
      <c r="A32" s="86" t="s">
        <v>261</v>
      </c>
      <c r="B32" s="87" t="s">
        <v>266</v>
      </c>
      <c r="C32" s="88"/>
      <c r="D32" s="88"/>
      <c r="E32" s="88"/>
    </row>
    <row r="33" spans="1:5" s="82" customFormat="1" ht="12" customHeight="1">
      <c r="A33" s="86" t="s">
        <v>262</v>
      </c>
      <c r="B33" s="87" t="s">
        <v>267</v>
      </c>
      <c r="C33" s="88"/>
      <c r="D33" s="88"/>
      <c r="E33" s="88"/>
    </row>
    <row r="34" spans="1:5" s="82" customFormat="1" ht="12" customHeight="1">
      <c r="A34" s="86" t="s">
        <v>434</v>
      </c>
      <c r="B34" s="97" t="s">
        <v>435</v>
      </c>
      <c r="C34" s="88"/>
      <c r="D34" s="88"/>
      <c r="E34" s="88"/>
    </row>
    <row r="35" spans="1:5" s="82" customFormat="1" ht="12" customHeight="1">
      <c r="A35" s="86" t="s">
        <v>263</v>
      </c>
      <c r="B35" s="87" t="s">
        <v>268</v>
      </c>
      <c r="C35" s="88"/>
      <c r="D35" s="88"/>
      <c r="E35" s="88"/>
    </row>
    <row r="36" spans="1:5" s="82" customFormat="1" ht="12" customHeight="1">
      <c r="A36" s="86" t="s">
        <v>264</v>
      </c>
      <c r="B36" s="87" t="s">
        <v>269</v>
      </c>
      <c r="C36" s="88"/>
      <c r="D36" s="88"/>
      <c r="E36" s="88"/>
    </row>
    <row r="37" spans="1:5" s="82" customFormat="1" ht="12" customHeight="1" thickBot="1">
      <c r="A37" s="90" t="s">
        <v>265</v>
      </c>
      <c r="B37" s="94" t="s">
        <v>270</v>
      </c>
      <c r="C37" s="93"/>
      <c r="D37" s="93"/>
      <c r="E37" s="93"/>
    </row>
    <row r="38" spans="1:5" s="82" customFormat="1" ht="12" customHeight="1" thickBot="1">
      <c r="A38" s="79" t="s">
        <v>20</v>
      </c>
      <c r="B38" s="80" t="s">
        <v>431</v>
      </c>
      <c r="C38" s="81">
        <f>SUM(C39:C49)</f>
        <v>0</v>
      </c>
      <c r="D38" s="81">
        <f>SUM(D39:D49)</f>
        <v>0</v>
      </c>
      <c r="E38" s="81">
        <f>SUM(E39:E49)</f>
        <v>0</v>
      </c>
    </row>
    <row r="39" spans="1:5" s="82" customFormat="1" ht="12" customHeight="1">
      <c r="A39" s="83" t="s">
        <v>88</v>
      </c>
      <c r="B39" s="84" t="s">
        <v>273</v>
      </c>
      <c r="C39" s="85"/>
      <c r="D39" s="85"/>
      <c r="E39" s="85"/>
    </row>
    <row r="40" spans="1:5" s="82" customFormat="1" ht="12" customHeight="1">
      <c r="A40" s="86" t="s">
        <v>89</v>
      </c>
      <c r="B40" s="87" t="s">
        <v>274</v>
      </c>
      <c r="C40" s="88"/>
      <c r="D40" s="88"/>
      <c r="E40" s="88"/>
    </row>
    <row r="41" spans="1:5" s="82" customFormat="1" ht="12" customHeight="1">
      <c r="A41" s="86" t="s">
        <v>90</v>
      </c>
      <c r="B41" s="87" t="s">
        <v>275</v>
      </c>
      <c r="C41" s="88"/>
      <c r="D41" s="88"/>
      <c r="E41" s="88"/>
    </row>
    <row r="42" spans="1:5" s="82" customFormat="1" ht="12" customHeight="1">
      <c r="A42" s="86" t="s">
        <v>166</v>
      </c>
      <c r="B42" s="87" t="s">
        <v>276</v>
      </c>
      <c r="C42" s="88"/>
      <c r="D42" s="88"/>
      <c r="E42" s="88"/>
    </row>
    <row r="43" spans="1:5" s="82" customFormat="1" ht="12" customHeight="1">
      <c r="A43" s="86" t="s">
        <v>167</v>
      </c>
      <c r="B43" s="87" t="s">
        <v>277</v>
      </c>
      <c r="C43" s="88"/>
      <c r="D43" s="88"/>
      <c r="E43" s="88"/>
    </row>
    <row r="44" spans="1:5" s="82" customFormat="1" ht="12" customHeight="1">
      <c r="A44" s="86" t="s">
        <v>168</v>
      </c>
      <c r="B44" s="87" t="s">
        <v>278</v>
      </c>
      <c r="C44" s="88"/>
      <c r="D44" s="88"/>
      <c r="E44" s="88"/>
    </row>
    <row r="45" spans="1:5" s="82" customFormat="1" ht="12" customHeight="1">
      <c r="A45" s="86" t="s">
        <v>169</v>
      </c>
      <c r="B45" s="87" t="s">
        <v>279</v>
      </c>
      <c r="C45" s="88"/>
      <c r="D45" s="88"/>
      <c r="E45" s="88"/>
    </row>
    <row r="46" spans="1:5" s="82" customFormat="1" ht="12" customHeight="1">
      <c r="A46" s="86" t="s">
        <v>170</v>
      </c>
      <c r="B46" s="87" t="s">
        <v>280</v>
      </c>
      <c r="C46" s="88"/>
      <c r="D46" s="88"/>
      <c r="E46" s="88"/>
    </row>
    <row r="47" spans="1:5" s="82" customFormat="1" ht="12" customHeight="1">
      <c r="A47" s="86" t="s">
        <v>271</v>
      </c>
      <c r="B47" s="87" t="s">
        <v>281</v>
      </c>
      <c r="C47" s="98"/>
      <c r="D47" s="98"/>
      <c r="E47" s="98"/>
    </row>
    <row r="48" spans="1:5" s="82" customFormat="1" ht="12" customHeight="1">
      <c r="A48" s="90" t="s">
        <v>272</v>
      </c>
      <c r="B48" s="94" t="s">
        <v>433</v>
      </c>
      <c r="C48" s="99"/>
      <c r="D48" s="99"/>
      <c r="E48" s="99"/>
    </row>
    <row r="49" spans="1:5" s="82" customFormat="1" ht="12" customHeight="1" thickBot="1">
      <c r="A49" s="90" t="s">
        <v>432</v>
      </c>
      <c r="B49" s="91" t="s">
        <v>282</v>
      </c>
      <c r="C49" s="99"/>
      <c r="D49" s="99"/>
      <c r="E49" s="99"/>
    </row>
    <row r="50" spans="1:5" s="82" customFormat="1" ht="12" customHeight="1" thickBot="1">
      <c r="A50" s="79" t="s">
        <v>21</v>
      </c>
      <c r="B50" s="80" t="s">
        <v>283</v>
      </c>
      <c r="C50" s="81">
        <f>SUM(C51:C55)</f>
        <v>0</v>
      </c>
      <c r="D50" s="81">
        <f>SUM(D51:D55)</f>
        <v>0</v>
      </c>
      <c r="E50" s="81">
        <f>SUM(E51:E55)</f>
        <v>0</v>
      </c>
    </row>
    <row r="51" spans="1:5" s="82" customFormat="1" ht="12" customHeight="1">
      <c r="A51" s="83" t="s">
        <v>91</v>
      </c>
      <c r="B51" s="84" t="s">
        <v>287</v>
      </c>
      <c r="C51" s="100"/>
      <c r="D51" s="100"/>
      <c r="E51" s="100"/>
    </row>
    <row r="52" spans="1:5" s="82" customFormat="1" ht="12" customHeight="1">
      <c r="A52" s="86" t="s">
        <v>92</v>
      </c>
      <c r="B52" s="87" t="s">
        <v>288</v>
      </c>
      <c r="C52" s="98"/>
      <c r="D52" s="98"/>
      <c r="E52" s="98"/>
    </row>
    <row r="53" spans="1:5" s="82" customFormat="1" ht="12" customHeight="1">
      <c r="A53" s="86" t="s">
        <v>284</v>
      </c>
      <c r="B53" s="87" t="s">
        <v>289</v>
      </c>
      <c r="C53" s="98"/>
      <c r="D53" s="98"/>
      <c r="E53" s="98"/>
    </row>
    <row r="54" spans="1:5" s="82" customFormat="1" ht="12" customHeight="1">
      <c r="A54" s="86" t="s">
        <v>285</v>
      </c>
      <c r="B54" s="87" t="s">
        <v>290</v>
      </c>
      <c r="C54" s="98"/>
      <c r="D54" s="98"/>
      <c r="E54" s="98"/>
    </row>
    <row r="55" spans="1:5" s="82" customFormat="1" ht="12" customHeight="1" thickBot="1">
      <c r="A55" s="90" t="s">
        <v>286</v>
      </c>
      <c r="B55" s="91" t="s">
        <v>291</v>
      </c>
      <c r="C55" s="99"/>
      <c r="D55" s="99"/>
      <c r="E55" s="99"/>
    </row>
    <row r="56" spans="1:5" s="82" customFormat="1" ht="12" customHeight="1" thickBot="1">
      <c r="A56" s="79" t="s">
        <v>171</v>
      </c>
      <c r="B56" s="80" t="s">
        <v>292</v>
      </c>
      <c r="C56" s="81">
        <f>SUM(C57:C59)</f>
        <v>0</v>
      </c>
      <c r="D56" s="81">
        <f>SUM(D57:D59)</f>
        <v>0</v>
      </c>
      <c r="E56" s="81">
        <f>SUM(E57:E59)</f>
        <v>0</v>
      </c>
    </row>
    <row r="57" spans="1:5" s="82" customFormat="1" ht="12" customHeight="1">
      <c r="A57" s="83" t="s">
        <v>93</v>
      </c>
      <c r="B57" s="84" t="s">
        <v>293</v>
      </c>
      <c r="C57" s="85"/>
      <c r="D57" s="85"/>
      <c r="E57" s="85"/>
    </row>
    <row r="58" spans="1:5" s="82" customFormat="1" ht="12" customHeight="1">
      <c r="A58" s="86" t="s">
        <v>94</v>
      </c>
      <c r="B58" s="87" t="s">
        <v>423</v>
      </c>
      <c r="C58" s="88"/>
      <c r="D58" s="88"/>
      <c r="E58" s="88"/>
    </row>
    <row r="59" spans="1:5" s="82" customFormat="1" ht="12" customHeight="1">
      <c r="A59" s="86" t="s">
        <v>296</v>
      </c>
      <c r="B59" s="87" t="s">
        <v>294</v>
      </c>
      <c r="C59" s="88"/>
      <c r="D59" s="88"/>
      <c r="E59" s="88"/>
    </row>
    <row r="60" spans="1:5" s="82" customFormat="1" ht="12" customHeight="1" thickBot="1">
      <c r="A60" s="90" t="s">
        <v>297</v>
      </c>
      <c r="B60" s="91" t="s">
        <v>295</v>
      </c>
      <c r="C60" s="93"/>
      <c r="D60" s="93"/>
      <c r="E60" s="93"/>
    </row>
    <row r="61" spans="1:5" s="82" customFormat="1" ht="12" customHeight="1" thickBot="1">
      <c r="A61" s="79" t="s">
        <v>23</v>
      </c>
      <c r="B61" s="92" t="s">
        <v>298</v>
      </c>
      <c r="C61" s="81">
        <f>SUM(C62:C64)</f>
        <v>0</v>
      </c>
      <c r="D61" s="81">
        <f>SUM(D62:D64)</f>
        <v>0</v>
      </c>
      <c r="E61" s="81">
        <f>SUM(E62:E64)</f>
        <v>0</v>
      </c>
    </row>
    <row r="62" spans="1:5" s="82" customFormat="1" ht="12" customHeight="1">
      <c r="A62" s="83" t="s">
        <v>172</v>
      </c>
      <c r="B62" s="84" t="s">
        <v>300</v>
      </c>
      <c r="C62" s="98"/>
      <c r="D62" s="98"/>
      <c r="E62" s="98"/>
    </row>
    <row r="63" spans="1:5" s="82" customFormat="1" ht="12" customHeight="1">
      <c r="A63" s="86" t="s">
        <v>173</v>
      </c>
      <c r="B63" s="87" t="s">
        <v>424</v>
      </c>
      <c r="C63" s="98"/>
      <c r="D63" s="98"/>
      <c r="E63" s="98"/>
    </row>
    <row r="64" spans="1:5" s="82" customFormat="1" ht="12" customHeight="1">
      <c r="A64" s="86" t="s">
        <v>221</v>
      </c>
      <c r="B64" s="87" t="s">
        <v>301</v>
      </c>
      <c r="C64" s="98"/>
      <c r="D64" s="98"/>
      <c r="E64" s="98"/>
    </row>
    <row r="65" spans="1:5" s="82" customFormat="1" ht="12" customHeight="1" thickBot="1">
      <c r="A65" s="90" t="s">
        <v>299</v>
      </c>
      <c r="B65" s="91" t="s">
        <v>302</v>
      </c>
      <c r="C65" s="98"/>
      <c r="D65" s="98"/>
      <c r="E65" s="98"/>
    </row>
    <row r="66" spans="1:5" s="82" customFormat="1" ht="12" customHeight="1" thickBot="1">
      <c r="A66" s="101" t="s">
        <v>475</v>
      </c>
      <c r="B66" s="80" t="s">
        <v>303</v>
      </c>
      <c r="C66" s="95">
        <f>+C9+C16+C23+C30+C38+C50+C56+C61</f>
        <v>0</v>
      </c>
      <c r="D66" s="95">
        <f>+D9+D16+D23+D30+D38+D50+D56+D61</f>
        <v>0</v>
      </c>
      <c r="E66" s="95">
        <f>+E9+E16+E23+E30+E38+E50+E56+E61</f>
        <v>0</v>
      </c>
    </row>
    <row r="67" spans="1:5" s="82" customFormat="1" ht="12" customHeight="1" thickBot="1">
      <c r="A67" s="102" t="s">
        <v>304</v>
      </c>
      <c r="B67" s="92" t="s">
        <v>305</v>
      </c>
      <c r="C67" s="81">
        <f>SUM(C68:C70)</f>
        <v>0</v>
      </c>
      <c r="D67" s="81">
        <f>SUM(D68:D70)</f>
        <v>0</v>
      </c>
      <c r="E67" s="81">
        <f>SUM(E68:E70)</f>
        <v>0</v>
      </c>
    </row>
    <row r="68" spans="1:5" s="82" customFormat="1" ht="12" customHeight="1">
      <c r="A68" s="83" t="s">
        <v>336</v>
      </c>
      <c r="B68" s="84" t="s">
        <v>306</v>
      </c>
      <c r="C68" s="98"/>
      <c r="D68" s="98"/>
      <c r="E68" s="98"/>
    </row>
    <row r="69" spans="1:5" s="82" customFormat="1" ht="12" customHeight="1">
      <c r="A69" s="86" t="s">
        <v>345</v>
      </c>
      <c r="B69" s="87" t="s">
        <v>307</v>
      </c>
      <c r="C69" s="98"/>
      <c r="D69" s="98"/>
      <c r="E69" s="98"/>
    </row>
    <row r="70" spans="1:5" s="82" customFormat="1" ht="12" customHeight="1" thickBot="1">
      <c r="A70" s="90" t="s">
        <v>346</v>
      </c>
      <c r="B70" s="103" t="s">
        <v>460</v>
      </c>
      <c r="C70" s="98"/>
      <c r="D70" s="98"/>
      <c r="E70" s="98"/>
    </row>
    <row r="71" spans="1:5" s="82" customFormat="1" ht="12" customHeight="1" thickBot="1">
      <c r="A71" s="102" t="s">
        <v>309</v>
      </c>
      <c r="B71" s="92" t="s">
        <v>310</v>
      </c>
      <c r="C71" s="81">
        <f>SUM(C72:C75)</f>
        <v>0</v>
      </c>
      <c r="D71" s="81">
        <f>SUM(D72:D75)</f>
        <v>0</v>
      </c>
      <c r="E71" s="81">
        <f>SUM(E72:E75)</f>
        <v>0</v>
      </c>
    </row>
    <row r="72" spans="1:5" s="82" customFormat="1" ht="12" customHeight="1">
      <c r="A72" s="83" t="s">
        <v>142</v>
      </c>
      <c r="B72" s="84" t="s">
        <v>311</v>
      </c>
      <c r="C72" s="98"/>
      <c r="D72" s="98"/>
      <c r="E72" s="98"/>
    </row>
    <row r="73" spans="1:5" s="82" customFormat="1" ht="12" customHeight="1">
      <c r="A73" s="86" t="s">
        <v>143</v>
      </c>
      <c r="B73" s="87" t="s">
        <v>312</v>
      </c>
      <c r="C73" s="98"/>
      <c r="D73" s="98"/>
      <c r="E73" s="98"/>
    </row>
    <row r="74" spans="1:5" s="82" customFormat="1" ht="12" customHeight="1">
      <c r="A74" s="86" t="s">
        <v>337</v>
      </c>
      <c r="B74" s="87" t="s">
        <v>313</v>
      </c>
      <c r="C74" s="98"/>
      <c r="D74" s="98"/>
      <c r="E74" s="98"/>
    </row>
    <row r="75" spans="1:5" s="82" customFormat="1" ht="12" customHeight="1" thickBot="1">
      <c r="A75" s="90" t="s">
        <v>338</v>
      </c>
      <c r="B75" s="91" t="s">
        <v>314</v>
      </c>
      <c r="C75" s="98"/>
      <c r="D75" s="98"/>
      <c r="E75" s="98"/>
    </row>
    <row r="76" spans="1:5" s="82" customFormat="1" ht="12" customHeight="1" thickBot="1">
      <c r="A76" s="102" t="s">
        <v>315</v>
      </c>
      <c r="B76" s="92" t="s">
        <v>316</v>
      </c>
      <c r="C76" s="81">
        <f>SUM(C77:C78)</f>
        <v>0</v>
      </c>
      <c r="D76" s="81">
        <f>SUM(D77:D78)</f>
        <v>0</v>
      </c>
      <c r="E76" s="81">
        <f>SUM(E77:E78)</f>
        <v>0</v>
      </c>
    </row>
    <row r="77" spans="1:5" s="82" customFormat="1" ht="12" customHeight="1">
      <c r="A77" s="83" t="s">
        <v>339</v>
      </c>
      <c r="B77" s="84" t="s">
        <v>317</v>
      </c>
      <c r="C77" s="98"/>
      <c r="D77" s="98"/>
      <c r="E77" s="98"/>
    </row>
    <row r="78" spans="1:5" s="82" customFormat="1" ht="12" customHeight="1" thickBot="1">
      <c r="A78" s="90" t="s">
        <v>340</v>
      </c>
      <c r="B78" s="91" t="s">
        <v>318</v>
      </c>
      <c r="C78" s="98"/>
      <c r="D78" s="98"/>
      <c r="E78" s="98"/>
    </row>
    <row r="79" spans="1:5" s="82" customFormat="1" ht="12" customHeight="1" thickBot="1">
      <c r="A79" s="102" t="s">
        <v>319</v>
      </c>
      <c r="B79" s="92" t="s">
        <v>320</v>
      </c>
      <c r="C79" s="81">
        <f>SUM(C80:C82)</f>
        <v>0</v>
      </c>
      <c r="D79" s="81">
        <f>SUM(D80:D82)</f>
        <v>0</v>
      </c>
      <c r="E79" s="81">
        <f>SUM(E80:E82)</f>
        <v>0</v>
      </c>
    </row>
    <row r="80" spans="1:5" s="82" customFormat="1" ht="12" customHeight="1">
      <c r="A80" s="83" t="s">
        <v>341</v>
      </c>
      <c r="B80" s="84" t="s">
        <v>321</v>
      </c>
      <c r="C80" s="98"/>
      <c r="D80" s="98"/>
      <c r="E80" s="98"/>
    </row>
    <row r="81" spans="1:5" s="82" customFormat="1" ht="12" customHeight="1">
      <c r="A81" s="86" t="s">
        <v>342</v>
      </c>
      <c r="B81" s="87" t="s">
        <v>322</v>
      </c>
      <c r="C81" s="98"/>
      <c r="D81" s="98"/>
      <c r="E81" s="98"/>
    </row>
    <row r="82" spans="1:5" s="82" customFormat="1" ht="12" customHeight="1" thickBot="1">
      <c r="A82" s="90" t="s">
        <v>343</v>
      </c>
      <c r="B82" s="91" t="s">
        <v>323</v>
      </c>
      <c r="C82" s="98"/>
      <c r="D82" s="98"/>
      <c r="E82" s="98"/>
    </row>
    <row r="83" spans="1:5" s="82" customFormat="1" ht="12" customHeight="1" thickBot="1">
      <c r="A83" s="102" t="s">
        <v>324</v>
      </c>
      <c r="B83" s="92" t="s">
        <v>344</v>
      </c>
      <c r="C83" s="81">
        <f>SUM(C84:C87)</f>
        <v>0</v>
      </c>
      <c r="D83" s="81">
        <f>SUM(D84:D87)</f>
        <v>0</v>
      </c>
      <c r="E83" s="81">
        <f>SUM(E84:E87)</f>
        <v>0</v>
      </c>
    </row>
    <row r="84" spans="1:5" s="82" customFormat="1" ht="12" customHeight="1">
      <c r="A84" s="104" t="s">
        <v>325</v>
      </c>
      <c r="B84" s="84" t="s">
        <v>326</v>
      </c>
      <c r="C84" s="98"/>
      <c r="D84" s="98"/>
      <c r="E84" s="98"/>
    </row>
    <row r="85" spans="1:5" s="82" customFormat="1" ht="12" customHeight="1">
      <c r="A85" s="105" t="s">
        <v>327</v>
      </c>
      <c r="B85" s="87" t="s">
        <v>328</v>
      </c>
      <c r="C85" s="98"/>
      <c r="D85" s="98"/>
      <c r="E85" s="98"/>
    </row>
    <row r="86" spans="1:5" s="82" customFormat="1" ht="12" customHeight="1">
      <c r="A86" s="105" t="s">
        <v>329</v>
      </c>
      <c r="B86" s="87" t="s">
        <v>330</v>
      </c>
      <c r="C86" s="98"/>
      <c r="D86" s="98"/>
      <c r="E86" s="98"/>
    </row>
    <row r="87" spans="1:5" s="82" customFormat="1" ht="12" customHeight="1" thickBot="1">
      <c r="A87" s="106" t="s">
        <v>331</v>
      </c>
      <c r="B87" s="91" t="s">
        <v>332</v>
      </c>
      <c r="C87" s="98"/>
      <c r="D87" s="98"/>
      <c r="E87" s="98"/>
    </row>
    <row r="88" spans="1:5" s="82" customFormat="1" ht="12" customHeight="1" thickBot="1">
      <c r="A88" s="102" t="s">
        <v>333</v>
      </c>
      <c r="B88" s="92" t="s">
        <v>474</v>
      </c>
      <c r="C88" s="107"/>
      <c r="D88" s="107"/>
      <c r="E88" s="107"/>
    </row>
    <row r="89" spans="1:5" s="82" customFormat="1" ht="13.5" customHeight="1" thickBot="1">
      <c r="A89" s="102" t="s">
        <v>335</v>
      </c>
      <c r="B89" s="92" t="s">
        <v>334</v>
      </c>
      <c r="C89" s="107"/>
      <c r="D89" s="107"/>
      <c r="E89" s="107"/>
    </row>
    <row r="90" spans="1:5" s="82" customFormat="1" ht="15.75" customHeight="1" thickBot="1">
      <c r="A90" s="102" t="s">
        <v>347</v>
      </c>
      <c r="B90" s="108" t="s">
        <v>477</v>
      </c>
      <c r="C90" s="95">
        <f>+C67+C71+C76+C79+C83+C89+C88</f>
        <v>0</v>
      </c>
      <c r="D90" s="95">
        <f>+D67+D71+D76+D79+D83+D89+D88</f>
        <v>0</v>
      </c>
      <c r="E90" s="95">
        <f>+E67+E71+E76+E79+E83+E89+E88</f>
        <v>0</v>
      </c>
    </row>
    <row r="91" spans="1:5" s="82" customFormat="1" ht="16.5" customHeight="1" thickBot="1">
      <c r="A91" s="109" t="s">
        <v>476</v>
      </c>
      <c r="B91" s="110" t="s">
        <v>478</v>
      </c>
      <c r="C91" s="95">
        <f>+C66+C90</f>
        <v>0</v>
      </c>
      <c r="D91" s="95">
        <f>+D66+D90</f>
        <v>0</v>
      </c>
      <c r="E91" s="95">
        <f>+E66+E90</f>
        <v>0</v>
      </c>
    </row>
    <row r="92" spans="1:5" s="82" customFormat="1" ht="83.25" customHeight="1">
      <c r="A92" s="111"/>
      <c r="B92" s="112"/>
      <c r="C92" s="113"/>
      <c r="D92" s="113"/>
      <c r="E92" s="113"/>
    </row>
    <row r="93" spans="1:5" ht="16.5" customHeight="1">
      <c r="A93" s="692" t="s">
        <v>44</v>
      </c>
      <c r="B93" s="692"/>
      <c r="C93" s="71"/>
      <c r="D93" s="71"/>
      <c r="E93" s="71"/>
    </row>
    <row r="94" spans="1:5" s="115" customFormat="1" ht="16.5" customHeight="1" thickBot="1">
      <c r="A94" s="693" t="s">
        <v>145</v>
      </c>
      <c r="B94" s="693"/>
      <c r="C94" s="114" t="s">
        <v>740</v>
      </c>
      <c r="D94" s="114" t="s">
        <v>740</v>
      </c>
      <c r="E94" s="114" t="s">
        <v>740</v>
      </c>
    </row>
    <row r="95" spans="1:5" ht="38.1" customHeight="1" thickBot="1">
      <c r="A95" s="73" t="s">
        <v>66</v>
      </c>
      <c r="B95" s="74" t="s">
        <v>45</v>
      </c>
      <c r="C95" s="16" t="str">
        <f>+C7</f>
        <v>Eredeti előirányzat (2018.01)</v>
      </c>
      <c r="D95" s="16" t="s">
        <v>739</v>
      </c>
      <c r="E95" s="16" t="s">
        <v>744</v>
      </c>
    </row>
    <row r="96" spans="1:5" s="78" customFormat="1" ht="12" customHeight="1" thickBot="1">
      <c r="A96" s="116" t="s">
        <v>486</v>
      </c>
      <c r="B96" s="117" t="s">
        <v>487</v>
      </c>
      <c r="C96" s="118" t="s">
        <v>488</v>
      </c>
      <c r="D96" s="118" t="s">
        <v>488</v>
      </c>
      <c r="E96" s="118" t="s">
        <v>488</v>
      </c>
    </row>
    <row r="97" spans="1:5" ht="12" customHeight="1" thickBot="1">
      <c r="A97" s="119" t="s">
        <v>16</v>
      </c>
      <c r="B97" s="120" t="s">
        <v>654</v>
      </c>
      <c r="C97" s="121">
        <f>C98+C99+C100+C101+C102+C115</f>
        <v>0</v>
      </c>
      <c r="D97" s="121">
        <f>D98+D99+D100+D101+D102+D115</f>
        <v>0</v>
      </c>
      <c r="E97" s="121">
        <f>E98+E99+E100+E101+E102+E115</f>
        <v>0</v>
      </c>
    </row>
    <row r="98" spans="1:5" ht="12" customHeight="1">
      <c r="A98" s="122" t="s">
        <v>95</v>
      </c>
      <c r="B98" s="29" t="s">
        <v>46</v>
      </c>
      <c r="C98" s="123"/>
      <c r="D98" s="123"/>
      <c r="E98" s="123"/>
    </row>
    <row r="99" spans="1:5" ht="12" customHeight="1">
      <c r="A99" s="86" t="s">
        <v>96</v>
      </c>
      <c r="B99" s="32" t="s">
        <v>174</v>
      </c>
      <c r="C99" s="88"/>
      <c r="D99" s="88"/>
      <c r="E99" s="88"/>
    </row>
    <row r="100" spans="1:5" ht="12" customHeight="1">
      <c r="A100" s="86" t="s">
        <v>97</v>
      </c>
      <c r="B100" s="32" t="s">
        <v>133</v>
      </c>
      <c r="C100" s="93"/>
      <c r="D100" s="93"/>
      <c r="E100" s="93"/>
    </row>
    <row r="101" spans="1:5" ht="12" customHeight="1">
      <c r="A101" s="86" t="s">
        <v>98</v>
      </c>
      <c r="B101" s="124" t="s">
        <v>175</v>
      </c>
      <c r="C101" s="93"/>
      <c r="D101" s="93"/>
      <c r="E101" s="93"/>
    </row>
    <row r="102" spans="1:5" ht="12" customHeight="1">
      <c r="A102" s="86" t="s">
        <v>109</v>
      </c>
      <c r="B102" s="125" t="s">
        <v>176</v>
      </c>
      <c r="C102" s="93"/>
      <c r="D102" s="93"/>
      <c r="E102" s="93"/>
    </row>
    <row r="103" spans="1:5" ht="12" customHeight="1">
      <c r="A103" s="86" t="s">
        <v>99</v>
      </c>
      <c r="B103" s="32" t="s">
        <v>441</v>
      </c>
      <c r="C103" s="93"/>
      <c r="D103" s="93"/>
      <c r="E103" s="93"/>
    </row>
    <row r="104" spans="1:5" ht="12" customHeight="1">
      <c r="A104" s="86" t="s">
        <v>100</v>
      </c>
      <c r="B104" s="126" t="s">
        <v>440</v>
      </c>
      <c r="C104" s="93"/>
      <c r="D104" s="93"/>
      <c r="E104" s="93"/>
    </row>
    <row r="105" spans="1:5" ht="12" customHeight="1">
      <c r="A105" s="86" t="s">
        <v>110</v>
      </c>
      <c r="B105" s="126" t="s">
        <v>439</v>
      </c>
      <c r="C105" s="93"/>
      <c r="D105" s="93"/>
      <c r="E105" s="93"/>
    </row>
    <row r="106" spans="1:5" ht="12" customHeight="1">
      <c r="A106" s="86" t="s">
        <v>111</v>
      </c>
      <c r="B106" s="127" t="s">
        <v>350</v>
      </c>
      <c r="C106" s="93"/>
      <c r="D106" s="93"/>
      <c r="E106" s="93"/>
    </row>
    <row r="107" spans="1:5" ht="12" customHeight="1">
      <c r="A107" s="86" t="s">
        <v>112</v>
      </c>
      <c r="B107" s="128" t="s">
        <v>351</v>
      </c>
      <c r="C107" s="93"/>
      <c r="D107" s="93"/>
      <c r="E107" s="93"/>
    </row>
    <row r="108" spans="1:5" ht="12" customHeight="1">
      <c r="A108" s="86" t="s">
        <v>113</v>
      </c>
      <c r="B108" s="128" t="s">
        <v>352</v>
      </c>
      <c r="C108" s="93"/>
      <c r="D108" s="93"/>
      <c r="E108" s="93"/>
    </row>
    <row r="109" spans="1:5" ht="12" customHeight="1">
      <c r="A109" s="86" t="s">
        <v>115</v>
      </c>
      <c r="B109" s="127" t="s">
        <v>353</v>
      </c>
      <c r="C109" s="93"/>
      <c r="D109" s="93"/>
      <c r="E109" s="93"/>
    </row>
    <row r="110" spans="1:5" ht="12" customHeight="1">
      <c r="A110" s="86" t="s">
        <v>177</v>
      </c>
      <c r="B110" s="127" t="s">
        <v>354</v>
      </c>
      <c r="C110" s="93"/>
      <c r="D110" s="93"/>
      <c r="E110" s="93"/>
    </row>
    <row r="111" spans="1:5" ht="12" customHeight="1">
      <c r="A111" s="86" t="s">
        <v>348</v>
      </c>
      <c r="B111" s="128" t="s">
        <v>355</v>
      </c>
      <c r="C111" s="93"/>
      <c r="D111" s="93"/>
      <c r="E111" s="93"/>
    </row>
    <row r="112" spans="1:5" ht="12" customHeight="1">
      <c r="A112" s="129" t="s">
        <v>349</v>
      </c>
      <c r="B112" s="126" t="s">
        <v>356</v>
      </c>
      <c r="C112" s="93"/>
      <c r="D112" s="93"/>
      <c r="E112" s="93"/>
    </row>
    <row r="113" spans="1:5" ht="12" customHeight="1">
      <c r="A113" s="86" t="s">
        <v>437</v>
      </c>
      <c r="B113" s="126" t="s">
        <v>357</v>
      </c>
      <c r="C113" s="93"/>
      <c r="D113" s="93"/>
      <c r="E113" s="93"/>
    </row>
    <row r="114" spans="1:5" ht="12" customHeight="1">
      <c r="A114" s="90" t="s">
        <v>438</v>
      </c>
      <c r="B114" s="126" t="s">
        <v>358</v>
      </c>
      <c r="C114" s="93"/>
      <c r="D114" s="93"/>
      <c r="E114" s="93"/>
    </row>
    <row r="115" spans="1:5" ht="12" customHeight="1">
      <c r="A115" s="86" t="s">
        <v>442</v>
      </c>
      <c r="B115" s="124" t="s">
        <v>47</v>
      </c>
      <c r="C115" s="88"/>
      <c r="D115" s="88"/>
      <c r="E115" s="88"/>
    </row>
    <row r="116" spans="1:5" ht="12" customHeight="1">
      <c r="A116" s="86" t="s">
        <v>443</v>
      </c>
      <c r="B116" s="32" t="s">
        <v>445</v>
      </c>
      <c r="C116" s="88"/>
      <c r="D116" s="88"/>
      <c r="E116" s="88"/>
    </row>
    <row r="117" spans="1:5" ht="12" customHeight="1" thickBot="1">
      <c r="A117" s="130" t="s">
        <v>444</v>
      </c>
      <c r="B117" s="131" t="s">
        <v>446</v>
      </c>
      <c r="C117" s="132"/>
      <c r="D117" s="132"/>
      <c r="E117" s="132"/>
    </row>
    <row r="118" spans="1:5" ht="12" customHeight="1" thickBot="1">
      <c r="A118" s="133" t="s">
        <v>17</v>
      </c>
      <c r="B118" s="134" t="s">
        <v>655</v>
      </c>
      <c r="C118" s="135">
        <f>+C119+C121+C123</f>
        <v>0</v>
      </c>
      <c r="D118" s="135">
        <f>+D119+D121+D123</f>
        <v>0</v>
      </c>
      <c r="E118" s="135">
        <f>+E119+E121+E123</f>
        <v>0</v>
      </c>
    </row>
    <row r="119" spans="1:5" ht="12" customHeight="1">
      <c r="A119" s="83" t="s">
        <v>101</v>
      </c>
      <c r="B119" s="32" t="s">
        <v>219</v>
      </c>
      <c r="C119" s="85"/>
      <c r="D119" s="85"/>
      <c r="E119" s="85"/>
    </row>
    <row r="120" spans="1:5" ht="12" customHeight="1">
      <c r="A120" s="83" t="s">
        <v>102</v>
      </c>
      <c r="B120" s="136" t="s">
        <v>362</v>
      </c>
      <c r="C120" s="85"/>
      <c r="D120" s="85"/>
      <c r="E120" s="85"/>
    </row>
    <row r="121" spans="1:5" ht="12" customHeight="1">
      <c r="A121" s="83" t="s">
        <v>103</v>
      </c>
      <c r="B121" s="136" t="s">
        <v>178</v>
      </c>
      <c r="C121" s="88"/>
      <c r="D121" s="88"/>
      <c r="E121" s="88"/>
    </row>
    <row r="122" spans="1:5" ht="12" customHeight="1">
      <c r="A122" s="83" t="s">
        <v>104</v>
      </c>
      <c r="B122" s="136" t="s">
        <v>363</v>
      </c>
      <c r="C122" s="137"/>
      <c r="D122" s="137"/>
      <c r="E122" s="137"/>
    </row>
    <row r="123" spans="1:5" ht="12" customHeight="1">
      <c r="A123" s="83" t="s">
        <v>105</v>
      </c>
      <c r="B123" s="91" t="s">
        <v>222</v>
      </c>
      <c r="C123" s="137"/>
      <c r="D123" s="137"/>
      <c r="E123" s="137"/>
    </row>
    <row r="124" spans="1:5" ht="12" customHeight="1">
      <c r="A124" s="83" t="s">
        <v>114</v>
      </c>
      <c r="B124" s="89" t="s">
        <v>425</v>
      </c>
      <c r="C124" s="137"/>
      <c r="D124" s="137"/>
      <c r="E124" s="137"/>
    </row>
    <row r="125" spans="1:5" ht="12" customHeight="1">
      <c r="A125" s="83" t="s">
        <v>116</v>
      </c>
      <c r="B125" s="138" t="s">
        <v>368</v>
      </c>
      <c r="C125" s="137"/>
      <c r="D125" s="137"/>
      <c r="E125" s="137"/>
    </row>
    <row r="126" spans="1:5">
      <c r="A126" s="83" t="s">
        <v>179</v>
      </c>
      <c r="B126" s="128" t="s">
        <v>352</v>
      </c>
      <c r="C126" s="137"/>
      <c r="D126" s="137"/>
      <c r="E126" s="137"/>
    </row>
    <row r="127" spans="1:5" ht="12" customHeight="1">
      <c r="A127" s="83" t="s">
        <v>180</v>
      </c>
      <c r="B127" s="128" t="s">
        <v>367</v>
      </c>
      <c r="C127" s="137"/>
      <c r="D127" s="137"/>
      <c r="E127" s="137"/>
    </row>
    <row r="128" spans="1:5" ht="12" customHeight="1">
      <c r="A128" s="83" t="s">
        <v>181</v>
      </c>
      <c r="B128" s="128" t="s">
        <v>366</v>
      </c>
      <c r="C128" s="137"/>
      <c r="D128" s="137"/>
      <c r="E128" s="137"/>
    </row>
    <row r="129" spans="1:5" ht="12" customHeight="1">
      <c r="A129" s="83" t="s">
        <v>359</v>
      </c>
      <c r="B129" s="128" t="s">
        <v>355</v>
      </c>
      <c r="C129" s="137"/>
      <c r="D129" s="137"/>
      <c r="E129" s="137"/>
    </row>
    <row r="130" spans="1:5" ht="12" customHeight="1">
      <c r="A130" s="83" t="s">
        <v>360</v>
      </c>
      <c r="B130" s="128" t="s">
        <v>365</v>
      </c>
      <c r="C130" s="137"/>
      <c r="D130" s="137"/>
      <c r="E130" s="137"/>
    </row>
    <row r="131" spans="1:5" ht="16.5" thickBot="1">
      <c r="A131" s="129" t="s">
        <v>361</v>
      </c>
      <c r="B131" s="128" t="s">
        <v>364</v>
      </c>
      <c r="C131" s="139"/>
      <c r="D131" s="139"/>
      <c r="E131" s="139"/>
    </row>
    <row r="132" spans="1:5" ht="12" customHeight="1" thickBot="1">
      <c r="A132" s="79" t="s">
        <v>18</v>
      </c>
      <c r="B132" s="40" t="s">
        <v>447</v>
      </c>
      <c r="C132" s="81">
        <f>+C97+C118</f>
        <v>0</v>
      </c>
      <c r="D132" s="81">
        <f>+D97+D118</f>
        <v>0</v>
      </c>
      <c r="E132" s="81">
        <f>+E97+E118</f>
        <v>0</v>
      </c>
    </row>
    <row r="133" spans="1:5" ht="12" customHeight="1" thickBot="1">
      <c r="A133" s="79" t="s">
        <v>19</v>
      </c>
      <c r="B133" s="40" t="s">
        <v>448</v>
      </c>
      <c r="C133" s="81">
        <f>+C134+C135+C136</f>
        <v>0</v>
      </c>
      <c r="D133" s="81">
        <f>+D134+D135+D136</f>
        <v>0</v>
      </c>
      <c r="E133" s="81">
        <f>+E134+E135+E136</f>
        <v>0</v>
      </c>
    </row>
    <row r="134" spans="1:5" ht="12" customHeight="1">
      <c r="A134" s="83" t="s">
        <v>260</v>
      </c>
      <c r="B134" s="136" t="s">
        <v>455</v>
      </c>
      <c r="C134" s="137"/>
      <c r="D134" s="137"/>
      <c r="E134" s="137"/>
    </row>
    <row r="135" spans="1:5" ht="12" customHeight="1">
      <c r="A135" s="83" t="s">
        <v>263</v>
      </c>
      <c r="B135" s="136" t="s">
        <v>456</v>
      </c>
      <c r="C135" s="137"/>
      <c r="D135" s="137"/>
      <c r="E135" s="137"/>
    </row>
    <row r="136" spans="1:5" ht="12" customHeight="1" thickBot="1">
      <c r="A136" s="129" t="s">
        <v>264</v>
      </c>
      <c r="B136" s="136" t="s">
        <v>457</v>
      </c>
      <c r="C136" s="137"/>
      <c r="D136" s="137"/>
      <c r="E136" s="137"/>
    </row>
    <row r="137" spans="1:5" ht="12" customHeight="1" thickBot="1">
      <c r="A137" s="79" t="s">
        <v>20</v>
      </c>
      <c r="B137" s="40" t="s">
        <v>449</v>
      </c>
      <c r="C137" s="81">
        <f>SUM(C138:C143)</f>
        <v>0</v>
      </c>
      <c r="D137" s="81">
        <f>SUM(D138:D143)</f>
        <v>0</v>
      </c>
      <c r="E137" s="81">
        <f>SUM(E138:E143)</f>
        <v>0</v>
      </c>
    </row>
    <row r="138" spans="1:5" ht="12" customHeight="1">
      <c r="A138" s="83" t="s">
        <v>88</v>
      </c>
      <c r="B138" s="38" t="s">
        <v>458</v>
      </c>
      <c r="C138" s="137"/>
      <c r="D138" s="137"/>
      <c r="E138" s="137"/>
    </row>
    <row r="139" spans="1:5" ht="12" customHeight="1">
      <c r="A139" s="83" t="s">
        <v>89</v>
      </c>
      <c r="B139" s="38" t="s">
        <v>450</v>
      </c>
      <c r="C139" s="137"/>
      <c r="D139" s="137"/>
      <c r="E139" s="137"/>
    </row>
    <row r="140" spans="1:5" ht="12" customHeight="1">
      <c r="A140" s="83" t="s">
        <v>90</v>
      </c>
      <c r="B140" s="38" t="s">
        <v>451</v>
      </c>
      <c r="C140" s="137"/>
      <c r="D140" s="137"/>
      <c r="E140" s="137"/>
    </row>
    <row r="141" spans="1:5" ht="12" customHeight="1">
      <c r="A141" s="83" t="s">
        <v>166</v>
      </c>
      <c r="B141" s="38" t="s">
        <v>452</v>
      </c>
      <c r="C141" s="137"/>
      <c r="D141" s="137"/>
      <c r="E141" s="137"/>
    </row>
    <row r="142" spans="1:5" ht="12" customHeight="1">
      <c r="A142" s="83" t="s">
        <v>167</v>
      </c>
      <c r="B142" s="38" t="s">
        <v>453</v>
      </c>
      <c r="C142" s="137"/>
      <c r="D142" s="137"/>
      <c r="E142" s="137"/>
    </row>
    <row r="143" spans="1:5" ht="12" customHeight="1" thickBot="1">
      <c r="A143" s="129" t="s">
        <v>168</v>
      </c>
      <c r="B143" s="38" t="s">
        <v>454</v>
      </c>
      <c r="C143" s="137"/>
      <c r="D143" s="137"/>
      <c r="E143" s="137"/>
    </row>
    <row r="144" spans="1:5" ht="12" customHeight="1" thickBot="1">
      <c r="A144" s="79" t="s">
        <v>21</v>
      </c>
      <c r="B144" s="40" t="s">
        <v>462</v>
      </c>
      <c r="C144" s="95">
        <f>+C145+C146+C147+C148</f>
        <v>0</v>
      </c>
      <c r="D144" s="95">
        <f>+D145+D146+D147+D148</f>
        <v>0</v>
      </c>
      <c r="E144" s="95">
        <f>+E145+E146+E147+E148</f>
        <v>0</v>
      </c>
    </row>
    <row r="145" spans="1:5" ht="12" customHeight="1">
      <c r="A145" s="83" t="s">
        <v>91</v>
      </c>
      <c r="B145" s="38" t="s">
        <v>369</v>
      </c>
      <c r="C145" s="137"/>
      <c r="D145" s="137"/>
      <c r="E145" s="137"/>
    </row>
    <row r="146" spans="1:5" ht="12" customHeight="1">
      <c r="A146" s="83" t="s">
        <v>92</v>
      </c>
      <c r="B146" s="38" t="s">
        <v>370</v>
      </c>
      <c r="C146" s="137"/>
      <c r="D146" s="137"/>
      <c r="E146" s="137"/>
    </row>
    <row r="147" spans="1:5" ht="12" customHeight="1">
      <c r="A147" s="83" t="s">
        <v>284</v>
      </c>
      <c r="B147" s="38" t="s">
        <v>463</v>
      </c>
      <c r="C147" s="137"/>
      <c r="D147" s="137"/>
      <c r="E147" s="137"/>
    </row>
    <row r="148" spans="1:5" ht="12" customHeight="1" thickBot="1">
      <c r="A148" s="129" t="s">
        <v>285</v>
      </c>
      <c r="B148" s="34" t="s">
        <v>389</v>
      </c>
      <c r="C148" s="137"/>
      <c r="D148" s="137"/>
      <c r="E148" s="137"/>
    </row>
    <row r="149" spans="1:5" ht="12" customHeight="1" thickBot="1">
      <c r="A149" s="79" t="s">
        <v>22</v>
      </c>
      <c r="B149" s="40" t="s">
        <v>464</v>
      </c>
      <c r="C149" s="140">
        <f>SUM(C150:C154)</f>
        <v>0</v>
      </c>
      <c r="D149" s="140">
        <f>SUM(D150:D154)</f>
        <v>0</v>
      </c>
      <c r="E149" s="140">
        <f>SUM(E150:E154)</f>
        <v>0</v>
      </c>
    </row>
    <row r="150" spans="1:5" ht="12" customHeight="1">
      <c r="A150" s="83" t="s">
        <v>93</v>
      </c>
      <c r="B150" s="38" t="s">
        <v>459</v>
      </c>
      <c r="C150" s="137"/>
      <c r="D150" s="137"/>
      <c r="E150" s="137"/>
    </row>
    <row r="151" spans="1:5" ht="12" customHeight="1">
      <c r="A151" s="83" t="s">
        <v>94</v>
      </c>
      <c r="B151" s="38" t="s">
        <v>466</v>
      </c>
      <c r="C151" s="137"/>
      <c r="D151" s="137"/>
      <c r="E151" s="137"/>
    </row>
    <row r="152" spans="1:5" ht="12" customHeight="1">
      <c r="A152" s="83" t="s">
        <v>296</v>
      </c>
      <c r="B152" s="38" t="s">
        <v>461</v>
      </c>
      <c r="C152" s="137"/>
      <c r="D152" s="137"/>
      <c r="E152" s="137"/>
    </row>
    <row r="153" spans="1:5" ht="12" customHeight="1">
      <c r="A153" s="83" t="s">
        <v>297</v>
      </c>
      <c r="B153" s="38" t="s">
        <v>467</v>
      </c>
      <c r="C153" s="137"/>
      <c r="D153" s="137"/>
      <c r="E153" s="137"/>
    </row>
    <row r="154" spans="1:5" ht="12" customHeight="1" thickBot="1">
      <c r="A154" s="83" t="s">
        <v>465</v>
      </c>
      <c r="B154" s="38" t="s">
        <v>468</v>
      </c>
      <c r="C154" s="137"/>
      <c r="D154" s="137"/>
      <c r="E154" s="137"/>
    </row>
    <row r="155" spans="1:5" ht="12" customHeight="1" thickBot="1">
      <c r="A155" s="79" t="s">
        <v>23</v>
      </c>
      <c r="B155" s="40" t="s">
        <v>469</v>
      </c>
      <c r="C155" s="141"/>
      <c r="D155" s="141"/>
      <c r="E155" s="141"/>
    </row>
    <row r="156" spans="1:5" ht="12" customHeight="1" thickBot="1">
      <c r="A156" s="79" t="s">
        <v>24</v>
      </c>
      <c r="B156" s="40" t="s">
        <v>470</v>
      </c>
      <c r="C156" s="141"/>
      <c r="D156" s="141"/>
      <c r="E156" s="141"/>
    </row>
    <row r="157" spans="1:5" ht="15" customHeight="1" thickBot="1">
      <c r="A157" s="79" t="s">
        <v>25</v>
      </c>
      <c r="B157" s="40" t="s">
        <v>472</v>
      </c>
      <c r="C157" s="142">
        <f>+C133+C137+C144+C149+C155+C156</f>
        <v>0</v>
      </c>
      <c r="D157" s="142">
        <f>+D133+D137+D144+D149+D155+D156</f>
        <v>0</v>
      </c>
      <c r="E157" s="142">
        <f>+E133+E137+E144+E149+E155+E156</f>
        <v>0</v>
      </c>
    </row>
    <row r="158" spans="1:5" s="82" customFormat="1" ht="12.95" customHeight="1" thickBot="1">
      <c r="A158" s="144" t="s">
        <v>26</v>
      </c>
      <c r="B158" s="145" t="s">
        <v>471</v>
      </c>
      <c r="C158" s="142">
        <f>+C132+C157</f>
        <v>0</v>
      </c>
      <c r="D158" s="142">
        <f>+D132+D157</f>
        <v>0</v>
      </c>
      <c r="E158" s="142">
        <f>+E132+E157</f>
        <v>0</v>
      </c>
    </row>
    <row r="159" spans="1:5" ht="7.5" customHeight="1"/>
    <row r="160" spans="1:5">
      <c r="A160" s="694" t="s">
        <v>371</v>
      </c>
      <c r="B160" s="694"/>
      <c r="C160" s="71"/>
      <c r="D160" s="71"/>
      <c r="E160" s="71"/>
    </row>
    <row r="161" spans="1:5" ht="15" customHeight="1" thickBot="1">
      <c r="A161" s="691" t="s">
        <v>146</v>
      </c>
      <c r="B161" s="691"/>
      <c r="C161" s="72" t="s">
        <v>220</v>
      </c>
      <c r="D161" s="72" t="s">
        <v>220</v>
      </c>
      <c r="E161" s="72" t="s">
        <v>220</v>
      </c>
    </row>
    <row r="162" spans="1:5" ht="13.5" customHeight="1" thickBot="1">
      <c r="A162" s="79">
        <v>1</v>
      </c>
      <c r="B162" s="147" t="s">
        <v>473</v>
      </c>
      <c r="C162" s="81">
        <f>+C66-C132</f>
        <v>0</v>
      </c>
      <c r="D162" s="81">
        <f>+D66-D132</f>
        <v>0</v>
      </c>
      <c r="E162" s="81">
        <f>+E66-E132</f>
        <v>0</v>
      </c>
    </row>
    <row r="163" spans="1:5" ht="27.75" customHeight="1" thickBot="1">
      <c r="A163" s="79" t="s">
        <v>17</v>
      </c>
      <c r="B163" s="147" t="s">
        <v>479</v>
      </c>
      <c r="C163" s="81">
        <f>+C90-C157</f>
        <v>0</v>
      </c>
      <c r="D163" s="81">
        <f>+D90-D157</f>
        <v>0</v>
      </c>
      <c r="E163" s="81">
        <f>+E90-E157</f>
        <v>0</v>
      </c>
    </row>
  </sheetData>
  <mergeCells count="6">
    <mergeCell ref="A160:B160"/>
    <mergeCell ref="A161:B161"/>
    <mergeCell ref="A5:B5"/>
    <mergeCell ref="A6:B6"/>
    <mergeCell ref="A93:B93"/>
    <mergeCell ref="A94:B94"/>
  </mergeCells>
  <phoneticPr fontId="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r:id="rId1"/>
  <headerFooter alignWithMargins="0">
    <oddHeader>&amp;R&amp;"Times New Roman CE,Félkövér dőlt"&amp;11 1.4. melléklet a 13/2018. (VI.25.) önkormányzati rendelethez</oddHeader>
    <oddFooter>&amp;P. oldal, összesen: &amp;N</oddFooter>
  </headerFooter>
  <rowBreaks count="1" manualBreakCount="1">
    <brk id="9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FFFF00"/>
  </sheetPr>
  <dimension ref="A1:I34"/>
  <sheetViews>
    <sheetView topLeftCell="C1" zoomScale="115" zoomScaleNormal="115" zoomScaleSheetLayoutView="100" workbookViewId="0">
      <selection activeCell="F1" sqref="F1"/>
    </sheetView>
  </sheetViews>
  <sheetFormatPr defaultRowHeight="12.75"/>
  <cols>
    <col min="1" max="1" width="4.83203125" style="300" bestFit="1" customWidth="1"/>
    <col min="2" max="2" width="47.6640625" style="299" bestFit="1" customWidth="1"/>
    <col min="3" max="5" width="12.83203125" style="300" bestFit="1" customWidth="1"/>
    <col min="6" max="6" width="43.33203125" style="300" bestFit="1" customWidth="1"/>
    <col min="7" max="9" width="18.83203125" style="300" customWidth="1"/>
    <col min="10" max="16384" width="9.33203125" style="300"/>
  </cols>
  <sheetData>
    <row r="1" spans="1:9" ht="19.5" customHeight="1">
      <c r="B1" s="300"/>
      <c r="F1" s="511" t="s">
        <v>758</v>
      </c>
    </row>
    <row r="2" spans="1:9" ht="39.75" customHeight="1">
      <c r="B2" s="227" t="s">
        <v>149</v>
      </c>
      <c r="C2" s="513"/>
      <c r="D2" s="513"/>
      <c r="E2" s="513"/>
      <c r="F2" s="513"/>
      <c r="G2" s="513"/>
      <c r="H2" s="513"/>
      <c r="I2" s="513"/>
    </row>
    <row r="3" spans="1:9" ht="14.25" thickBot="1">
      <c r="G3" s="623" t="s">
        <v>589</v>
      </c>
      <c r="H3" s="623" t="s">
        <v>589</v>
      </c>
      <c r="I3" s="623" t="s">
        <v>589</v>
      </c>
    </row>
    <row r="4" spans="1:9" ht="18" customHeight="1" thickBot="1">
      <c r="A4" s="695" t="s">
        <v>66</v>
      </c>
      <c r="B4" s="228" t="s">
        <v>53</v>
      </c>
      <c r="C4" s="624"/>
      <c r="D4" s="624"/>
      <c r="E4" s="624"/>
      <c r="F4" s="228" t="s">
        <v>54</v>
      </c>
      <c r="G4" s="625"/>
      <c r="H4" s="625"/>
      <c r="I4" s="625"/>
    </row>
    <row r="5" spans="1:9" s="231" customFormat="1" ht="35.25" customHeight="1" thickBot="1">
      <c r="A5" s="696"/>
      <c r="B5" s="229" t="s">
        <v>58</v>
      </c>
      <c r="C5" s="230" t="s">
        <v>688</v>
      </c>
      <c r="D5" s="687" t="s">
        <v>739</v>
      </c>
      <c r="E5" s="687" t="s">
        <v>744</v>
      </c>
      <c r="F5" s="229" t="s">
        <v>58</v>
      </c>
      <c r="G5" s="230" t="s">
        <v>688</v>
      </c>
      <c r="H5" s="687" t="s">
        <v>739</v>
      </c>
      <c r="I5" s="687" t="s">
        <v>744</v>
      </c>
    </row>
    <row r="6" spans="1:9" s="253" customFormat="1" ht="12" customHeight="1" thickBot="1">
      <c r="A6" s="232" t="s">
        <v>486</v>
      </c>
      <c r="B6" s="233" t="s">
        <v>487</v>
      </c>
      <c r="C6" s="626" t="s">
        <v>488</v>
      </c>
      <c r="D6" s="626" t="s">
        <v>488</v>
      </c>
      <c r="E6" s="626" t="s">
        <v>488</v>
      </c>
      <c r="F6" s="233" t="s">
        <v>490</v>
      </c>
      <c r="G6" s="234" t="s">
        <v>489</v>
      </c>
      <c r="H6" s="234" t="s">
        <v>489</v>
      </c>
      <c r="I6" s="234" t="s">
        <v>489</v>
      </c>
    </row>
    <row r="7" spans="1:9" ht="12.95" customHeight="1">
      <c r="A7" s="514" t="s">
        <v>16</v>
      </c>
      <c r="B7" s="235" t="s">
        <v>372</v>
      </c>
      <c r="C7" s="627">
        <v>218395679</v>
      </c>
      <c r="D7" s="627">
        <f>218395679+280587+241524</f>
        <v>218917790</v>
      </c>
      <c r="E7" s="627">
        <f>218395679+280587+241524+411269+533400-152000+187376+293730-2814800</f>
        <v>217376765</v>
      </c>
      <c r="F7" s="235" t="s">
        <v>59</v>
      </c>
      <c r="G7" s="44">
        <v>76128455</v>
      </c>
      <c r="H7" s="44">
        <f>76128455+652240</f>
        <v>76780695</v>
      </c>
      <c r="I7" s="44">
        <f>76780695+2595000+80625-3120000-136576</f>
        <v>76199744</v>
      </c>
    </row>
    <row r="8" spans="1:9" ht="12.95" customHeight="1">
      <c r="A8" s="515" t="s">
        <v>17</v>
      </c>
      <c r="B8" s="236" t="s">
        <v>373</v>
      </c>
      <c r="C8" s="237">
        <v>73241871</v>
      </c>
      <c r="D8" s="237">
        <f>73241871+105000+715832+78540+119640+1919391</f>
        <v>76180274</v>
      </c>
      <c r="E8" s="237">
        <f>73241871+105000+715832+78540+119640+1919391-1919391+220934</f>
        <v>74481817</v>
      </c>
      <c r="F8" s="236" t="s">
        <v>174</v>
      </c>
      <c r="G8" s="63">
        <v>16384694</v>
      </c>
      <c r="H8" s="63">
        <f>16384694+63592</f>
        <v>16448286</v>
      </c>
      <c r="I8" s="63">
        <f>16448286+506025+27590-608400-30047</f>
        <v>16343454</v>
      </c>
    </row>
    <row r="9" spans="1:9" ht="12.95" customHeight="1">
      <c r="A9" s="515" t="s">
        <v>18</v>
      </c>
      <c r="B9" s="236" t="s">
        <v>394</v>
      </c>
      <c r="C9" s="237"/>
      <c r="D9" s="237"/>
      <c r="E9" s="237"/>
      <c r="F9" s="236" t="s">
        <v>225</v>
      </c>
      <c r="G9" s="63">
        <v>213143994</v>
      </c>
      <c r="H9" s="63">
        <f>213143994+635000+101600</f>
        <v>213880594</v>
      </c>
      <c r="I9" s="63">
        <f>213143994+635000+101600+533400+167910+190500+34360+13694572+9032376+6502400+702474+132358+1911775+1441313</f>
        <v>248224032</v>
      </c>
    </row>
    <row r="10" spans="1:9" ht="12.95" customHeight="1">
      <c r="A10" s="515" t="s">
        <v>19</v>
      </c>
      <c r="B10" s="236" t="s">
        <v>165</v>
      </c>
      <c r="C10" s="237">
        <v>129930000</v>
      </c>
      <c r="D10" s="237">
        <v>129930000</v>
      </c>
      <c r="E10" s="237">
        <v>129930000</v>
      </c>
      <c r="F10" s="236" t="s">
        <v>175</v>
      </c>
      <c r="G10" s="63">
        <v>9710000</v>
      </c>
      <c r="H10" s="63">
        <v>9710000</v>
      </c>
      <c r="I10" s="63">
        <v>9710000</v>
      </c>
    </row>
    <row r="11" spans="1:9" ht="12.95" customHeight="1">
      <c r="A11" s="515" t="s">
        <v>20</v>
      </c>
      <c r="B11" s="254" t="s">
        <v>418</v>
      </c>
      <c r="C11" s="237">
        <v>139882547</v>
      </c>
      <c r="D11" s="237">
        <v>139882547</v>
      </c>
      <c r="E11" s="237">
        <f>139882547+82824+167910-249000-150000</f>
        <v>139734281</v>
      </c>
      <c r="F11" s="236" t="s">
        <v>176</v>
      </c>
      <c r="G11" s="63">
        <f>272642+112674020+38971700</f>
        <v>151918362</v>
      </c>
      <c r="H11" s="63">
        <f>272642+112674020+38971700+3987864</f>
        <v>155906226</v>
      </c>
      <c r="I11" s="63">
        <f>272642+112674020+38971700+3987864+1224473-374484+30000</f>
        <v>156786215</v>
      </c>
    </row>
    <row r="12" spans="1:9" ht="12.95" customHeight="1">
      <c r="A12" s="515" t="s">
        <v>21</v>
      </c>
      <c r="B12" s="236" t="s">
        <v>374</v>
      </c>
      <c r="C12" s="628"/>
      <c r="D12" s="628"/>
      <c r="E12" s="628"/>
      <c r="F12" s="236" t="s">
        <v>47</v>
      </c>
      <c r="G12" s="63">
        <v>73618052</v>
      </c>
      <c r="H12" s="63">
        <f>73618052+105000+78540+119640+280587+241524+1919391-3987864</f>
        <v>72374870</v>
      </c>
      <c r="I12" s="63">
        <f>72374870-5717922+82824-350000-152000+187376+293730-1919391-1224473-1000000-3101025-2814800+374484-605530+782302-190500-142575-249000-150000-2774000-5000000-3086614-597073-30000</f>
        <v>44990683</v>
      </c>
    </row>
    <row r="13" spans="1:9" ht="12.95" customHeight="1">
      <c r="A13" s="515" t="s">
        <v>22</v>
      </c>
      <c r="B13" s="236" t="s">
        <v>480</v>
      </c>
      <c r="C13" s="237"/>
      <c r="D13" s="237"/>
      <c r="E13" s="237"/>
      <c r="F13" s="239"/>
      <c r="G13" s="63"/>
      <c r="H13" s="63"/>
      <c r="I13" s="63"/>
    </row>
    <row r="14" spans="1:9" ht="12.95" customHeight="1">
      <c r="A14" s="515" t="s">
        <v>23</v>
      </c>
      <c r="B14" s="239"/>
      <c r="C14" s="237"/>
      <c r="D14" s="237"/>
      <c r="E14" s="237"/>
      <c r="F14" s="239"/>
      <c r="G14" s="63"/>
      <c r="H14" s="63"/>
      <c r="I14" s="63"/>
    </row>
    <row r="15" spans="1:9" ht="12.95" customHeight="1">
      <c r="A15" s="515" t="s">
        <v>24</v>
      </c>
      <c r="B15" s="255"/>
      <c r="C15" s="628"/>
      <c r="D15" s="628"/>
      <c r="E15" s="628"/>
      <c r="F15" s="239"/>
      <c r="G15" s="63"/>
      <c r="H15" s="63"/>
      <c r="I15" s="63"/>
    </row>
    <row r="16" spans="1:9" ht="12.95" customHeight="1">
      <c r="A16" s="515" t="s">
        <v>25</v>
      </c>
      <c r="B16" s="239"/>
      <c r="C16" s="237"/>
      <c r="D16" s="237"/>
      <c r="E16" s="237"/>
      <c r="F16" s="239"/>
      <c r="G16" s="63"/>
      <c r="H16" s="63"/>
      <c r="I16" s="63"/>
    </row>
    <row r="17" spans="1:9" ht="12.95" customHeight="1">
      <c r="A17" s="515" t="s">
        <v>26</v>
      </c>
      <c r="B17" s="239"/>
      <c r="C17" s="237"/>
      <c r="D17" s="237"/>
      <c r="E17" s="237"/>
      <c r="F17" s="239"/>
      <c r="G17" s="63"/>
      <c r="H17" s="63"/>
      <c r="I17" s="63"/>
    </row>
    <row r="18" spans="1:9" ht="12.95" customHeight="1" thickBot="1">
      <c r="A18" s="515" t="s">
        <v>27</v>
      </c>
      <c r="B18" s="256"/>
      <c r="C18" s="634"/>
      <c r="D18" s="634"/>
      <c r="E18" s="634"/>
      <c r="F18" s="239"/>
      <c r="G18" s="635"/>
      <c r="H18" s="635"/>
      <c r="I18" s="635"/>
    </row>
    <row r="19" spans="1:9" ht="15.95" customHeight="1" thickBot="1">
      <c r="A19" s="243" t="s">
        <v>28</v>
      </c>
      <c r="B19" s="244" t="s">
        <v>481</v>
      </c>
      <c r="C19" s="630">
        <f>SUM(C7:C18)</f>
        <v>561450097</v>
      </c>
      <c r="D19" s="630">
        <f>SUM(D7:D18)</f>
        <v>564910611</v>
      </c>
      <c r="E19" s="630">
        <f>SUM(E7:E18)</f>
        <v>561522863</v>
      </c>
      <c r="F19" s="244" t="s">
        <v>380</v>
      </c>
      <c r="G19" s="26">
        <f>SUM(G7:G18)</f>
        <v>540903557</v>
      </c>
      <c r="H19" s="26">
        <f>SUM(H7:H18)</f>
        <v>545100671</v>
      </c>
      <c r="I19" s="26">
        <f>SUM(I7:I18)</f>
        <v>552254128</v>
      </c>
    </row>
    <row r="20" spans="1:9" ht="12.95" customHeight="1">
      <c r="A20" s="516" t="s">
        <v>29</v>
      </c>
      <c r="B20" s="242" t="s">
        <v>377</v>
      </c>
      <c r="C20" s="636">
        <f>+C21+C22+C23+C24</f>
        <v>149320988</v>
      </c>
      <c r="D20" s="636">
        <f>+D21+D22+D23+D24</f>
        <v>149320988</v>
      </c>
      <c r="E20" s="636">
        <f>+E21+E22+E23+E24</f>
        <v>160833290</v>
      </c>
      <c r="F20" s="236" t="s">
        <v>182</v>
      </c>
      <c r="G20" s="46"/>
      <c r="H20" s="46"/>
      <c r="I20" s="46"/>
    </row>
    <row r="21" spans="1:9" ht="12.95" customHeight="1">
      <c r="A21" s="515" t="s">
        <v>30</v>
      </c>
      <c r="B21" s="236" t="s">
        <v>217</v>
      </c>
      <c r="C21" s="237">
        <v>149320988</v>
      </c>
      <c r="D21" s="237">
        <f>606054429-'2.2.sz.mell'!C20</f>
        <v>149320988</v>
      </c>
      <c r="E21" s="237">
        <f>149320988+736600-5717922-350000-1000000+13694572+9032376-4685083-1267047+1399405-3086614+1911775+1441313-597073</f>
        <v>160833290</v>
      </c>
      <c r="F21" s="236" t="s">
        <v>379</v>
      </c>
      <c r="G21" s="63"/>
      <c r="H21" s="63"/>
      <c r="I21" s="63"/>
    </row>
    <row r="22" spans="1:9" ht="12.95" customHeight="1">
      <c r="A22" s="515" t="s">
        <v>31</v>
      </c>
      <c r="B22" s="236" t="s">
        <v>218</v>
      </c>
      <c r="C22" s="237"/>
      <c r="D22" s="237"/>
      <c r="E22" s="237"/>
      <c r="F22" s="236" t="s">
        <v>147</v>
      </c>
      <c r="G22" s="63"/>
      <c r="H22" s="63"/>
      <c r="I22" s="63"/>
    </row>
    <row r="23" spans="1:9" ht="12.95" customHeight="1">
      <c r="A23" s="515" t="s">
        <v>32</v>
      </c>
      <c r="B23" s="236" t="s">
        <v>223</v>
      </c>
      <c r="C23" s="237"/>
      <c r="D23" s="237"/>
      <c r="E23" s="237"/>
      <c r="F23" s="236" t="s">
        <v>148</v>
      </c>
      <c r="G23" s="63"/>
      <c r="H23" s="63"/>
      <c r="I23" s="63"/>
    </row>
    <row r="24" spans="1:9" ht="12.95" customHeight="1">
      <c r="A24" s="515" t="s">
        <v>33</v>
      </c>
      <c r="B24" s="236" t="s">
        <v>224</v>
      </c>
      <c r="C24" s="237"/>
      <c r="D24" s="237"/>
      <c r="E24" s="237"/>
      <c r="F24" s="242" t="s">
        <v>226</v>
      </c>
      <c r="G24" s="63"/>
      <c r="H24" s="63"/>
      <c r="I24" s="63"/>
    </row>
    <row r="25" spans="1:9" ht="12.95" customHeight="1">
      <c r="A25" s="515" t="s">
        <v>34</v>
      </c>
      <c r="B25" s="236" t="s">
        <v>378</v>
      </c>
      <c r="C25" s="632">
        <f>C26+C27</f>
        <v>0</v>
      </c>
      <c r="D25" s="632">
        <f>D26+D27</f>
        <v>0</v>
      </c>
      <c r="E25" s="632">
        <f>E26+E27</f>
        <v>0</v>
      </c>
      <c r="F25" s="236" t="s">
        <v>183</v>
      </c>
      <c r="G25" s="63"/>
      <c r="H25" s="63"/>
      <c r="I25" s="63"/>
    </row>
    <row r="26" spans="1:9" ht="12.95" customHeight="1">
      <c r="A26" s="516" t="s">
        <v>35</v>
      </c>
      <c r="B26" s="242" t="s">
        <v>375</v>
      </c>
      <c r="C26" s="637"/>
      <c r="D26" s="637"/>
      <c r="E26" s="637"/>
      <c r="F26" s="235" t="s">
        <v>463</v>
      </c>
      <c r="G26" s="46"/>
      <c r="H26" s="46"/>
      <c r="I26" s="46"/>
    </row>
    <row r="27" spans="1:9" ht="12.95" customHeight="1">
      <c r="A27" s="515" t="s">
        <v>36</v>
      </c>
      <c r="B27" s="236" t="s">
        <v>376</v>
      </c>
      <c r="C27" s="237"/>
      <c r="D27" s="237"/>
      <c r="E27" s="237"/>
      <c r="F27" s="236" t="s">
        <v>469</v>
      </c>
      <c r="G27" s="63"/>
      <c r="H27" s="63"/>
      <c r="I27" s="63"/>
    </row>
    <row r="28" spans="1:9" ht="12.95" customHeight="1">
      <c r="A28" s="515" t="s">
        <v>37</v>
      </c>
      <c r="B28" s="236" t="s">
        <v>474</v>
      </c>
      <c r="C28" s="237"/>
      <c r="D28" s="237"/>
      <c r="E28" s="237"/>
      <c r="F28" s="236" t="s">
        <v>583</v>
      </c>
      <c r="G28" s="63">
        <v>7960578</v>
      </c>
      <c r="H28" s="63">
        <f>7960578+72564</f>
        <v>8033142</v>
      </c>
      <c r="I28" s="63">
        <f>7960578+72564</f>
        <v>8033142</v>
      </c>
    </row>
    <row r="29" spans="1:9" ht="12.95" customHeight="1" thickBot="1">
      <c r="A29" s="516" t="s">
        <v>38</v>
      </c>
      <c r="B29" s="242" t="s">
        <v>321</v>
      </c>
      <c r="C29" s="637"/>
      <c r="D29" s="637">
        <v>72564</v>
      </c>
      <c r="E29" s="637">
        <v>72564</v>
      </c>
      <c r="F29" s="241" t="s">
        <v>544</v>
      </c>
      <c r="G29" s="46">
        <v>161906950</v>
      </c>
      <c r="H29" s="46">
        <v>161906950</v>
      </c>
      <c r="I29" s="46">
        <f>161906950+411269+605530-782302</f>
        <v>162141447</v>
      </c>
    </row>
    <row r="30" spans="1:9" ht="15.95" customHeight="1" thickBot="1">
      <c r="A30" s="243" t="s">
        <v>39</v>
      </c>
      <c r="B30" s="244" t="s">
        <v>482</v>
      </c>
      <c r="C30" s="630">
        <f>+C20+C25+C28+C29</f>
        <v>149320988</v>
      </c>
      <c r="D30" s="630">
        <f>+D20+D25+D28+D29</f>
        <v>149393552</v>
      </c>
      <c r="E30" s="630">
        <f>+E20+E25+E28+E29</f>
        <v>160905854</v>
      </c>
      <c r="F30" s="244" t="s">
        <v>484</v>
      </c>
      <c r="G30" s="26">
        <f>SUM(G20:G29)</f>
        <v>169867528</v>
      </c>
      <c r="H30" s="26">
        <f>SUM(H20:H29)</f>
        <v>169940092</v>
      </c>
      <c r="I30" s="26">
        <f>SUM(I20:I29)</f>
        <v>170174589</v>
      </c>
    </row>
    <row r="31" spans="1:9" ht="26.25" thickBot="1">
      <c r="A31" s="243" t="s">
        <v>40</v>
      </c>
      <c r="B31" s="252" t="s">
        <v>483</v>
      </c>
      <c r="C31" s="633">
        <f>+C19+C30</f>
        <v>710771085</v>
      </c>
      <c r="D31" s="633">
        <f>+D19+D30</f>
        <v>714304163</v>
      </c>
      <c r="E31" s="633">
        <f>+E19+E30</f>
        <v>722428717</v>
      </c>
      <c r="F31" s="252" t="s">
        <v>485</v>
      </c>
      <c r="G31" s="633">
        <f>+G19+G30</f>
        <v>710771085</v>
      </c>
      <c r="H31" s="633">
        <f>+H19+H30</f>
        <v>715040763</v>
      </c>
      <c r="I31" s="633">
        <f>+I19+I30</f>
        <v>722428717</v>
      </c>
    </row>
    <row r="32" spans="1:9" ht="26.25" thickBot="1">
      <c r="A32" s="243" t="s">
        <v>41</v>
      </c>
      <c r="B32" s="252" t="s">
        <v>160</v>
      </c>
      <c r="C32" s="633"/>
      <c r="D32" s="633"/>
      <c r="E32" s="633"/>
      <c r="F32" s="252" t="s">
        <v>161</v>
      </c>
      <c r="G32" s="633"/>
      <c r="H32" s="633"/>
      <c r="I32" s="633"/>
    </row>
    <row r="33" spans="1:9" ht="26.25" thickBot="1">
      <c r="A33" s="243" t="s">
        <v>42</v>
      </c>
      <c r="B33" s="252" t="s">
        <v>227</v>
      </c>
      <c r="C33" s="633"/>
      <c r="D33" s="633"/>
      <c r="E33" s="633"/>
      <c r="F33" s="252" t="s">
        <v>228</v>
      </c>
      <c r="G33" s="633"/>
      <c r="H33" s="633"/>
      <c r="I33" s="633"/>
    </row>
    <row r="34" spans="1:9" ht="18.75">
      <c r="B34" s="697"/>
      <c r="C34" s="697"/>
      <c r="D34" s="697"/>
      <c r="E34" s="697"/>
      <c r="F34" s="697"/>
    </row>
  </sheetData>
  <mergeCells count="2">
    <mergeCell ref="A4:A5"/>
    <mergeCell ref="B34:F3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1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FFFF00"/>
  </sheetPr>
  <dimension ref="A1:I34"/>
  <sheetViews>
    <sheetView topLeftCell="C1" zoomScaleNormal="100" zoomScaleSheetLayoutView="115" workbookViewId="0">
      <selection activeCell="F1" sqref="F1"/>
    </sheetView>
  </sheetViews>
  <sheetFormatPr defaultRowHeight="12.75"/>
  <cols>
    <col min="1" max="1" width="6.83203125" style="300" customWidth="1"/>
    <col min="2" max="2" width="55.1640625" style="299" customWidth="1"/>
    <col min="3" max="5" width="16.33203125" style="300" customWidth="1"/>
    <col min="6" max="6" width="55.1640625" style="300" customWidth="1"/>
    <col min="7" max="9" width="16.33203125" style="300" customWidth="1"/>
    <col min="10" max="16384" width="9.33203125" style="300"/>
  </cols>
  <sheetData>
    <row r="1" spans="1:9" ht="19.5" customHeight="1">
      <c r="B1" s="300" t="s">
        <v>539</v>
      </c>
      <c r="F1" s="226" t="s">
        <v>759</v>
      </c>
      <c r="G1" s="226"/>
      <c r="H1" s="226"/>
      <c r="I1" s="226"/>
    </row>
    <row r="2" spans="1:9" ht="31.5" customHeight="1">
      <c r="B2" s="227" t="s">
        <v>150</v>
      </c>
      <c r="C2" s="513"/>
      <c r="D2" s="513"/>
      <c r="E2" s="513"/>
      <c r="F2" s="513"/>
      <c r="G2" s="513"/>
      <c r="H2" s="513"/>
      <c r="I2" s="513"/>
    </row>
    <row r="3" spans="1:9" ht="14.25" thickBot="1">
      <c r="G3" s="623" t="s">
        <v>589</v>
      </c>
      <c r="H3" s="623" t="s">
        <v>589</v>
      </c>
      <c r="I3" s="623" t="s">
        <v>589</v>
      </c>
    </row>
    <row r="4" spans="1:9" ht="13.5" thickBot="1">
      <c r="A4" s="698" t="s">
        <v>66</v>
      </c>
      <c r="B4" s="228" t="s">
        <v>53</v>
      </c>
      <c r="C4" s="624"/>
      <c r="D4" s="624"/>
      <c r="E4" s="624"/>
      <c r="F4" s="228" t="s">
        <v>54</v>
      </c>
      <c r="G4" s="625"/>
      <c r="H4" s="625"/>
      <c r="I4" s="625"/>
    </row>
    <row r="5" spans="1:9" s="231" customFormat="1" ht="36.75" thickBot="1">
      <c r="A5" s="699"/>
      <c r="B5" s="229" t="s">
        <v>58</v>
      </c>
      <c r="C5" s="230" t="s">
        <v>688</v>
      </c>
      <c r="D5" s="687" t="s">
        <v>739</v>
      </c>
      <c r="E5" s="687" t="s">
        <v>744</v>
      </c>
      <c r="F5" s="229" t="s">
        <v>58</v>
      </c>
      <c r="G5" s="230" t="s">
        <v>688</v>
      </c>
      <c r="H5" s="687" t="s">
        <v>739</v>
      </c>
      <c r="I5" s="687" t="s">
        <v>744</v>
      </c>
    </row>
    <row r="6" spans="1:9" s="231" customFormat="1" ht="13.5" thickBot="1">
      <c r="A6" s="232" t="s">
        <v>486</v>
      </c>
      <c r="B6" s="233" t="s">
        <v>487</v>
      </c>
      <c r="C6" s="626" t="s">
        <v>488</v>
      </c>
      <c r="D6" s="626" t="s">
        <v>488</v>
      </c>
      <c r="E6" s="626" t="s">
        <v>488</v>
      </c>
      <c r="F6" s="233" t="s">
        <v>490</v>
      </c>
      <c r="G6" s="234" t="s">
        <v>489</v>
      </c>
      <c r="H6" s="234" t="s">
        <v>489</v>
      </c>
      <c r="I6" s="234" t="s">
        <v>489</v>
      </c>
    </row>
    <row r="7" spans="1:9" ht="12.95" customHeight="1">
      <c r="A7" s="514" t="s">
        <v>16</v>
      </c>
      <c r="B7" s="235" t="s">
        <v>381</v>
      </c>
      <c r="C7" s="627">
        <v>55972518</v>
      </c>
      <c r="D7" s="627">
        <v>55972518</v>
      </c>
      <c r="E7" s="627">
        <f>55972518+2485873</f>
        <v>58458391</v>
      </c>
      <c r="F7" s="235" t="s">
        <v>219</v>
      </c>
      <c r="G7" s="44">
        <v>369875414</v>
      </c>
      <c r="H7" s="44">
        <f>369875414-635000-101600</f>
        <v>369138814</v>
      </c>
      <c r="I7" s="44">
        <f>369875414-635000-101600+1000000-76200-13694572-6566274+9196991-1399405+6779509-946684-2746211-1911775-1441313</f>
        <v>357332880</v>
      </c>
    </row>
    <row r="8" spans="1:9">
      <c r="A8" s="515" t="s">
        <v>17</v>
      </c>
      <c r="B8" s="236" t="s">
        <v>382</v>
      </c>
      <c r="C8" s="237"/>
      <c r="D8" s="237"/>
      <c r="E8" s="237"/>
      <c r="F8" s="236" t="s">
        <v>387</v>
      </c>
      <c r="G8" s="63"/>
      <c r="H8" s="63"/>
      <c r="I8" s="63"/>
    </row>
    <row r="9" spans="1:9" ht="12.95" customHeight="1">
      <c r="A9" s="515" t="s">
        <v>18</v>
      </c>
      <c r="B9" s="236" t="s">
        <v>10</v>
      </c>
      <c r="C9" s="237">
        <v>120000</v>
      </c>
      <c r="D9" s="237">
        <v>120000</v>
      </c>
      <c r="E9" s="237">
        <v>120000</v>
      </c>
      <c r="F9" s="236" t="s">
        <v>178</v>
      </c>
      <c r="G9" s="63">
        <v>142950545</v>
      </c>
      <c r="H9" s="63">
        <v>142950545</v>
      </c>
      <c r="I9" s="63">
        <f>142950545+5717922+76200-9032376+13737230+597073</f>
        <v>154046594</v>
      </c>
    </row>
    <row r="10" spans="1:9" ht="12.95" customHeight="1">
      <c r="A10" s="515" t="s">
        <v>19</v>
      </c>
      <c r="B10" s="236" t="s">
        <v>383</v>
      </c>
      <c r="C10" s="237"/>
      <c r="D10" s="237"/>
      <c r="E10" s="237"/>
      <c r="F10" s="236" t="s">
        <v>388</v>
      </c>
      <c r="G10" s="63"/>
      <c r="H10" s="63"/>
      <c r="I10" s="63"/>
    </row>
    <row r="11" spans="1:9" ht="12.75" customHeight="1">
      <c r="A11" s="515" t="s">
        <v>20</v>
      </c>
      <c r="B11" s="236" t="s">
        <v>384</v>
      </c>
      <c r="C11" s="237"/>
      <c r="D11" s="237"/>
      <c r="E11" s="237"/>
      <c r="F11" s="236" t="s">
        <v>222</v>
      </c>
      <c r="G11" s="63"/>
      <c r="H11" s="63"/>
      <c r="I11" s="63"/>
    </row>
    <row r="12" spans="1:9" ht="12.95" customHeight="1">
      <c r="A12" s="515" t="s">
        <v>21</v>
      </c>
      <c r="B12" s="236" t="s">
        <v>385</v>
      </c>
      <c r="C12" s="628"/>
      <c r="D12" s="628"/>
      <c r="E12" s="628"/>
      <c r="F12" s="238"/>
      <c r="G12" s="63"/>
      <c r="H12" s="63"/>
      <c r="I12" s="63"/>
    </row>
    <row r="13" spans="1:9" ht="12.95" customHeight="1">
      <c r="A13" s="515" t="s">
        <v>22</v>
      </c>
      <c r="B13" s="239"/>
      <c r="C13" s="237"/>
      <c r="D13" s="237"/>
      <c r="E13" s="237"/>
      <c r="F13" s="238"/>
      <c r="G13" s="63"/>
      <c r="H13" s="63"/>
      <c r="I13" s="63"/>
    </row>
    <row r="14" spans="1:9" ht="12.95" customHeight="1">
      <c r="A14" s="515" t="s">
        <v>23</v>
      </c>
      <c r="B14" s="239"/>
      <c r="C14" s="237"/>
      <c r="D14" s="237"/>
      <c r="E14" s="237"/>
      <c r="F14" s="238"/>
      <c r="G14" s="63"/>
      <c r="H14" s="63"/>
      <c r="I14" s="63"/>
    </row>
    <row r="15" spans="1:9" ht="12.95" customHeight="1">
      <c r="A15" s="515" t="s">
        <v>24</v>
      </c>
      <c r="B15" s="240"/>
      <c r="C15" s="628"/>
      <c r="D15" s="628"/>
      <c r="E15" s="628"/>
      <c r="F15" s="238"/>
      <c r="G15" s="63"/>
      <c r="H15" s="63"/>
      <c r="I15" s="63"/>
    </row>
    <row r="16" spans="1:9">
      <c r="A16" s="515" t="s">
        <v>25</v>
      </c>
      <c r="B16" s="239"/>
      <c r="C16" s="628"/>
      <c r="D16" s="628"/>
      <c r="E16" s="628"/>
      <c r="F16" s="238"/>
      <c r="G16" s="63"/>
      <c r="H16" s="63"/>
      <c r="I16" s="63"/>
    </row>
    <row r="17" spans="1:9" ht="12.95" customHeight="1" thickBot="1">
      <c r="A17" s="516" t="s">
        <v>26</v>
      </c>
      <c r="B17" s="241"/>
      <c r="C17" s="629"/>
      <c r="D17" s="629"/>
      <c r="E17" s="629"/>
      <c r="F17" s="242" t="s">
        <v>47</v>
      </c>
      <c r="G17" s="46"/>
      <c r="H17" s="46"/>
      <c r="I17" s="46"/>
    </row>
    <row r="18" spans="1:9" ht="15.95" customHeight="1" thickBot="1">
      <c r="A18" s="243" t="s">
        <v>27</v>
      </c>
      <c r="B18" s="244" t="s">
        <v>395</v>
      </c>
      <c r="C18" s="630">
        <f>+C7+C9+C10+C12+C13+C14+C15+C16+C17</f>
        <v>56092518</v>
      </c>
      <c r="D18" s="630">
        <f>+D7+D9+D10+D12+D13+D14+D15+D16+D17</f>
        <v>56092518</v>
      </c>
      <c r="E18" s="630">
        <f>+E7+E9+E10+E12+E13+E14+E15+E16+E17</f>
        <v>58578391</v>
      </c>
      <c r="F18" s="244" t="s">
        <v>396</v>
      </c>
      <c r="G18" s="26">
        <f>+G7+G9+G11+G12+G13+G14+G15+G16+G17</f>
        <v>512825959</v>
      </c>
      <c r="H18" s="26">
        <f>+H7+H9+H11+H12+H13+H14+H15+H16+H17</f>
        <v>512089359</v>
      </c>
      <c r="I18" s="26">
        <f>+I7+I9+I11+I12+I13+I14+I15+I16+I17</f>
        <v>511379474</v>
      </c>
    </row>
    <row r="19" spans="1:9" ht="12.95" customHeight="1">
      <c r="A19" s="514" t="s">
        <v>28</v>
      </c>
      <c r="B19" s="245" t="s">
        <v>240</v>
      </c>
      <c r="C19" s="631">
        <f>+C20+C21+C22+C23+C24</f>
        <v>456733441</v>
      </c>
      <c r="D19" s="631">
        <f>+D20+D21+D22+D23+D24</f>
        <v>456733441</v>
      </c>
      <c r="E19" s="631">
        <f>+E20+E21+E22+E23+E24</f>
        <v>452801083</v>
      </c>
      <c r="F19" s="236" t="s">
        <v>182</v>
      </c>
      <c r="G19" s="44"/>
      <c r="H19" s="44"/>
      <c r="I19" s="44"/>
    </row>
    <row r="20" spans="1:9" ht="12.95" customHeight="1">
      <c r="A20" s="515" t="s">
        <v>29</v>
      </c>
      <c r="B20" s="246" t="s">
        <v>229</v>
      </c>
      <c r="C20" s="237">
        <f>G32-C18</f>
        <v>456733441</v>
      </c>
      <c r="D20" s="237">
        <f>G32-D18</f>
        <v>456733441</v>
      </c>
      <c r="E20" s="237">
        <f>H32-E18+5717922+1000000-13694572-9032376+7170956+9196991-1399405+3086614-1911775-1441313+597073</f>
        <v>452801083</v>
      </c>
      <c r="F20" s="236" t="s">
        <v>185</v>
      </c>
      <c r="G20" s="63"/>
      <c r="H20" s="63"/>
      <c r="I20" s="63"/>
    </row>
    <row r="21" spans="1:9" ht="12.95" customHeight="1">
      <c r="A21" s="514" t="s">
        <v>30</v>
      </c>
      <c r="B21" s="246" t="s">
        <v>230</v>
      </c>
      <c r="C21" s="237"/>
      <c r="D21" s="237"/>
      <c r="E21" s="237"/>
      <c r="F21" s="236" t="s">
        <v>147</v>
      </c>
      <c r="G21" s="63"/>
      <c r="H21" s="63"/>
      <c r="I21" s="63"/>
    </row>
    <row r="22" spans="1:9" ht="12.95" customHeight="1">
      <c r="A22" s="515" t="s">
        <v>31</v>
      </c>
      <c r="B22" s="246" t="s">
        <v>231</v>
      </c>
      <c r="C22" s="237"/>
      <c r="D22" s="237"/>
      <c r="E22" s="237"/>
      <c r="F22" s="236" t="s">
        <v>148</v>
      </c>
      <c r="G22" s="63"/>
      <c r="H22" s="63"/>
      <c r="I22" s="63"/>
    </row>
    <row r="23" spans="1:9" ht="12.95" customHeight="1">
      <c r="A23" s="514" t="s">
        <v>32</v>
      </c>
      <c r="B23" s="246" t="s">
        <v>232</v>
      </c>
      <c r="C23" s="237"/>
      <c r="D23" s="237"/>
      <c r="E23" s="237"/>
      <c r="F23" s="242" t="s">
        <v>226</v>
      </c>
      <c r="G23" s="63"/>
      <c r="H23" s="63"/>
      <c r="I23" s="63"/>
    </row>
    <row r="24" spans="1:9" ht="12.95" customHeight="1">
      <c r="A24" s="515" t="s">
        <v>33</v>
      </c>
      <c r="B24" s="247" t="s">
        <v>233</v>
      </c>
      <c r="C24" s="237"/>
      <c r="D24" s="237"/>
      <c r="E24" s="237"/>
      <c r="F24" s="236" t="s">
        <v>186</v>
      </c>
      <c r="G24" s="63"/>
      <c r="H24" s="63"/>
      <c r="I24" s="63"/>
    </row>
    <row r="25" spans="1:9" ht="12.95" customHeight="1">
      <c r="A25" s="514" t="s">
        <v>34</v>
      </c>
      <c r="B25" s="248" t="s">
        <v>234</v>
      </c>
      <c r="C25" s="632">
        <f>+C26+C27+C28+C29+C30</f>
        <v>0</v>
      </c>
      <c r="D25" s="632">
        <f>+D26+D27+D28+D29+D30</f>
        <v>0</v>
      </c>
      <c r="E25" s="632">
        <f>+E26+E27+E28+E29+E30</f>
        <v>0</v>
      </c>
      <c r="F25" s="235" t="s">
        <v>184</v>
      </c>
      <c r="G25" s="63"/>
      <c r="H25" s="63"/>
      <c r="I25" s="63"/>
    </row>
    <row r="26" spans="1:9" ht="12.95" customHeight="1">
      <c r="A26" s="515" t="s">
        <v>35</v>
      </c>
      <c r="B26" s="247" t="s">
        <v>235</v>
      </c>
      <c r="C26" s="237"/>
      <c r="D26" s="237"/>
      <c r="E26" s="237"/>
      <c r="F26" s="235" t="s">
        <v>389</v>
      </c>
      <c r="G26" s="63"/>
      <c r="H26" s="63"/>
      <c r="I26" s="63"/>
    </row>
    <row r="27" spans="1:9" ht="12.95" customHeight="1">
      <c r="A27" s="514" t="s">
        <v>36</v>
      </c>
      <c r="B27" s="247" t="s">
        <v>236</v>
      </c>
      <c r="C27" s="237"/>
      <c r="D27" s="237"/>
      <c r="E27" s="237"/>
      <c r="F27" s="249"/>
      <c r="G27" s="63"/>
      <c r="H27" s="63"/>
      <c r="I27" s="63"/>
    </row>
    <row r="28" spans="1:9" ht="12.95" customHeight="1">
      <c r="A28" s="515" t="s">
        <v>37</v>
      </c>
      <c r="B28" s="246" t="s">
        <v>237</v>
      </c>
      <c r="C28" s="237"/>
      <c r="D28" s="237"/>
      <c r="E28" s="237"/>
      <c r="F28" s="249"/>
      <c r="G28" s="63"/>
      <c r="H28" s="63"/>
      <c r="I28" s="63"/>
    </row>
    <row r="29" spans="1:9" ht="12.95" customHeight="1">
      <c r="A29" s="514" t="s">
        <v>38</v>
      </c>
      <c r="B29" s="250" t="s">
        <v>238</v>
      </c>
      <c r="C29" s="237"/>
      <c r="D29" s="237"/>
      <c r="E29" s="237"/>
      <c r="F29" s="239"/>
      <c r="G29" s="63"/>
      <c r="H29" s="63"/>
      <c r="I29" s="63"/>
    </row>
    <row r="30" spans="1:9" ht="12.95" customHeight="1" thickBot="1">
      <c r="A30" s="515" t="s">
        <v>39</v>
      </c>
      <c r="B30" s="251" t="s">
        <v>239</v>
      </c>
      <c r="C30" s="237"/>
      <c r="D30" s="237"/>
      <c r="E30" s="237"/>
      <c r="F30" s="249"/>
      <c r="G30" s="63"/>
      <c r="H30" s="63"/>
      <c r="I30" s="63"/>
    </row>
    <row r="31" spans="1:9" ht="21.75" customHeight="1" thickBot="1">
      <c r="A31" s="243" t="s">
        <v>40</v>
      </c>
      <c r="B31" s="244" t="s">
        <v>386</v>
      </c>
      <c r="C31" s="630">
        <f>+C19+C25</f>
        <v>456733441</v>
      </c>
      <c r="D31" s="630">
        <f>+D19+D25</f>
        <v>456733441</v>
      </c>
      <c r="E31" s="630">
        <f>+E19+E25</f>
        <v>452801083</v>
      </c>
      <c r="F31" s="244" t="s">
        <v>390</v>
      </c>
      <c r="G31" s="26">
        <f>SUM(G19:G30)</f>
        <v>0</v>
      </c>
      <c r="H31" s="26">
        <f>SUM(H19:H30)</f>
        <v>0</v>
      </c>
      <c r="I31" s="26">
        <f>SUM(I19:I30)</f>
        <v>0</v>
      </c>
    </row>
    <row r="32" spans="1:9" ht="13.5" thickBot="1">
      <c r="A32" s="243" t="s">
        <v>41</v>
      </c>
      <c r="B32" s="252" t="s">
        <v>391</v>
      </c>
      <c r="C32" s="633">
        <f>C18+C31</f>
        <v>512825959</v>
      </c>
      <c r="D32" s="633">
        <f>D18+D31</f>
        <v>512825959</v>
      </c>
      <c r="E32" s="633">
        <f>E18+E31</f>
        <v>511379474</v>
      </c>
      <c r="F32" s="252" t="s">
        <v>392</v>
      </c>
      <c r="G32" s="633">
        <f>G18+G31</f>
        <v>512825959</v>
      </c>
      <c r="H32" s="633">
        <f>H18+H31</f>
        <v>512089359</v>
      </c>
      <c r="I32" s="633">
        <f>I18+I31</f>
        <v>511379474</v>
      </c>
    </row>
    <row r="33" spans="1:9" ht="13.5" thickBot="1">
      <c r="A33" s="243" t="s">
        <v>42</v>
      </c>
      <c r="B33" s="252" t="s">
        <v>160</v>
      </c>
      <c r="C33" s="633"/>
      <c r="D33" s="633"/>
      <c r="E33" s="633"/>
      <c r="F33" s="252" t="s">
        <v>161</v>
      </c>
      <c r="G33" s="633"/>
      <c r="H33" s="633"/>
      <c r="I33" s="633"/>
    </row>
    <row r="34" spans="1:9" ht="13.5" thickBot="1">
      <c r="A34" s="243" t="s">
        <v>43</v>
      </c>
      <c r="B34" s="252" t="s">
        <v>227</v>
      </c>
      <c r="C34" s="633"/>
      <c r="D34" s="633"/>
      <c r="E34" s="633"/>
      <c r="F34" s="252" t="s">
        <v>228</v>
      </c>
      <c r="G34" s="633"/>
      <c r="H34" s="633"/>
      <c r="I34" s="633"/>
    </row>
  </sheetData>
  <mergeCells count="1">
    <mergeCell ref="A4:A5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4" orientation="landscape" verticalDpi="300" r:id="rId1"/>
  <headerFooter alignWithMargins="0"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FFFF00"/>
  </sheetPr>
  <dimension ref="A1:G11"/>
  <sheetViews>
    <sheetView view="pageLayout" zoomScaleNormal="120" workbookViewId="0">
      <selection activeCell="C6" sqref="A1:IV65536"/>
    </sheetView>
  </sheetViews>
  <sheetFormatPr defaultRowHeight="15"/>
  <cols>
    <col min="1" max="1" width="5.1640625" style="168" bestFit="1" customWidth="1"/>
    <col min="2" max="2" width="28.83203125" style="168" bestFit="1" customWidth="1"/>
    <col min="3" max="6" width="16.5" style="168" bestFit="1" customWidth="1"/>
    <col min="7" max="16384" width="9.33203125" style="168"/>
  </cols>
  <sheetData>
    <row r="1" spans="1:7" ht="33" customHeight="1">
      <c r="A1" s="700" t="s">
        <v>542</v>
      </c>
      <c r="B1" s="700"/>
      <c r="C1" s="700"/>
      <c r="D1" s="700"/>
      <c r="E1" s="700"/>
      <c r="F1" s="700"/>
    </row>
    <row r="2" spans="1:7" ht="15.95" customHeight="1" thickBot="1">
      <c r="A2" s="169"/>
      <c r="B2" s="169"/>
      <c r="C2" s="701"/>
      <c r="D2" s="701"/>
      <c r="E2" s="708" t="s">
        <v>589</v>
      </c>
      <c r="F2" s="708"/>
      <c r="G2" s="171"/>
    </row>
    <row r="3" spans="1:7" ht="63" customHeight="1">
      <c r="A3" s="704" t="s">
        <v>14</v>
      </c>
      <c r="B3" s="706" t="s">
        <v>188</v>
      </c>
      <c r="C3" s="706" t="s">
        <v>243</v>
      </c>
      <c r="D3" s="706"/>
      <c r="E3" s="706"/>
      <c r="F3" s="702" t="s">
        <v>496</v>
      </c>
    </row>
    <row r="4" spans="1:7" ht="15.75" thickBot="1">
      <c r="A4" s="705"/>
      <c r="B4" s="707"/>
      <c r="C4" s="207" t="s">
        <v>607</v>
      </c>
      <c r="D4" s="207" t="s">
        <v>608</v>
      </c>
      <c r="E4" s="207" t="s">
        <v>695</v>
      </c>
      <c r="F4" s="703"/>
    </row>
    <row r="5" spans="1:7" ht="15.75" thickBot="1">
      <c r="A5" s="208" t="s">
        <v>486</v>
      </c>
      <c r="B5" s="209" t="s">
        <v>487</v>
      </c>
      <c r="C5" s="209" t="s">
        <v>488</v>
      </c>
      <c r="D5" s="209" t="s">
        <v>490</v>
      </c>
      <c r="E5" s="209" t="s">
        <v>489</v>
      </c>
      <c r="F5" s="210" t="s">
        <v>491</v>
      </c>
    </row>
    <row r="6" spans="1:7">
      <c r="A6" s="211" t="s">
        <v>16</v>
      </c>
      <c r="B6" s="212" t="s">
        <v>560</v>
      </c>
      <c r="C6" s="213">
        <v>121900000</v>
      </c>
      <c r="D6" s="213">
        <v>121900000</v>
      </c>
      <c r="E6" s="213">
        <v>121900000</v>
      </c>
      <c r="F6" s="214">
        <f>SUM(C6:E6)</f>
        <v>365700000</v>
      </c>
    </row>
    <row r="7" spans="1:7" ht="26.25">
      <c r="A7" s="215" t="s">
        <v>17</v>
      </c>
      <c r="B7" s="519" t="s">
        <v>696</v>
      </c>
      <c r="C7" s="217">
        <v>630000</v>
      </c>
      <c r="D7" s="217">
        <v>630000</v>
      </c>
      <c r="E7" s="217">
        <v>630000</v>
      </c>
      <c r="F7" s="218">
        <f>SUM(C7:E7)</f>
        <v>1890000</v>
      </c>
    </row>
    <row r="8" spans="1:7">
      <c r="A8" s="215" t="s">
        <v>18</v>
      </c>
      <c r="B8" s="216"/>
      <c r="C8" s="217"/>
      <c r="D8" s="217"/>
      <c r="E8" s="217"/>
      <c r="F8" s="218">
        <f>SUM(C8:E8)</f>
        <v>0</v>
      </c>
    </row>
    <row r="9" spans="1:7">
      <c r="A9" s="215" t="s">
        <v>19</v>
      </c>
      <c r="B9" s="216"/>
      <c r="C9" s="217"/>
      <c r="D9" s="217"/>
      <c r="E9" s="217"/>
      <c r="F9" s="218">
        <f>SUM(C9:E9)</f>
        <v>0</v>
      </c>
    </row>
    <row r="10" spans="1:7" ht="15.75" thickBot="1">
      <c r="A10" s="219" t="s">
        <v>20</v>
      </c>
      <c r="B10" s="220"/>
      <c r="C10" s="221"/>
      <c r="D10" s="221"/>
      <c r="E10" s="221"/>
      <c r="F10" s="218">
        <f>SUM(C10:E10)</f>
        <v>0</v>
      </c>
    </row>
    <row r="11" spans="1:7" s="190" customFormat="1" thickBot="1">
      <c r="A11" s="222" t="s">
        <v>21</v>
      </c>
      <c r="B11" s="223" t="s">
        <v>189</v>
      </c>
      <c r="C11" s="224">
        <f>SUM(C6:C10)</f>
        <v>122530000</v>
      </c>
      <c r="D11" s="224">
        <f>SUM(D6:D10)</f>
        <v>122530000</v>
      </c>
      <c r="E11" s="224">
        <f>SUM(E6:E10)</f>
        <v>122530000</v>
      </c>
      <c r="F11" s="225">
        <f>SUM(F6:F10)</f>
        <v>367590000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13/2018. (VI.25.) 
 önkormányzati rendelethez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FFFF00"/>
  </sheetPr>
  <dimension ref="A1:E12"/>
  <sheetViews>
    <sheetView view="pageLayout" zoomScaleNormal="120" workbookViewId="0">
      <selection activeCell="C6" sqref="A1:IV65536"/>
    </sheetView>
  </sheetViews>
  <sheetFormatPr defaultRowHeight="15"/>
  <cols>
    <col min="1" max="1" width="4.1640625" style="168" bestFit="1" customWidth="1"/>
    <col min="2" max="2" width="67.6640625" style="168" bestFit="1" customWidth="1"/>
    <col min="3" max="5" width="16.1640625" style="504" bestFit="1" customWidth="1"/>
    <col min="6" max="16384" width="9.33203125" style="168"/>
  </cols>
  <sheetData>
    <row r="1" spans="1:5" ht="43.5" customHeight="1">
      <c r="A1" s="700" t="s">
        <v>543</v>
      </c>
      <c r="B1" s="700"/>
    </row>
    <row r="2" spans="1:5" ht="15.95" customHeight="1" thickBot="1">
      <c r="A2" s="169"/>
      <c r="B2" s="169"/>
      <c r="C2" s="505" t="s">
        <v>589</v>
      </c>
      <c r="D2" s="505" t="s">
        <v>589</v>
      </c>
      <c r="E2" s="505" t="s">
        <v>589</v>
      </c>
    </row>
    <row r="3" spans="1:5" ht="36.75" thickBot="1">
      <c r="A3" s="191" t="s">
        <v>14</v>
      </c>
      <c r="B3" s="192" t="s">
        <v>187</v>
      </c>
      <c r="C3" s="230" t="s">
        <v>688</v>
      </c>
      <c r="D3" s="16" t="s">
        <v>739</v>
      </c>
      <c r="E3" s="687" t="s">
        <v>744</v>
      </c>
    </row>
    <row r="4" spans="1:5" ht="15.75" thickBot="1">
      <c r="A4" s="193" t="s">
        <v>486</v>
      </c>
      <c r="B4" s="194" t="s">
        <v>487</v>
      </c>
      <c r="C4" s="195" t="s">
        <v>488</v>
      </c>
      <c r="D4" s="195" t="s">
        <v>488</v>
      </c>
      <c r="E4" s="195" t="s">
        <v>488</v>
      </c>
    </row>
    <row r="5" spans="1:5">
      <c r="A5" s="196" t="s">
        <v>16</v>
      </c>
      <c r="B5" s="197" t="s">
        <v>497</v>
      </c>
      <c r="C5" s="198">
        <v>121900000</v>
      </c>
      <c r="D5" s="198">
        <v>121900000</v>
      </c>
      <c r="E5" s="198">
        <v>121900000</v>
      </c>
    </row>
    <row r="6" spans="1:5" ht="24.75">
      <c r="A6" s="199" t="s">
        <v>17</v>
      </c>
      <c r="B6" s="200" t="s">
        <v>241</v>
      </c>
      <c r="C6" s="201"/>
      <c r="D6" s="201"/>
      <c r="E6" s="201"/>
    </row>
    <row r="7" spans="1:5">
      <c r="A7" s="199" t="s">
        <v>18</v>
      </c>
      <c r="B7" s="202" t="s">
        <v>498</v>
      </c>
      <c r="C7" s="201"/>
      <c r="D7" s="201"/>
      <c r="E7" s="201"/>
    </row>
    <row r="8" spans="1:5" ht="24.75">
      <c r="A8" s="199" t="s">
        <v>19</v>
      </c>
      <c r="B8" s="202" t="s">
        <v>242</v>
      </c>
      <c r="C8" s="201"/>
      <c r="D8" s="201"/>
      <c r="E8" s="201"/>
    </row>
    <row r="9" spans="1:5">
      <c r="A9" s="203" t="s">
        <v>20</v>
      </c>
      <c r="B9" s="202" t="s">
        <v>697</v>
      </c>
      <c r="C9" s="204">
        <v>630000</v>
      </c>
      <c r="D9" s="204">
        <v>630000</v>
      </c>
      <c r="E9" s="204">
        <v>630000</v>
      </c>
    </row>
    <row r="10" spans="1:5" ht="15.75" thickBot="1">
      <c r="A10" s="199" t="s">
        <v>21</v>
      </c>
      <c r="B10" s="205" t="s">
        <v>499</v>
      </c>
      <c r="C10" s="201"/>
      <c r="D10" s="201"/>
      <c r="E10" s="201"/>
    </row>
    <row r="11" spans="1:5" ht="15.75" thickBot="1">
      <c r="A11" s="709" t="s">
        <v>190</v>
      </c>
      <c r="B11" s="710"/>
      <c r="C11" s="206">
        <f>SUM(C5:C10)</f>
        <v>122530000</v>
      </c>
      <c r="D11" s="206">
        <f>SUM(D5:D10)</f>
        <v>122530000</v>
      </c>
      <c r="E11" s="206">
        <f>SUM(E5:E10)</f>
        <v>122530000</v>
      </c>
    </row>
    <row r="12" spans="1:5" ht="23.25" customHeight="1">
      <c r="A12" s="711" t="s">
        <v>216</v>
      </c>
      <c r="B12" s="711"/>
    </row>
  </sheetData>
  <mergeCells count="3">
    <mergeCell ref="A1:B1"/>
    <mergeCell ref="A11:B11"/>
    <mergeCell ref="A12:B12"/>
  </mergeCells>
  <phoneticPr fontId="6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9" orientation="portrait" r:id="rId1"/>
  <headerFooter alignWithMargins="0">
    <oddHeader>&amp;R&amp;"Times New Roman CE,Félkövér dőlt"&amp;11 4. melléklet a 13/2018. (VI.25.) önkormányzati rendelethez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tabColor rgb="FFFFFF00"/>
  </sheetPr>
  <dimension ref="A1:D8"/>
  <sheetViews>
    <sheetView view="pageLayout" zoomScaleNormal="120" workbookViewId="0">
      <selection activeCell="C6" sqref="A1:IV65536"/>
    </sheetView>
  </sheetViews>
  <sheetFormatPr defaultRowHeight="15"/>
  <cols>
    <col min="1" max="1" width="5.6640625" style="168" customWidth="1"/>
    <col min="2" max="2" width="66.83203125" style="168" customWidth="1"/>
    <col min="3" max="3" width="27" style="168" customWidth="1"/>
    <col min="4" max="16384" width="9.33203125" style="168"/>
  </cols>
  <sheetData>
    <row r="1" spans="1:4" ht="33" customHeight="1">
      <c r="A1" s="700" t="s">
        <v>698</v>
      </c>
      <c r="B1" s="700"/>
      <c r="C1" s="700"/>
    </row>
    <row r="2" spans="1:4" ht="15.95" customHeight="1" thickBot="1">
      <c r="A2" s="169"/>
      <c r="B2" s="169"/>
      <c r="C2" s="170" t="s">
        <v>589</v>
      </c>
      <c r="D2" s="171"/>
    </row>
    <row r="3" spans="1:4" ht="26.25" customHeight="1" thickBot="1">
      <c r="A3" s="172" t="s">
        <v>14</v>
      </c>
      <c r="B3" s="173" t="s">
        <v>191</v>
      </c>
      <c r="C3" s="174" t="s">
        <v>215</v>
      </c>
    </row>
    <row r="4" spans="1:4" ht="15.75" thickBot="1">
      <c r="A4" s="175" t="s">
        <v>486</v>
      </c>
      <c r="B4" s="176" t="s">
        <v>487</v>
      </c>
      <c r="C4" s="177" t="s">
        <v>488</v>
      </c>
    </row>
    <row r="5" spans="1:4">
      <c r="A5" s="178" t="s">
        <v>16</v>
      </c>
      <c r="B5" s="179"/>
      <c r="C5" s="180"/>
    </row>
    <row r="6" spans="1:4">
      <c r="A6" s="181" t="s">
        <v>17</v>
      </c>
      <c r="B6" s="182"/>
      <c r="C6" s="183"/>
    </row>
    <row r="7" spans="1:4" ht="15.75" thickBot="1">
      <c r="A7" s="184" t="s">
        <v>18</v>
      </c>
      <c r="B7" s="185"/>
      <c r="C7" s="186"/>
    </row>
    <row r="8" spans="1:4" s="190" customFormat="1" ht="17.25" customHeight="1" thickBot="1">
      <c r="A8" s="187" t="s">
        <v>19</v>
      </c>
      <c r="B8" s="188" t="s">
        <v>192</v>
      </c>
      <c r="C8" s="189">
        <f>SUM(C5:C7)</f>
        <v>0</v>
      </c>
    </row>
  </sheetData>
  <mergeCells count="1">
    <mergeCell ref="A1:C1"/>
  </mergeCells>
  <phoneticPr fontId="6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13/2018. (VI.25.)  önkormányzati rendelethez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22</vt:i4>
      </vt:variant>
    </vt:vector>
  </HeadingPairs>
  <TitlesOfParts>
    <vt:vector size="56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 sz. mell (2-1)</vt:lpstr>
      <vt:lpstr>9.2. sz. mell (2-2)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 sz. mell (2-1)'!Nyomtatási_cím</vt:lpstr>
      <vt:lpstr>'9.2. sz. mell (2-2)'!Nyomtatási_cím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 tájékoztató t.'!Nyomtatási_terület</vt:lpstr>
      <vt:lpstr>'7. sz tájékoztató t.'!Nyomtatási_terület</vt:lpstr>
      <vt:lpstr>'7.sz.mell.'!Nyomtatási_terület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titkarsag</cp:lastModifiedBy>
  <cp:lastPrinted>2018-06-18T13:54:56Z</cp:lastPrinted>
  <dcterms:created xsi:type="dcterms:W3CDTF">1999-10-30T10:30:45Z</dcterms:created>
  <dcterms:modified xsi:type="dcterms:W3CDTF">2018-06-27T09:17:15Z</dcterms:modified>
</cp:coreProperties>
</file>